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"/>
    </mc:Choice>
  </mc:AlternateContent>
  <xr:revisionPtr revIDLastSave="0" documentId="13_ncr:1_{086A052A-0A82-4DAA-BA0B-0594369958D6}" xr6:coauthVersionLast="47" xr6:coauthVersionMax="47" xr10:uidLastSave="{00000000-0000-0000-0000-000000000000}"/>
  <bookViews>
    <workbookView xWindow="-108" yWindow="-108" windowWidth="23256" windowHeight="13896" xr2:uid="{38490BAD-5B36-42C4-8A44-8BFD9D066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Q59" i="1"/>
  <c r="P59" i="1"/>
  <c r="R58" i="1"/>
  <c r="R57" i="1"/>
  <c r="R56" i="1"/>
  <c r="R55" i="1"/>
  <c r="R54" i="1"/>
  <c r="R53" i="1"/>
  <c r="R52" i="1"/>
  <c r="Q559" i="1"/>
  <c r="P559" i="1"/>
  <c r="R554" i="1"/>
  <c r="R553" i="1"/>
  <c r="R552" i="1"/>
  <c r="Q549" i="1"/>
  <c r="P549" i="1"/>
  <c r="R548" i="1"/>
  <c r="R547" i="1"/>
  <c r="R546" i="1"/>
  <c r="R545" i="1"/>
  <c r="R544" i="1"/>
  <c r="R543" i="1"/>
  <c r="R542" i="1"/>
  <c r="Q539" i="1"/>
  <c r="P539" i="1"/>
  <c r="R538" i="1"/>
  <c r="R537" i="1"/>
  <c r="R536" i="1"/>
  <c r="R535" i="1"/>
  <c r="R534" i="1"/>
  <c r="R533" i="1"/>
  <c r="R532" i="1"/>
  <c r="Q529" i="1"/>
  <c r="P529" i="1"/>
  <c r="R528" i="1"/>
  <c r="R527" i="1"/>
  <c r="R526" i="1"/>
  <c r="R525" i="1"/>
  <c r="R524" i="1"/>
  <c r="R523" i="1"/>
  <c r="R522" i="1"/>
  <c r="Q519" i="1"/>
  <c r="P519" i="1"/>
  <c r="R518" i="1"/>
  <c r="R517" i="1"/>
  <c r="R516" i="1"/>
  <c r="R515" i="1"/>
  <c r="R514" i="1"/>
  <c r="R513" i="1"/>
  <c r="R512" i="1"/>
  <c r="Q509" i="1"/>
  <c r="P509" i="1"/>
  <c r="R508" i="1"/>
  <c r="R507" i="1"/>
  <c r="R506" i="1"/>
  <c r="R505" i="1"/>
  <c r="R504" i="1"/>
  <c r="R503" i="1"/>
  <c r="R502" i="1"/>
  <c r="Q499" i="1"/>
  <c r="P499" i="1"/>
  <c r="R498" i="1"/>
  <c r="R497" i="1"/>
  <c r="R496" i="1"/>
  <c r="R495" i="1"/>
  <c r="R494" i="1"/>
  <c r="R493" i="1"/>
  <c r="R492" i="1"/>
  <c r="Q489" i="1"/>
  <c r="P489" i="1"/>
  <c r="R488" i="1"/>
  <c r="R487" i="1"/>
  <c r="R486" i="1"/>
  <c r="R485" i="1"/>
  <c r="R484" i="1"/>
  <c r="R483" i="1"/>
  <c r="R482" i="1"/>
  <c r="Q479" i="1"/>
  <c r="P479" i="1"/>
  <c r="R478" i="1"/>
  <c r="R477" i="1"/>
  <c r="R476" i="1"/>
  <c r="R475" i="1"/>
  <c r="R474" i="1"/>
  <c r="R473" i="1"/>
  <c r="R472" i="1"/>
  <c r="Q469" i="1"/>
  <c r="P469" i="1"/>
  <c r="R468" i="1"/>
  <c r="R467" i="1"/>
  <c r="R466" i="1"/>
  <c r="R465" i="1"/>
  <c r="R464" i="1"/>
  <c r="R463" i="1"/>
  <c r="R462" i="1"/>
  <c r="Q459" i="1"/>
  <c r="P459" i="1"/>
  <c r="R458" i="1"/>
  <c r="R457" i="1"/>
  <c r="R456" i="1"/>
  <c r="R455" i="1"/>
  <c r="R454" i="1"/>
  <c r="R453" i="1"/>
  <c r="R452" i="1"/>
  <c r="Q449" i="1"/>
  <c r="P449" i="1"/>
  <c r="R448" i="1"/>
  <c r="R447" i="1"/>
  <c r="R446" i="1"/>
  <c r="R445" i="1"/>
  <c r="R444" i="1"/>
  <c r="R443" i="1"/>
  <c r="R442" i="1"/>
  <c r="Q439" i="1"/>
  <c r="P439" i="1"/>
  <c r="R438" i="1"/>
  <c r="R437" i="1"/>
  <c r="R436" i="1"/>
  <c r="R435" i="1"/>
  <c r="R434" i="1"/>
  <c r="R433" i="1"/>
  <c r="R432" i="1"/>
  <c r="Q429" i="1"/>
  <c r="P429" i="1"/>
  <c r="R428" i="1"/>
  <c r="R427" i="1"/>
  <c r="R426" i="1"/>
  <c r="R425" i="1"/>
  <c r="R424" i="1"/>
  <c r="R423" i="1"/>
  <c r="R422" i="1"/>
  <c r="Q419" i="1"/>
  <c r="P419" i="1"/>
  <c r="R418" i="1"/>
  <c r="R417" i="1"/>
  <c r="R416" i="1"/>
  <c r="R415" i="1"/>
  <c r="R414" i="1"/>
  <c r="R413" i="1"/>
  <c r="R412" i="1"/>
  <c r="Q409" i="1"/>
  <c r="P409" i="1"/>
  <c r="R408" i="1"/>
  <c r="R407" i="1"/>
  <c r="R406" i="1"/>
  <c r="R405" i="1"/>
  <c r="R404" i="1"/>
  <c r="R403" i="1"/>
  <c r="R402" i="1"/>
  <c r="Q399" i="1"/>
  <c r="P399" i="1"/>
  <c r="R398" i="1"/>
  <c r="R397" i="1"/>
  <c r="R396" i="1"/>
  <c r="R395" i="1"/>
  <c r="R394" i="1"/>
  <c r="R393" i="1"/>
  <c r="R392" i="1"/>
  <c r="Q389" i="1"/>
  <c r="P389" i="1"/>
  <c r="R388" i="1"/>
  <c r="R387" i="1"/>
  <c r="R386" i="1"/>
  <c r="R385" i="1"/>
  <c r="R384" i="1"/>
  <c r="R383" i="1"/>
  <c r="R382" i="1"/>
  <c r="Q379" i="1"/>
  <c r="P379" i="1"/>
  <c r="R378" i="1"/>
  <c r="R377" i="1"/>
  <c r="R376" i="1"/>
  <c r="R375" i="1"/>
  <c r="R374" i="1"/>
  <c r="R373" i="1"/>
  <c r="R372" i="1"/>
  <c r="Q369" i="1"/>
  <c r="P369" i="1"/>
  <c r="R368" i="1"/>
  <c r="R367" i="1"/>
  <c r="R366" i="1"/>
  <c r="R365" i="1"/>
  <c r="R364" i="1"/>
  <c r="R363" i="1"/>
  <c r="R362" i="1"/>
  <c r="Q359" i="1"/>
  <c r="P359" i="1"/>
  <c r="R358" i="1"/>
  <c r="R357" i="1"/>
  <c r="R356" i="1"/>
  <c r="R355" i="1"/>
  <c r="R354" i="1"/>
  <c r="R353" i="1"/>
  <c r="R352" i="1"/>
  <c r="Q349" i="1"/>
  <c r="P349" i="1"/>
  <c r="R348" i="1"/>
  <c r="R347" i="1"/>
  <c r="R346" i="1"/>
  <c r="R345" i="1"/>
  <c r="R344" i="1"/>
  <c r="R343" i="1"/>
  <c r="R342" i="1"/>
  <c r="Q339" i="1"/>
  <c r="P339" i="1"/>
  <c r="R338" i="1"/>
  <c r="R337" i="1"/>
  <c r="R336" i="1"/>
  <c r="R335" i="1"/>
  <c r="R334" i="1"/>
  <c r="R333" i="1"/>
  <c r="R332" i="1"/>
  <c r="Q329" i="1"/>
  <c r="P329" i="1"/>
  <c r="R328" i="1"/>
  <c r="R327" i="1"/>
  <c r="R326" i="1"/>
  <c r="R325" i="1"/>
  <c r="R324" i="1"/>
  <c r="R323" i="1"/>
  <c r="R322" i="1"/>
  <c r="Q319" i="1"/>
  <c r="P319" i="1"/>
  <c r="R318" i="1"/>
  <c r="R317" i="1"/>
  <c r="R316" i="1"/>
  <c r="R315" i="1"/>
  <c r="R314" i="1"/>
  <c r="R313" i="1"/>
  <c r="R312" i="1"/>
  <c r="Q309" i="1"/>
  <c r="P309" i="1"/>
  <c r="R308" i="1"/>
  <c r="R307" i="1"/>
  <c r="R306" i="1"/>
  <c r="R305" i="1"/>
  <c r="R304" i="1"/>
  <c r="R303" i="1"/>
  <c r="R302" i="1"/>
  <c r="Q299" i="1"/>
  <c r="P299" i="1"/>
  <c r="R298" i="1"/>
  <c r="R297" i="1"/>
  <c r="R296" i="1"/>
  <c r="R295" i="1"/>
  <c r="R294" i="1"/>
  <c r="R293" i="1"/>
  <c r="R292" i="1"/>
  <c r="Q289" i="1"/>
  <c r="P289" i="1"/>
  <c r="R288" i="1"/>
  <c r="R287" i="1"/>
  <c r="R286" i="1"/>
  <c r="R285" i="1"/>
  <c r="R284" i="1"/>
  <c r="R283" i="1"/>
  <c r="R282" i="1"/>
  <c r="Q279" i="1"/>
  <c r="P279" i="1"/>
  <c r="R278" i="1"/>
  <c r="R277" i="1"/>
  <c r="R276" i="1"/>
  <c r="R275" i="1"/>
  <c r="R274" i="1"/>
  <c r="R273" i="1"/>
  <c r="R272" i="1"/>
  <c r="Q269" i="1"/>
  <c r="P269" i="1"/>
  <c r="R268" i="1"/>
  <c r="R267" i="1"/>
  <c r="R266" i="1"/>
  <c r="R265" i="1"/>
  <c r="R264" i="1"/>
  <c r="R263" i="1"/>
  <c r="R262" i="1"/>
  <c r="Q259" i="1"/>
  <c r="P259" i="1"/>
  <c r="R258" i="1"/>
  <c r="R257" i="1"/>
  <c r="R256" i="1"/>
  <c r="R255" i="1"/>
  <c r="R254" i="1"/>
  <c r="R253" i="1"/>
  <c r="R252" i="1"/>
  <c r="Q249" i="1"/>
  <c r="P249" i="1"/>
  <c r="R248" i="1"/>
  <c r="R247" i="1"/>
  <c r="R246" i="1"/>
  <c r="R245" i="1"/>
  <c r="R244" i="1"/>
  <c r="R243" i="1"/>
  <c r="R242" i="1"/>
  <c r="Q239" i="1"/>
  <c r="P239" i="1"/>
  <c r="R238" i="1"/>
  <c r="R237" i="1"/>
  <c r="R236" i="1"/>
  <c r="R235" i="1"/>
  <c r="R234" i="1"/>
  <c r="R233" i="1"/>
  <c r="R232" i="1"/>
  <c r="Q229" i="1"/>
  <c r="P229" i="1"/>
  <c r="R228" i="1"/>
  <c r="R227" i="1"/>
  <c r="R226" i="1"/>
  <c r="R225" i="1"/>
  <c r="R224" i="1"/>
  <c r="R223" i="1"/>
  <c r="R222" i="1"/>
  <c r="Q219" i="1"/>
  <c r="P219" i="1"/>
  <c r="R218" i="1"/>
  <c r="R217" i="1"/>
  <c r="R216" i="1"/>
  <c r="R215" i="1"/>
  <c r="R214" i="1"/>
  <c r="R213" i="1"/>
  <c r="R212" i="1"/>
  <c r="Q209" i="1"/>
  <c r="P209" i="1"/>
  <c r="R208" i="1"/>
  <c r="R207" i="1"/>
  <c r="R206" i="1"/>
  <c r="R205" i="1"/>
  <c r="R204" i="1"/>
  <c r="R203" i="1"/>
  <c r="R202" i="1"/>
  <c r="Q199" i="1"/>
  <c r="P199" i="1"/>
  <c r="R198" i="1"/>
  <c r="R197" i="1"/>
  <c r="R196" i="1"/>
  <c r="R195" i="1"/>
  <c r="R194" i="1"/>
  <c r="R193" i="1"/>
  <c r="R192" i="1"/>
  <c r="Q189" i="1"/>
  <c r="P189" i="1"/>
  <c r="R188" i="1"/>
  <c r="R187" i="1"/>
  <c r="R186" i="1"/>
  <c r="R185" i="1"/>
  <c r="R184" i="1"/>
  <c r="R183" i="1"/>
  <c r="R182" i="1"/>
  <c r="Q179" i="1"/>
  <c r="P179" i="1"/>
  <c r="R178" i="1"/>
  <c r="R177" i="1"/>
  <c r="R176" i="1"/>
  <c r="R175" i="1"/>
  <c r="R174" i="1"/>
  <c r="R173" i="1"/>
  <c r="R172" i="1"/>
  <c r="Q169" i="1"/>
  <c r="P169" i="1"/>
  <c r="R168" i="1"/>
  <c r="R167" i="1"/>
  <c r="R166" i="1"/>
  <c r="R165" i="1"/>
  <c r="R164" i="1"/>
  <c r="R163" i="1"/>
  <c r="R162" i="1"/>
  <c r="Q159" i="1"/>
  <c r="P159" i="1"/>
  <c r="R158" i="1"/>
  <c r="R157" i="1"/>
  <c r="R156" i="1"/>
  <c r="R155" i="1"/>
  <c r="R154" i="1"/>
  <c r="R153" i="1"/>
  <c r="R152" i="1"/>
  <c r="Q149" i="1"/>
  <c r="P149" i="1"/>
  <c r="R148" i="1"/>
  <c r="R147" i="1"/>
  <c r="R146" i="1"/>
  <c r="R145" i="1"/>
  <c r="R144" i="1"/>
  <c r="R143" i="1"/>
  <c r="R142" i="1"/>
  <c r="Q139" i="1"/>
  <c r="P139" i="1"/>
  <c r="R138" i="1"/>
  <c r="R137" i="1"/>
  <c r="R136" i="1"/>
  <c r="R135" i="1"/>
  <c r="R134" i="1"/>
  <c r="R133" i="1"/>
  <c r="R132" i="1"/>
  <c r="Q129" i="1"/>
  <c r="P129" i="1"/>
  <c r="R128" i="1"/>
  <c r="R127" i="1"/>
  <c r="R126" i="1"/>
  <c r="R125" i="1"/>
  <c r="R124" i="1"/>
  <c r="R123" i="1"/>
  <c r="R122" i="1"/>
  <c r="Q119" i="1"/>
  <c r="P119" i="1"/>
  <c r="R118" i="1"/>
  <c r="R117" i="1"/>
  <c r="R116" i="1"/>
  <c r="R115" i="1"/>
  <c r="R114" i="1"/>
  <c r="R113" i="1"/>
  <c r="R112" i="1"/>
  <c r="Q109" i="1"/>
  <c r="P109" i="1"/>
  <c r="R108" i="1"/>
  <c r="R107" i="1"/>
  <c r="R106" i="1"/>
  <c r="R105" i="1"/>
  <c r="R104" i="1"/>
  <c r="R103" i="1"/>
  <c r="R102" i="1"/>
  <c r="Q99" i="1"/>
  <c r="P99" i="1"/>
  <c r="R98" i="1"/>
  <c r="R97" i="1"/>
  <c r="R96" i="1"/>
  <c r="R95" i="1"/>
  <c r="R94" i="1"/>
  <c r="R93" i="1"/>
  <c r="R92" i="1"/>
  <c r="Q89" i="1"/>
  <c r="P89" i="1"/>
  <c r="R88" i="1"/>
  <c r="R87" i="1"/>
  <c r="R86" i="1"/>
  <c r="R85" i="1"/>
  <c r="R84" i="1"/>
  <c r="R83" i="1"/>
  <c r="R82" i="1"/>
  <c r="Q79" i="1"/>
  <c r="P79" i="1"/>
  <c r="R78" i="1"/>
  <c r="R77" i="1"/>
  <c r="R76" i="1"/>
  <c r="R75" i="1"/>
  <c r="R74" i="1"/>
  <c r="R73" i="1"/>
  <c r="R72" i="1"/>
  <c r="Q69" i="1"/>
  <c r="P69" i="1"/>
  <c r="R68" i="1"/>
  <c r="R67" i="1"/>
  <c r="R66" i="1"/>
  <c r="R65" i="1"/>
  <c r="R64" i="1"/>
  <c r="R63" i="1"/>
  <c r="R62" i="1"/>
  <c r="Q49" i="1"/>
  <c r="P49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P39" i="1"/>
  <c r="G39" i="1"/>
  <c r="I34" i="1"/>
  <c r="I35" i="1"/>
  <c r="I36" i="1"/>
  <c r="I37" i="1"/>
  <c r="I38" i="1"/>
  <c r="H39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39" i="1"/>
  <c r="R559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I554" i="1"/>
  <c r="I553" i="1"/>
  <c r="I552" i="1"/>
  <c r="H49" i="1"/>
  <c r="I48" i="1"/>
  <c r="I47" i="1"/>
  <c r="I46" i="1"/>
  <c r="I45" i="1"/>
  <c r="I44" i="1"/>
  <c r="I43" i="1"/>
  <c r="I42" i="1"/>
  <c r="J32" i="1"/>
  <c r="J42" i="1"/>
  <c r="C1" i="1"/>
  <c r="C34" i="1" s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X54" i="1" l="1"/>
  <c r="L34" i="1"/>
  <c r="B34" i="1"/>
  <c r="C35" i="1"/>
  <c r="I559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53" i="1"/>
  <c r="X552" i="1"/>
  <c r="T554" i="1"/>
  <c r="T553" i="1"/>
  <c r="T55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A372" i="1" s="1"/>
  <c r="A382" i="1" s="1"/>
  <c r="A392" i="1" s="1"/>
  <c r="A402" i="1" s="1"/>
  <c r="A412" i="1" s="1"/>
  <c r="A422" i="1" s="1"/>
  <c r="A432" i="1" s="1"/>
  <c r="A442" i="1" s="1"/>
  <c r="A452" i="1" s="1"/>
  <c r="A462" i="1" s="1"/>
  <c r="A472" i="1" s="1"/>
  <c r="A482" i="1" s="1"/>
  <c r="A492" i="1" s="1"/>
  <c r="A502" i="1" s="1"/>
  <c r="A512" i="1" s="1"/>
  <c r="A522" i="1" s="1"/>
  <c r="A532" i="1" s="1"/>
  <c r="A542" i="1" s="1"/>
  <c r="T42" i="1"/>
  <c r="T43" i="1"/>
  <c r="L35" i="1"/>
  <c r="B35" i="1" l="1"/>
  <c r="C36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554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/>
  <c r="K35" i="1"/>
  <c r="L36" i="1"/>
  <c r="B36" i="1" l="1"/>
  <c r="C37" i="1"/>
  <c r="X44" i="1"/>
  <c r="K36" i="1"/>
  <c r="L37" i="1"/>
  <c r="C38" i="1" l="1"/>
  <c r="B37" i="1"/>
  <c r="K37" i="1"/>
  <c r="L38" i="1"/>
  <c r="L42" i="1" s="1"/>
  <c r="K42" i="1" l="1"/>
  <c r="L43" i="1"/>
  <c r="B38" i="1"/>
  <c r="C42" i="1"/>
  <c r="K38" i="1"/>
  <c r="R12" i="1"/>
  <c r="R11" i="1"/>
  <c r="R10" i="1"/>
  <c r="R9" i="1"/>
  <c r="R8" i="1"/>
  <c r="R7" i="1"/>
  <c r="R6" i="1"/>
  <c r="I11" i="1"/>
  <c r="I12" i="1"/>
  <c r="I7" i="1"/>
  <c r="I8" i="1"/>
  <c r="I9" i="1"/>
  <c r="I10" i="1"/>
  <c r="I6" i="1"/>
  <c r="X4" i="1"/>
  <c r="X3" i="1"/>
  <c r="X2" i="1"/>
  <c r="X9" i="1"/>
  <c r="X8" i="1"/>
  <c r="I13" i="1" l="1"/>
  <c r="C43" i="1"/>
  <c r="B42" i="1"/>
  <c r="R13" i="1"/>
  <c r="K43" i="1"/>
  <c r="L44" i="1"/>
  <c r="X32" i="1"/>
  <c r="K44" i="1" l="1"/>
  <c r="L45" i="1"/>
  <c r="B43" i="1"/>
  <c r="C44" i="1"/>
  <c r="Q39" i="1"/>
  <c r="R34" i="1"/>
  <c r="T34" i="1" s="1"/>
  <c r="R35" i="1"/>
  <c r="T35" i="1" s="1"/>
  <c r="B44" i="1" l="1"/>
  <c r="C45" i="1"/>
  <c r="K45" i="1"/>
  <c r="L46" i="1"/>
  <c r="R36" i="1"/>
  <c r="T36" i="1" s="1"/>
  <c r="L47" i="1" l="1"/>
  <c r="K46" i="1"/>
  <c r="B45" i="1"/>
  <c r="C46" i="1"/>
  <c r="R37" i="1"/>
  <c r="R38" i="1"/>
  <c r="T38" i="1" s="1"/>
  <c r="C47" i="1" l="1"/>
  <c r="B46" i="1"/>
  <c r="L48" i="1"/>
  <c r="K47" i="1"/>
  <c r="T37" i="1"/>
  <c r="R39" i="1"/>
  <c r="X33" i="1" s="1"/>
  <c r="X34" i="1" s="1"/>
  <c r="L52" i="1" l="1"/>
  <c r="K48" i="1"/>
  <c r="C48" i="1"/>
  <c r="B47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Z554" i="1" s="1"/>
  <c r="Z6" i="1" s="1"/>
  <c r="X6" i="1" a="1"/>
  <c r="X6" i="1" s="1"/>
  <c r="C52" i="1" l="1"/>
  <c r="B48" i="1"/>
  <c r="L53" i="1"/>
  <c r="K52" i="1"/>
  <c r="K53" i="1" l="1"/>
  <c r="L54" i="1"/>
  <c r="C53" i="1"/>
  <c r="B52" i="1"/>
  <c r="C54" i="1" l="1"/>
  <c r="B53" i="1"/>
  <c r="L55" i="1"/>
  <c r="K54" i="1"/>
  <c r="L56" i="1" l="1"/>
  <c r="K55" i="1"/>
  <c r="B54" i="1"/>
  <c r="C55" i="1"/>
  <c r="B55" i="1" l="1"/>
  <c r="C56" i="1"/>
  <c r="K56" i="1"/>
  <c r="L57" i="1"/>
  <c r="L58" i="1" l="1"/>
  <c r="K57" i="1"/>
  <c r="C57" i="1"/>
  <c r="B56" i="1"/>
  <c r="C58" i="1" l="1"/>
  <c r="B57" i="1"/>
  <c r="K58" i="1"/>
  <c r="L62" i="1"/>
  <c r="K62" i="1" l="1"/>
  <c r="L63" i="1"/>
  <c r="B58" i="1"/>
  <c r="C62" i="1"/>
  <c r="C63" i="1" l="1"/>
  <c r="B62" i="1"/>
  <c r="K63" i="1"/>
  <c r="L64" i="1"/>
  <c r="L65" i="1" l="1"/>
  <c r="K64" i="1"/>
  <c r="C64" i="1"/>
  <c r="B63" i="1"/>
  <c r="C65" i="1" l="1"/>
  <c r="B64" i="1"/>
  <c r="K65" i="1"/>
  <c r="L66" i="1"/>
  <c r="L67" i="1" l="1"/>
  <c r="K66" i="1"/>
  <c r="B65" i="1"/>
  <c r="C66" i="1"/>
  <c r="B66" i="1" l="1"/>
  <c r="C67" i="1"/>
  <c r="L68" i="1"/>
  <c r="K67" i="1"/>
  <c r="L72" i="1" l="1"/>
  <c r="K68" i="1"/>
  <c r="C68" i="1"/>
  <c r="B67" i="1"/>
  <c r="B68" i="1" l="1"/>
  <c r="C72" i="1"/>
  <c r="L73" i="1"/>
  <c r="K72" i="1"/>
  <c r="K73" i="1" l="1"/>
  <c r="L74" i="1"/>
  <c r="C73" i="1"/>
  <c r="B72" i="1"/>
  <c r="B73" i="1" l="1"/>
  <c r="C74" i="1"/>
  <c r="L75" i="1"/>
  <c r="K74" i="1"/>
  <c r="K75" i="1" l="1"/>
  <c r="L76" i="1"/>
  <c r="B74" i="1"/>
  <c r="C75" i="1"/>
  <c r="B75" i="1" l="1"/>
  <c r="C76" i="1"/>
  <c r="L77" i="1"/>
  <c r="K76" i="1"/>
  <c r="L78" i="1" l="1"/>
  <c r="K77" i="1"/>
  <c r="C77" i="1"/>
  <c r="B76" i="1"/>
  <c r="C78" i="1" l="1"/>
  <c r="B77" i="1"/>
  <c r="K78" i="1"/>
  <c r="L82" i="1"/>
  <c r="L83" i="1" l="1"/>
  <c r="K82" i="1"/>
  <c r="B78" i="1"/>
  <c r="C82" i="1"/>
  <c r="C83" i="1" l="1"/>
  <c r="B82" i="1"/>
  <c r="L84" i="1"/>
  <c r="K83" i="1"/>
  <c r="L85" i="1" l="1"/>
  <c r="K84" i="1"/>
  <c r="C84" i="1"/>
  <c r="B83" i="1"/>
  <c r="C85" i="1" l="1"/>
  <c r="B84" i="1"/>
  <c r="K85" i="1"/>
  <c r="L86" i="1"/>
  <c r="K86" i="1" l="1"/>
  <c r="L87" i="1"/>
  <c r="C86" i="1"/>
  <c r="B85" i="1"/>
  <c r="B86" i="1" l="1"/>
  <c r="C87" i="1"/>
  <c r="L88" i="1"/>
  <c r="K87" i="1"/>
  <c r="L92" i="1" l="1"/>
  <c r="K88" i="1"/>
  <c r="C88" i="1"/>
  <c r="B87" i="1"/>
  <c r="B88" i="1" l="1"/>
  <c r="C92" i="1"/>
  <c r="L93" i="1"/>
  <c r="K92" i="1"/>
  <c r="L94" i="1" l="1"/>
  <c r="K93" i="1"/>
  <c r="C93" i="1"/>
  <c r="B92" i="1"/>
  <c r="C94" i="1" l="1"/>
  <c r="B93" i="1"/>
  <c r="L95" i="1"/>
  <c r="K94" i="1"/>
  <c r="L96" i="1" l="1"/>
  <c r="K95" i="1"/>
  <c r="C95" i="1"/>
  <c r="B94" i="1"/>
  <c r="B95" i="1" l="1"/>
  <c r="C96" i="1"/>
  <c r="K96" i="1"/>
  <c r="L97" i="1"/>
  <c r="K97" i="1" l="1"/>
  <c r="L98" i="1"/>
  <c r="C97" i="1"/>
  <c r="B96" i="1"/>
  <c r="C98" i="1" l="1"/>
  <c r="B97" i="1"/>
  <c r="L102" i="1"/>
  <c r="K98" i="1"/>
  <c r="K102" i="1" l="1"/>
  <c r="L103" i="1"/>
  <c r="C102" i="1"/>
  <c r="B98" i="1"/>
  <c r="C103" i="1" l="1"/>
  <c r="B102" i="1"/>
  <c r="K103" i="1"/>
  <c r="L104" i="1"/>
  <c r="L105" i="1" l="1"/>
  <c r="K104" i="1"/>
  <c r="C104" i="1"/>
  <c r="B103" i="1"/>
  <c r="C105" i="1" l="1"/>
  <c r="B104" i="1"/>
  <c r="K105" i="1"/>
  <c r="L106" i="1"/>
  <c r="L107" i="1" l="1"/>
  <c r="K106" i="1"/>
  <c r="C106" i="1"/>
  <c r="B105" i="1"/>
  <c r="B106" i="1" l="1"/>
  <c r="C107" i="1"/>
  <c r="K107" i="1"/>
  <c r="L108" i="1"/>
  <c r="L112" i="1" l="1"/>
  <c r="K108" i="1"/>
  <c r="C108" i="1"/>
  <c r="B107" i="1"/>
  <c r="B108" i="1" l="1"/>
  <c r="C112" i="1"/>
  <c r="L113" i="1"/>
  <c r="K112" i="1"/>
  <c r="B112" i="1" l="1"/>
  <c r="C113" i="1"/>
  <c r="K113" i="1"/>
  <c r="L114" i="1"/>
  <c r="L115" i="1" l="1"/>
  <c r="K114" i="1"/>
  <c r="C114" i="1"/>
  <c r="B113" i="1"/>
  <c r="C115" i="1" l="1"/>
  <c r="B114" i="1"/>
  <c r="K115" i="1"/>
  <c r="L116" i="1"/>
  <c r="L117" i="1" l="1"/>
  <c r="K116" i="1"/>
  <c r="C116" i="1"/>
  <c r="B115" i="1"/>
  <c r="B116" i="1" l="1"/>
  <c r="C117" i="1"/>
  <c r="L118" i="1"/>
  <c r="K117" i="1"/>
  <c r="L122" i="1" l="1"/>
  <c r="K118" i="1"/>
  <c r="C118" i="1"/>
  <c r="B117" i="1"/>
  <c r="B118" i="1" l="1"/>
  <c r="C122" i="1"/>
  <c r="K122" i="1"/>
  <c r="L123" i="1"/>
  <c r="L124" i="1" l="1"/>
  <c r="K123" i="1"/>
  <c r="C123" i="1"/>
  <c r="B122" i="1"/>
  <c r="B123" i="1" l="1"/>
  <c r="C124" i="1"/>
  <c r="L125" i="1"/>
  <c r="K124" i="1"/>
  <c r="C125" i="1" l="1"/>
  <c r="B124" i="1"/>
  <c r="K125" i="1"/>
  <c r="L126" i="1"/>
  <c r="L127" i="1" l="1"/>
  <c r="K126" i="1"/>
  <c r="C126" i="1"/>
  <c r="B125" i="1"/>
  <c r="B126" i="1" l="1"/>
  <c r="C127" i="1"/>
  <c r="L128" i="1"/>
  <c r="K127" i="1"/>
  <c r="K128" i="1" l="1"/>
  <c r="L132" i="1"/>
  <c r="C128" i="1"/>
  <c r="B127" i="1"/>
  <c r="B128" i="1" l="1"/>
  <c r="C132" i="1"/>
  <c r="L133" i="1"/>
  <c r="K132" i="1"/>
  <c r="K133" i="1" l="1"/>
  <c r="L134" i="1"/>
  <c r="C133" i="1"/>
  <c r="B132" i="1"/>
  <c r="C134" i="1" l="1"/>
  <c r="B133" i="1"/>
  <c r="L135" i="1"/>
  <c r="K134" i="1"/>
  <c r="L136" i="1" l="1"/>
  <c r="K135" i="1"/>
  <c r="C135" i="1"/>
  <c r="B134" i="1"/>
  <c r="B135" i="1" l="1"/>
  <c r="C136" i="1"/>
  <c r="K136" i="1"/>
  <c r="L137" i="1"/>
  <c r="L138" i="1" l="1"/>
  <c r="K137" i="1"/>
  <c r="B136" i="1"/>
  <c r="C137" i="1"/>
  <c r="C138" i="1" l="1"/>
  <c r="B137" i="1"/>
  <c r="L142" i="1"/>
  <c r="K138" i="1"/>
  <c r="K142" i="1" l="1"/>
  <c r="L143" i="1"/>
  <c r="B138" i="1"/>
  <c r="C142" i="1"/>
  <c r="B142" i="1" l="1"/>
  <c r="C143" i="1"/>
  <c r="L144" i="1"/>
  <c r="K143" i="1"/>
  <c r="L145" i="1" l="1"/>
  <c r="K144" i="1"/>
  <c r="C144" i="1"/>
  <c r="B143" i="1"/>
  <c r="C145" i="1" l="1"/>
  <c r="B144" i="1"/>
  <c r="K145" i="1"/>
  <c r="L146" i="1"/>
  <c r="L147" i="1" l="1"/>
  <c r="K146" i="1"/>
  <c r="C146" i="1"/>
  <c r="B145" i="1"/>
  <c r="C147" i="1" l="1"/>
  <c r="B146" i="1"/>
  <c r="K147" i="1"/>
  <c r="L148" i="1"/>
  <c r="L152" i="1" l="1"/>
  <c r="K148" i="1"/>
  <c r="C148" i="1"/>
  <c r="B147" i="1"/>
  <c r="B148" i="1" l="1"/>
  <c r="C152" i="1"/>
  <c r="L153" i="1"/>
  <c r="K152" i="1"/>
  <c r="K153" i="1" l="1"/>
  <c r="L154" i="1"/>
  <c r="C153" i="1"/>
  <c r="B152" i="1"/>
  <c r="B153" i="1" l="1"/>
  <c r="C154" i="1"/>
  <c r="L155" i="1"/>
  <c r="K154" i="1"/>
  <c r="K155" i="1" l="1"/>
  <c r="L156" i="1"/>
  <c r="B154" i="1"/>
  <c r="C155" i="1"/>
  <c r="B155" i="1" l="1"/>
  <c r="C156" i="1"/>
  <c r="L157" i="1"/>
  <c r="K156" i="1"/>
  <c r="L158" i="1" l="1"/>
  <c r="K157" i="1"/>
  <c r="C157" i="1"/>
  <c r="B156" i="1"/>
  <c r="B157" i="1" l="1"/>
  <c r="C158" i="1"/>
  <c r="K158" i="1"/>
  <c r="L162" i="1"/>
  <c r="K162" i="1" l="1"/>
  <c r="L163" i="1"/>
  <c r="B158" i="1"/>
  <c r="C162" i="1"/>
  <c r="C163" i="1" l="1"/>
  <c r="B162" i="1"/>
  <c r="L164" i="1"/>
  <c r="K163" i="1"/>
  <c r="L165" i="1" l="1"/>
  <c r="K164" i="1"/>
  <c r="C164" i="1"/>
  <c r="B163" i="1"/>
  <c r="K165" i="1" l="1"/>
  <c r="L166" i="1"/>
  <c r="C165" i="1"/>
  <c r="B164" i="1"/>
  <c r="B165" i="1" l="1"/>
  <c r="C166" i="1"/>
  <c r="L167" i="1"/>
  <c r="K166" i="1"/>
  <c r="L168" i="1" l="1"/>
  <c r="K167" i="1"/>
  <c r="C167" i="1"/>
  <c r="B166" i="1"/>
  <c r="C168" i="1" l="1"/>
  <c r="B167" i="1"/>
  <c r="L172" i="1"/>
  <c r="K168" i="1"/>
  <c r="L173" i="1" l="1"/>
  <c r="K172" i="1"/>
  <c r="B168" i="1"/>
  <c r="C172" i="1"/>
  <c r="C173" i="1" l="1"/>
  <c r="B172" i="1"/>
  <c r="L174" i="1"/>
  <c r="K173" i="1"/>
  <c r="L175" i="1" l="1"/>
  <c r="K174" i="1"/>
  <c r="C174" i="1"/>
  <c r="B173" i="1"/>
  <c r="C175" i="1" l="1"/>
  <c r="B174" i="1"/>
  <c r="L176" i="1"/>
  <c r="K175" i="1"/>
  <c r="K176" i="1" l="1"/>
  <c r="L177" i="1"/>
  <c r="B175" i="1"/>
  <c r="C176" i="1"/>
  <c r="C177" i="1" l="1"/>
  <c r="B176" i="1"/>
  <c r="L178" i="1"/>
  <c r="K177" i="1"/>
  <c r="L182" i="1" l="1"/>
  <c r="K178" i="1"/>
  <c r="C178" i="1"/>
  <c r="B177" i="1"/>
  <c r="B178" i="1" l="1"/>
  <c r="C182" i="1"/>
  <c r="K182" i="1"/>
  <c r="L183" i="1"/>
  <c r="L184" i="1" l="1"/>
  <c r="K183" i="1"/>
  <c r="C183" i="1"/>
  <c r="B182" i="1"/>
  <c r="C184" i="1" l="1"/>
  <c r="B183" i="1"/>
  <c r="L185" i="1"/>
  <c r="K184" i="1"/>
  <c r="L186" i="1" l="1"/>
  <c r="K185" i="1"/>
  <c r="C185" i="1"/>
  <c r="B184" i="1"/>
  <c r="C186" i="1" l="1"/>
  <c r="B185" i="1"/>
  <c r="L187" i="1"/>
  <c r="K186" i="1"/>
  <c r="K187" i="1" l="1"/>
  <c r="L188" i="1"/>
  <c r="C187" i="1"/>
  <c r="B186" i="1"/>
  <c r="B187" i="1" l="1"/>
  <c r="C188" i="1"/>
  <c r="L192" i="1"/>
  <c r="K188" i="1"/>
  <c r="L193" i="1" l="1"/>
  <c r="K192" i="1"/>
  <c r="B188" i="1"/>
  <c r="C192" i="1"/>
  <c r="C193" i="1" l="1"/>
  <c r="B192" i="1"/>
  <c r="K193" i="1"/>
  <c r="L194" i="1"/>
  <c r="L195" i="1" l="1"/>
  <c r="K194" i="1"/>
  <c r="C194" i="1"/>
  <c r="B193" i="1"/>
  <c r="B194" i="1" l="1"/>
  <c r="C195" i="1"/>
  <c r="K195" i="1"/>
  <c r="L196" i="1"/>
  <c r="L197" i="1" l="1"/>
  <c r="K196" i="1"/>
  <c r="C196" i="1"/>
  <c r="B195" i="1"/>
  <c r="C197" i="1" l="1"/>
  <c r="B196" i="1"/>
  <c r="L198" i="1"/>
  <c r="K197" i="1"/>
  <c r="K198" i="1" l="1"/>
  <c r="L202" i="1"/>
  <c r="C198" i="1"/>
  <c r="B197" i="1"/>
  <c r="B198" i="1" l="1"/>
  <c r="C202" i="1"/>
  <c r="L203" i="1"/>
  <c r="K202" i="1"/>
  <c r="L204" i="1" l="1"/>
  <c r="K203" i="1"/>
  <c r="C203" i="1"/>
  <c r="B202" i="1"/>
  <c r="B203" i="1" l="1"/>
  <c r="C204" i="1"/>
  <c r="L205" i="1"/>
  <c r="K204" i="1"/>
  <c r="K205" i="1" l="1"/>
  <c r="L206" i="1"/>
  <c r="C205" i="1"/>
  <c r="B204" i="1"/>
  <c r="B205" i="1" l="1"/>
  <c r="C206" i="1"/>
  <c r="L207" i="1"/>
  <c r="K206" i="1"/>
  <c r="L208" i="1" l="1"/>
  <c r="K207" i="1"/>
  <c r="B206" i="1"/>
  <c r="C207" i="1"/>
  <c r="B207" i="1" l="1"/>
  <c r="C208" i="1"/>
  <c r="K208" i="1"/>
  <c r="L212" i="1"/>
  <c r="L213" i="1" l="1"/>
  <c r="K212" i="1"/>
  <c r="B208" i="1"/>
  <c r="C212" i="1"/>
  <c r="C213" i="1" l="1"/>
  <c r="B212" i="1"/>
  <c r="L214" i="1"/>
  <c r="K213" i="1"/>
  <c r="L215" i="1" l="1"/>
  <c r="K214" i="1"/>
  <c r="C214" i="1"/>
  <c r="B213" i="1"/>
  <c r="C215" i="1" l="1"/>
  <c r="B214" i="1"/>
  <c r="K215" i="1"/>
  <c r="L216" i="1"/>
  <c r="K216" i="1" l="1"/>
  <c r="L217" i="1"/>
  <c r="B215" i="1"/>
  <c r="C216" i="1"/>
  <c r="C217" i="1" l="1"/>
  <c r="B216" i="1"/>
  <c r="L218" i="1"/>
  <c r="K217" i="1"/>
  <c r="L222" i="1" l="1"/>
  <c r="K218" i="1"/>
  <c r="C218" i="1"/>
  <c r="B217" i="1"/>
  <c r="B218" i="1" l="1"/>
  <c r="C222" i="1"/>
  <c r="K222" i="1"/>
  <c r="L223" i="1"/>
  <c r="L224" i="1" l="1"/>
  <c r="K223" i="1"/>
  <c r="B222" i="1"/>
  <c r="C223" i="1"/>
  <c r="C224" i="1" l="1"/>
  <c r="B223" i="1"/>
  <c r="K224" i="1"/>
  <c r="L225" i="1"/>
  <c r="K225" i="1" l="1"/>
  <c r="L226" i="1"/>
  <c r="C225" i="1"/>
  <c r="B224" i="1"/>
  <c r="B225" i="1" l="1"/>
  <c r="C226" i="1"/>
  <c r="L227" i="1"/>
  <c r="K226" i="1"/>
  <c r="K227" i="1" l="1"/>
  <c r="L228" i="1"/>
  <c r="C227" i="1"/>
  <c r="B226" i="1"/>
  <c r="B227" i="1" l="1"/>
  <c r="C228" i="1"/>
  <c r="L232" i="1"/>
  <c r="K228" i="1"/>
  <c r="L233" i="1" l="1"/>
  <c r="K232" i="1"/>
  <c r="B228" i="1"/>
  <c r="C232" i="1"/>
  <c r="C233" i="1" l="1"/>
  <c r="B232" i="1"/>
  <c r="K233" i="1"/>
  <c r="L234" i="1"/>
  <c r="L235" i="1" l="1"/>
  <c r="K234" i="1"/>
  <c r="C234" i="1"/>
  <c r="B233" i="1"/>
  <c r="C235" i="1" l="1"/>
  <c r="B234" i="1"/>
  <c r="K235" i="1"/>
  <c r="L236" i="1"/>
  <c r="L237" i="1" l="1"/>
  <c r="K236" i="1"/>
  <c r="C236" i="1"/>
  <c r="B235" i="1"/>
  <c r="B236" i="1" l="1"/>
  <c r="C237" i="1"/>
  <c r="L238" i="1"/>
  <c r="K237" i="1"/>
  <c r="K238" i="1" l="1"/>
  <c r="L242" i="1"/>
  <c r="C238" i="1"/>
  <c r="B237" i="1"/>
  <c r="B238" i="1" l="1"/>
  <c r="C242" i="1"/>
  <c r="L243" i="1"/>
  <c r="K242" i="1"/>
  <c r="L244" i="1" l="1"/>
  <c r="K243" i="1"/>
  <c r="C243" i="1"/>
  <c r="B242" i="1"/>
  <c r="C244" i="1" l="1"/>
  <c r="B243" i="1"/>
  <c r="L245" i="1"/>
  <c r="K244" i="1"/>
  <c r="K245" i="1" l="1"/>
  <c r="L246" i="1"/>
  <c r="B244" i="1"/>
  <c r="C245" i="1"/>
  <c r="B245" i="1" l="1"/>
  <c r="C246" i="1"/>
  <c r="K246" i="1"/>
  <c r="L247" i="1"/>
  <c r="L248" i="1" l="1"/>
  <c r="K247" i="1"/>
  <c r="C247" i="1"/>
  <c r="B246" i="1"/>
  <c r="C248" i="1" l="1"/>
  <c r="B247" i="1"/>
  <c r="K248" i="1"/>
  <c r="L252" i="1"/>
  <c r="K252" i="1" l="1"/>
  <c r="L253" i="1"/>
  <c r="C252" i="1"/>
  <c r="B248" i="1"/>
  <c r="C253" i="1" l="1"/>
  <c r="B252" i="1"/>
  <c r="L254" i="1"/>
  <c r="K253" i="1"/>
  <c r="L255" i="1" l="1"/>
  <c r="K254" i="1"/>
  <c r="C254" i="1"/>
  <c r="B253" i="1"/>
  <c r="C255" i="1" l="1"/>
  <c r="B254" i="1"/>
  <c r="L256" i="1"/>
  <c r="K255" i="1"/>
  <c r="K256" i="1" l="1"/>
  <c r="L257" i="1"/>
  <c r="B255" i="1"/>
  <c r="C256" i="1"/>
  <c r="C257" i="1" l="1"/>
  <c r="B256" i="1"/>
  <c r="K257" i="1"/>
  <c r="L258" i="1"/>
  <c r="L262" i="1" l="1"/>
  <c r="K258" i="1"/>
  <c r="C258" i="1"/>
  <c r="B257" i="1"/>
  <c r="B258" i="1" l="1"/>
  <c r="C262" i="1"/>
  <c r="K262" i="1"/>
  <c r="L263" i="1"/>
  <c r="B262" i="1" l="1"/>
  <c r="C263" i="1"/>
  <c r="L264" i="1"/>
  <c r="K263" i="1"/>
  <c r="C264" i="1" l="1"/>
  <c r="B263" i="1"/>
  <c r="L265" i="1"/>
  <c r="K264" i="1"/>
  <c r="K265" i="1" l="1"/>
  <c r="L266" i="1"/>
  <c r="C265" i="1"/>
  <c r="B264" i="1"/>
  <c r="B265" i="1" l="1"/>
  <c r="C266" i="1"/>
  <c r="L267" i="1"/>
  <c r="K266" i="1"/>
  <c r="K267" i="1" l="1"/>
  <c r="L268" i="1"/>
  <c r="B266" i="1"/>
  <c r="C267" i="1"/>
  <c r="C268" i="1" l="1"/>
  <c r="B267" i="1"/>
  <c r="L272" i="1"/>
  <c r="K268" i="1"/>
  <c r="L273" i="1" l="1"/>
  <c r="K272" i="1"/>
  <c r="B268" i="1"/>
  <c r="C272" i="1"/>
  <c r="C273" i="1" l="1"/>
  <c r="B272" i="1"/>
  <c r="K273" i="1"/>
  <c r="L274" i="1"/>
  <c r="L275" i="1" l="1"/>
  <c r="K274" i="1"/>
  <c r="C274" i="1"/>
  <c r="B273" i="1"/>
  <c r="B274" i="1" l="1"/>
  <c r="C275" i="1"/>
  <c r="K275" i="1"/>
  <c r="L276" i="1"/>
  <c r="L277" i="1" l="1"/>
  <c r="K276" i="1"/>
  <c r="B275" i="1"/>
  <c r="C276" i="1"/>
  <c r="B276" i="1" l="1"/>
  <c r="C277" i="1"/>
  <c r="L278" i="1"/>
  <c r="K277" i="1"/>
  <c r="K278" i="1" l="1"/>
  <c r="L282" i="1"/>
  <c r="B277" i="1"/>
  <c r="C278" i="1"/>
  <c r="B278" i="1" l="1"/>
  <c r="C282" i="1"/>
  <c r="L283" i="1"/>
  <c r="K282" i="1"/>
  <c r="L284" i="1" l="1"/>
  <c r="K283" i="1"/>
  <c r="C283" i="1"/>
  <c r="B282" i="1"/>
  <c r="C284" i="1" l="1"/>
  <c r="B283" i="1"/>
  <c r="L285" i="1"/>
  <c r="K284" i="1"/>
  <c r="K285" i="1" l="1"/>
  <c r="L286" i="1"/>
  <c r="B284" i="1"/>
  <c r="C285" i="1"/>
  <c r="B285" i="1" l="1"/>
  <c r="C286" i="1"/>
  <c r="L287" i="1"/>
  <c r="K286" i="1"/>
  <c r="L288" i="1" l="1"/>
  <c r="K287" i="1"/>
  <c r="B286" i="1"/>
  <c r="C287" i="1"/>
  <c r="B287" i="1" l="1"/>
  <c r="C288" i="1"/>
  <c r="K288" i="1"/>
  <c r="L292" i="1"/>
  <c r="K292" i="1" l="1"/>
  <c r="L293" i="1"/>
  <c r="C292" i="1"/>
  <c r="B288" i="1"/>
  <c r="C293" i="1" l="1"/>
  <c r="B292" i="1"/>
  <c r="L294" i="1"/>
  <c r="K293" i="1"/>
  <c r="L295" i="1" l="1"/>
  <c r="K294" i="1"/>
  <c r="C294" i="1"/>
  <c r="B293" i="1"/>
  <c r="C295" i="1" l="1"/>
  <c r="B294" i="1"/>
  <c r="K295" i="1"/>
  <c r="L296" i="1"/>
  <c r="K296" i="1" l="1"/>
  <c r="L297" i="1"/>
  <c r="C296" i="1"/>
  <c r="B295" i="1"/>
  <c r="C297" i="1" l="1"/>
  <c r="B296" i="1"/>
  <c r="L298" i="1"/>
  <c r="K297" i="1"/>
  <c r="K298" i="1" l="1"/>
  <c r="L302" i="1"/>
  <c r="B297" i="1"/>
  <c r="C298" i="1"/>
  <c r="B298" i="1" l="1"/>
  <c r="C302" i="1"/>
  <c r="K302" i="1"/>
  <c r="L303" i="1"/>
  <c r="K303" i="1" l="1"/>
  <c r="L304" i="1"/>
  <c r="C303" i="1"/>
  <c r="B302" i="1"/>
  <c r="B303" i="1" l="1"/>
  <c r="C304" i="1"/>
  <c r="L305" i="1"/>
  <c r="K304" i="1"/>
  <c r="K305" i="1" l="1"/>
  <c r="L306" i="1"/>
  <c r="B304" i="1"/>
  <c r="C305" i="1"/>
  <c r="B305" i="1" l="1"/>
  <c r="C306" i="1"/>
  <c r="L307" i="1"/>
  <c r="K306" i="1"/>
  <c r="K307" i="1" l="1"/>
  <c r="L308" i="1"/>
  <c r="C307" i="1"/>
  <c r="B306" i="1"/>
  <c r="C308" i="1" l="1"/>
  <c r="B307" i="1"/>
  <c r="L312" i="1"/>
  <c r="K308" i="1"/>
  <c r="L313" i="1" l="1"/>
  <c r="K312" i="1"/>
  <c r="C312" i="1"/>
  <c r="B308" i="1"/>
  <c r="B312" i="1" l="1"/>
  <c r="C313" i="1"/>
  <c r="K313" i="1"/>
  <c r="L314" i="1"/>
  <c r="L315" i="1" l="1"/>
  <c r="K314" i="1"/>
  <c r="C314" i="1"/>
  <c r="B313" i="1"/>
  <c r="B314" i="1" l="1"/>
  <c r="C315" i="1"/>
  <c r="K315" i="1"/>
  <c r="L316" i="1"/>
  <c r="L317" i="1" l="1"/>
  <c r="K316" i="1"/>
  <c r="C316" i="1"/>
  <c r="B315" i="1"/>
  <c r="C317" i="1" l="1"/>
  <c r="B316" i="1"/>
  <c r="L318" i="1"/>
  <c r="K317" i="1"/>
  <c r="K318" i="1" l="1"/>
  <c r="L322" i="1"/>
  <c r="B317" i="1"/>
  <c r="C318" i="1"/>
  <c r="C322" i="1" l="1"/>
  <c r="B318" i="1"/>
  <c r="L323" i="1"/>
  <c r="K322" i="1"/>
  <c r="L324" i="1" l="1"/>
  <c r="K323" i="1"/>
  <c r="C323" i="1"/>
  <c r="B322" i="1"/>
  <c r="C324" i="1" l="1"/>
  <c r="B323" i="1"/>
  <c r="L325" i="1"/>
  <c r="K324" i="1"/>
  <c r="K325" i="1" l="1"/>
  <c r="L326" i="1"/>
  <c r="C325" i="1"/>
  <c r="B324" i="1"/>
  <c r="B325" i="1" l="1"/>
  <c r="C326" i="1"/>
  <c r="L327" i="1"/>
  <c r="K326" i="1"/>
  <c r="L328" i="1" l="1"/>
  <c r="K327" i="1"/>
  <c r="C327" i="1"/>
  <c r="B326" i="1"/>
  <c r="B327" i="1" l="1"/>
  <c r="C328" i="1"/>
  <c r="K328" i="1"/>
  <c r="L332" i="1"/>
  <c r="K332" i="1" l="1"/>
  <c r="L333" i="1"/>
  <c r="B328" i="1"/>
  <c r="C332" i="1"/>
  <c r="C333" i="1" l="1"/>
  <c r="B332" i="1"/>
  <c r="L334" i="1"/>
  <c r="K333" i="1"/>
  <c r="L335" i="1" l="1"/>
  <c r="K334" i="1"/>
  <c r="C334" i="1"/>
  <c r="B333" i="1"/>
  <c r="B334" i="1" l="1"/>
  <c r="C335" i="1"/>
  <c r="K335" i="1"/>
  <c r="L336" i="1"/>
  <c r="K336" i="1" l="1"/>
  <c r="L337" i="1"/>
  <c r="B335" i="1"/>
  <c r="C336" i="1"/>
  <c r="C337" i="1" l="1"/>
  <c r="B336" i="1"/>
  <c r="K337" i="1"/>
  <c r="L338" i="1"/>
  <c r="L342" i="1" l="1"/>
  <c r="K338" i="1"/>
  <c r="C338" i="1"/>
  <c r="B337" i="1"/>
  <c r="C342" i="1" l="1"/>
  <c r="B338" i="1"/>
  <c r="K342" i="1"/>
  <c r="L343" i="1"/>
  <c r="L344" i="1" l="1"/>
  <c r="K343" i="1"/>
  <c r="C343" i="1"/>
  <c r="B342" i="1"/>
  <c r="C344" i="1" l="1"/>
  <c r="B343" i="1"/>
  <c r="L345" i="1"/>
  <c r="K344" i="1"/>
  <c r="K345" i="1" l="1"/>
  <c r="L346" i="1"/>
  <c r="C345" i="1"/>
  <c r="B344" i="1"/>
  <c r="B345" i="1" l="1"/>
  <c r="C346" i="1"/>
  <c r="L347" i="1"/>
  <c r="K346" i="1"/>
  <c r="K347" i="1" l="1"/>
  <c r="L348" i="1"/>
  <c r="C347" i="1"/>
  <c r="B346" i="1"/>
  <c r="C348" i="1" l="1"/>
  <c r="B347" i="1"/>
  <c r="L352" i="1"/>
  <c r="K348" i="1"/>
  <c r="L353" i="1" l="1"/>
  <c r="K352" i="1"/>
  <c r="B348" i="1"/>
  <c r="C352" i="1"/>
  <c r="C353" i="1" l="1"/>
  <c r="B352" i="1"/>
  <c r="K353" i="1"/>
  <c r="L354" i="1"/>
  <c r="L355" i="1" l="1"/>
  <c r="K354" i="1"/>
  <c r="C354" i="1"/>
  <c r="B353" i="1"/>
  <c r="C355" i="1" l="1"/>
  <c r="B354" i="1"/>
  <c r="L356" i="1"/>
  <c r="K355" i="1"/>
  <c r="K356" i="1" l="1"/>
  <c r="L357" i="1"/>
  <c r="B355" i="1"/>
  <c r="C356" i="1"/>
  <c r="C357" i="1" l="1"/>
  <c r="B356" i="1"/>
  <c r="L358" i="1"/>
  <c r="K357" i="1"/>
  <c r="K358" i="1" l="1"/>
  <c r="L362" i="1"/>
  <c r="C358" i="1"/>
  <c r="B357" i="1"/>
  <c r="B358" i="1" l="1"/>
  <c r="C362" i="1"/>
  <c r="L363" i="1"/>
  <c r="K362" i="1"/>
  <c r="L364" i="1" l="1"/>
  <c r="K363" i="1"/>
  <c r="C363" i="1"/>
  <c r="B362" i="1"/>
  <c r="C364" i="1" l="1"/>
  <c r="B363" i="1"/>
  <c r="L365" i="1"/>
  <c r="K364" i="1"/>
  <c r="L366" i="1" l="1"/>
  <c r="K365" i="1"/>
  <c r="C365" i="1"/>
  <c r="B364" i="1"/>
  <c r="B365" i="1" l="1"/>
  <c r="C366" i="1"/>
  <c r="L367" i="1"/>
  <c r="K366" i="1"/>
  <c r="L368" i="1" l="1"/>
  <c r="K367" i="1"/>
  <c r="B366" i="1"/>
  <c r="C367" i="1"/>
  <c r="C368" i="1" l="1"/>
  <c r="B367" i="1"/>
  <c r="K368" i="1"/>
  <c r="L372" i="1"/>
  <c r="L373" i="1" l="1"/>
  <c r="K372" i="1"/>
  <c r="B368" i="1"/>
  <c r="C372" i="1"/>
  <c r="C373" i="1" l="1"/>
  <c r="B372" i="1"/>
  <c r="L374" i="1"/>
  <c r="K373" i="1"/>
  <c r="L375" i="1" l="1"/>
  <c r="K374" i="1"/>
  <c r="C374" i="1"/>
  <c r="B373" i="1"/>
  <c r="C375" i="1" l="1"/>
  <c r="B374" i="1"/>
  <c r="K375" i="1"/>
  <c r="L376" i="1"/>
  <c r="K376" i="1" l="1"/>
  <c r="L377" i="1"/>
  <c r="B375" i="1"/>
  <c r="C376" i="1"/>
  <c r="C377" i="1" l="1"/>
  <c r="B376" i="1"/>
  <c r="L378" i="1"/>
  <c r="K377" i="1"/>
  <c r="L382" i="1" l="1"/>
  <c r="K378" i="1"/>
  <c r="C378" i="1"/>
  <c r="B377" i="1"/>
  <c r="B378" i="1" l="1"/>
  <c r="C382" i="1"/>
  <c r="K382" i="1"/>
  <c r="L383" i="1"/>
  <c r="K383" i="1" l="1"/>
  <c r="L384" i="1"/>
  <c r="B382" i="1"/>
  <c r="C383" i="1"/>
  <c r="C384" i="1" l="1"/>
  <c r="B383" i="1"/>
  <c r="L385" i="1"/>
  <c r="K384" i="1"/>
  <c r="K385" i="1" l="1"/>
  <c r="L386" i="1"/>
  <c r="B384" i="1"/>
  <c r="C385" i="1"/>
  <c r="B385" i="1" l="1"/>
  <c r="C386" i="1"/>
  <c r="L387" i="1"/>
  <c r="K386" i="1"/>
  <c r="K387" i="1" l="1"/>
  <c r="L388" i="1"/>
  <c r="C387" i="1"/>
  <c r="B386" i="1"/>
  <c r="B387" i="1" l="1"/>
  <c r="C388" i="1"/>
  <c r="L392" i="1"/>
  <c r="K388" i="1"/>
  <c r="L393" i="1" l="1"/>
  <c r="K392" i="1"/>
  <c r="B388" i="1"/>
  <c r="C392" i="1"/>
  <c r="C393" i="1" l="1"/>
  <c r="B392" i="1"/>
  <c r="K393" i="1"/>
  <c r="L394" i="1"/>
  <c r="L395" i="1" l="1"/>
  <c r="K394" i="1"/>
  <c r="C394" i="1"/>
  <c r="B393" i="1"/>
  <c r="C395" i="1" l="1"/>
  <c r="B394" i="1"/>
  <c r="K395" i="1"/>
  <c r="L396" i="1"/>
  <c r="L397" i="1" l="1"/>
  <c r="K396" i="1"/>
  <c r="C396" i="1"/>
  <c r="B395" i="1"/>
  <c r="C397" i="1" l="1"/>
  <c r="B396" i="1"/>
  <c r="L398" i="1"/>
  <c r="K397" i="1"/>
  <c r="K398" i="1" l="1"/>
  <c r="L402" i="1"/>
  <c r="C398" i="1"/>
  <c r="B397" i="1"/>
  <c r="C402" i="1" l="1"/>
  <c r="B398" i="1"/>
  <c r="L403" i="1"/>
  <c r="K402" i="1"/>
  <c r="L404" i="1" l="1"/>
  <c r="K403" i="1"/>
  <c r="B402" i="1"/>
  <c r="C403" i="1"/>
  <c r="B403" i="1" l="1"/>
  <c r="C404" i="1"/>
  <c r="L405" i="1"/>
  <c r="K404" i="1"/>
  <c r="K405" i="1" l="1"/>
  <c r="L406" i="1"/>
  <c r="B404" i="1"/>
  <c r="C405" i="1"/>
  <c r="C406" i="1" l="1"/>
  <c r="B405" i="1"/>
  <c r="K406" i="1"/>
  <c r="L407" i="1"/>
  <c r="L408" i="1" l="1"/>
  <c r="K407" i="1"/>
  <c r="C407" i="1"/>
  <c r="B406" i="1"/>
  <c r="B407" i="1" l="1"/>
  <c r="C408" i="1"/>
  <c r="K408" i="1"/>
  <c r="L412" i="1"/>
  <c r="L413" i="1" l="1"/>
  <c r="K412" i="1"/>
  <c r="B408" i="1"/>
  <c r="C412" i="1"/>
  <c r="C413" i="1" l="1"/>
  <c r="B412" i="1"/>
  <c r="L414" i="1"/>
  <c r="K413" i="1"/>
  <c r="L415" i="1" l="1"/>
  <c r="K414" i="1"/>
  <c r="C414" i="1"/>
  <c r="B413" i="1"/>
  <c r="B414" i="1" l="1"/>
  <c r="C415" i="1"/>
  <c r="K415" i="1"/>
  <c r="L416" i="1"/>
  <c r="K416" i="1" l="1"/>
  <c r="L417" i="1"/>
  <c r="C416" i="1"/>
  <c r="B415" i="1"/>
  <c r="C417" i="1" l="1"/>
  <c r="B416" i="1"/>
  <c r="L418" i="1"/>
  <c r="K417" i="1"/>
  <c r="L422" i="1" l="1"/>
  <c r="K418" i="1"/>
  <c r="C418" i="1"/>
  <c r="B417" i="1"/>
  <c r="B418" i="1" l="1"/>
  <c r="C422" i="1"/>
  <c r="K422" i="1"/>
  <c r="L423" i="1"/>
  <c r="L424" i="1" l="1"/>
  <c r="K423" i="1"/>
  <c r="C423" i="1"/>
  <c r="B422" i="1"/>
  <c r="C424" i="1" l="1"/>
  <c r="B423" i="1"/>
  <c r="L425" i="1"/>
  <c r="K424" i="1"/>
  <c r="K425" i="1" l="1"/>
  <c r="L426" i="1"/>
  <c r="B424" i="1"/>
  <c r="C425" i="1"/>
  <c r="C426" i="1" l="1"/>
  <c r="B425" i="1"/>
  <c r="L427" i="1"/>
  <c r="K426" i="1"/>
  <c r="K427" i="1" l="1"/>
  <c r="L428" i="1"/>
  <c r="B426" i="1"/>
  <c r="C427" i="1"/>
  <c r="B427" i="1" l="1"/>
  <c r="C428" i="1"/>
  <c r="K428" i="1"/>
  <c r="L432" i="1"/>
  <c r="L433" i="1" l="1"/>
  <c r="K432" i="1"/>
  <c r="C432" i="1"/>
  <c r="B428" i="1"/>
  <c r="B432" i="1" l="1"/>
  <c r="C433" i="1"/>
  <c r="K433" i="1"/>
  <c r="L434" i="1"/>
  <c r="L435" i="1" l="1"/>
  <c r="K434" i="1"/>
  <c r="C434" i="1"/>
  <c r="B433" i="1"/>
  <c r="C435" i="1" l="1"/>
  <c r="B434" i="1"/>
  <c r="K435" i="1"/>
  <c r="L436" i="1"/>
  <c r="L437" i="1" l="1"/>
  <c r="K436" i="1"/>
  <c r="C436" i="1"/>
  <c r="B435" i="1"/>
  <c r="B436" i="1" l="1"/>
  <c r="C437" i="1"/>
  <c r="L438" i="1"/>
  <c r="K437" i="1"/>
  <c r="K438" i="1" l="1"/>
  <c r="L442" i="1"/>
  <c r="B437" i="1"/>
  <c r="C438" i="1"/>
  <c r="B438" i="1" l="1"/>
  <c r="C442" i="1"/>
  <c r="L443" i="1"/>
  <c r="K442" i="1"/>
  <c r="L444" i="1" l="1"/>
  <c r="K443" i="1"/>
  <c r="C443" i="1"/>
  <c r="B442" i="1"/>
  <c r="B443" i="1" l="1"/>
  <c r="C444" i="1"/>
  <c r="L445" i="1"/>
  <c r="K444" i="1"/>
  <c r="K445" i="1" l="1"/>
  <c r="L446" i="1"/>
  <c r="B444" i="1"/>
  <c r="C445" i="1"/>
  <c r="C446" i="1" l="1"/>
  <c r="B445" i="1"/>
  <c r="L447" i="1"/>
  <c r="K446" i="1"/>
  <c r="C447" i="1" l="1"/>
  <c r="B446" i="1"/>
  <c r="K447" i="1"/>
  <c r="L448" i="1"/>
  <c r="K448" i="1" l="1"/>
  <c r="L452" i="1"/>
  <c r="C448" i="1"/>
  <c r="B447" i="1"/>
  <c r="B448" i="1" l="1"/>
  <c r="C452" i="1"/>
  <c r="K452" i="1"/>
  <c r="L453" i="1"/>
  <c r="L454" i="1" l="1"/>
  <c r="K453" i="1"/>
  <c r="C453" i="1"/>
  <c r="B452" i="1"/>
  <c r="C454" i="1" l="1"/>
  <c r="B453" i="1"/>
  <c r="L455" i="1"/>
  <c r="K454" i="1"/>
  <c r="K455" i="1" l="1"/>
  <c r="L456" i="1"/>
  <c r="C455" i="1"/>
  <c r="B454" i="1"/>
  <c r="B455" i="1" l="1"/>
  <c r="C456" i="1"/>
  <c r="K456" i="1"/>
  <c r="L457" i="1"/>
  <c r="L458" i="1" l="1"/>
  <c r="K457" i="1"/>
  <c r="C457" i="1"/>
  <c r="B456" i="1"/>
  <c r="C458" i="1" l="1"/>
  <c r="B457" i="1"/>
  <c r="L462" i="1"/>
  <c r="K458" i="1"/>
  <c r="K462" i="1" l="1"/>
  <c r="L463" i="1"/>
  <c r="B458" i="1"/>
  <c r="C462" i="1"/>
  <c r="C463" i="1" l="1"/>
  <c r="B462" i="1"/>
  <c r="L464" i="1"/>
  <c r="K463" i="1"/>
  <c r="L465" i="1" l="1"/>
  <c r="K464" i="1"/>
  <c r="C464" i="1"/>
  <c r="B463" i="1"/>
  <c r="B464" i="1" l="1"/>
  <c r="C465" i="1"/>
  <c r="K465" i="1"/>
  <c r="L466" i="1"/>
  <c r="L467" i="1" l="1"/>
  <c r="K466" i="1"/>
  <c r="C466" i="1"/>
  <c r="B465" i="1"/>
  <c r="C467" i="1" l="1"/>
  <c r="B466" i="1"/>
  <c r="L468" i="1"/>
  <c r="K467" i="1"/>
  <c r="L472" i="1" l="1"/>
  <c r="K468" i="1"/>
  <c r="B467" i="1"/>
  <c r="C468" i="1"/>
  <c r="C472" i="1" l="1"/>
  <c r="B468" i="1"/>
  <c r="L473" i="1"/>
  <c r="K472" i="1"/>
  <c r="K473" i="1" l="1"/>
  <c r="L474" i="1"/>
  <c r="C473" i="1"/>
  <c r="B472" i="1"/>
  <c r="B473" i="1" l="1"/>
  <c r="C474" i="1"/>
  <c r="L475" i="1"/>
  <c r="K474" i="1"/>
  <c r="K475" i="1" l="1"/>
  <c r="L476" i="1"/>
  <c r="B474" i="1"/>
  <c r="C475" i="1"/>
  <c r="C476" i="1" l="1"/>
  <c r="B475" i="1"/>
  <c r="K476" i="1"/>
  <c r="L477" i="1"/>
  <c r="L478" i="1" l="1"/>
  <c r="K477" i="1"/>
  <c r="C477" i="1"/>
  <c r="B476" i="1"/>
  <c r="B477" i="1" l="1"/>
  <c r="C478" i="1"/>
  <c r="K478" i="1"/>
  <c r="L482" i="1"/>
  <c r="L483" i="1" l="1"/>
  <c r="K482" i="1"/>
  <c r="B478" i="1"/>
  <c r="C482" i="1"/>
  <c r="B482" i="1" l="1"/>
  <c r="C483" i="1"/>
  <c r="L484" i="1"/>
  <c r="K483" i="1"/>
  <c r="L485" i="1" l="1"/>
  <c r="K484" i="1"/>
  <c r="C484" i="1"/>
  <c r="B483" i="1"/>
  <c r="B484" i="1" l="1"/>
  <c r="C485" i="1"/>
  <c r="K485" i="1"/>
  <c r="L486" i="1"/>
  <c r="K486" i="1" l="1"/>
  <c r="L487" i="1"/>
  <c r="B485" i="1"/>
  <c r="C486" i="1"/>
  <c r="C487" i="1" l="1"/>
  <c r="B486" i="1"/>
  <c r="L488" i="1"/>
  <c r="K487" i="1"/>
  <c r="K488" i="1" l="1"/>
  <c r="L492" i="1"/>
  <c r="C488" i="1"/>
  <c r="B487" i="1"/>
  <c r="C492" i="1" l="1"/>
  <c r="B488" i="1"/>
  <c r="K492" i="1"/>
  <c r="L493" i="1"/>
  <c r="L494" i="1" l="1"/>
  <c r="K493" i="1"/>
  <c r="B492" i="1"/>
  <c r="C493" i="1"/>
  <c r="B493" i="1" l="1"/>
  <c r="C494" i="1"/>
  <c r="L495" i="1"/>
  <c r="K494" i="1"/>
  <c r="K495" i="1" l="1"/>
  <c r="L496" i="1"/>
  <c r="C495" i="1"/>
  <c r="B494" i="1"/>
  <c r="B495" i="1" l="1"/>
  <c r="C496" i="1"/>
  <c r="L497" i="1"/>
  <c r="K496" i="1"/>
  <c r="L498" i="1" l="1"/>
  <c r="K497" i="1"/>
  <c r="B496" i="1"/>
  <c r="C497" i="1"/>
  <c r="C498" i="1" l="1"/>
  <c r="B497" i="1"/>
  <c r="K498" i="1"/>
  <c r="L502" i="1"/>
  <c r="L503" i="1" l="1"/>
  <c r="K502" i="1"/>
  <c r="B498" i="1"/>
  <c r="C502" i="1"/>
  <c r="C503" i="1" l="1"/>
  <c r="B502" i="1"/>
  <c r="L504" i="1"/>
  <c r="K503" i="1"/>
  <c r="L505" i="1" l="1"/>
  <c r="K504" i="1"/>
  <c r="C504" i="1"/>
  <c r="B503" i="1"/>
  <c r="B504" i="1" l="1"/>
  <c r="C505" i="1"/>
  <c r="L506" i="1"/>
  <c r="K505" i="1"/>
  <c r="K506" i="1" l="1"/>
  <c r="L507" i="1"/>
  <c r="B505" i="1"/>
  <c r="C506" i="1"/>
  <c r="C507" i="1" l="1"/>
  <c r="B506" i="1"/>
  <c r="L508" i="1"/>
  <c r="K507" i="1"/>
  <c r="L512" i="1" l="1"/>
  <c r="K508" i="1"/>
  <c r="C508" i="1"/>
  <c r="B507" i="1"/>
  <c r="B508" i="1" l="1"/>
  <c r="C512" i="1"/>
  <c r="K512" i="1"/>
  <c r="L513" i="1"/>
  <c r="K513" i="1" l="1"/>
  <c r="L514" i="1"/>
  <c r="C513" i="1"/>
  <c r="B512" i="1"/>
  <c r="C514" i="1" l="1"/>
  <c r="B513" i="1"/>
  <c r="L515" i="1"/>
  <c r="K514" i="1"/>
  <c r="K515" i="1" l="1"/>
  <c r="L516" i="1"/>
  <c r="C515" i="1"/>
  <c r="B514" i="1"/>
  <c r="C516" i="1" l="1"/>
  <c r="B515" i="1"/>
  <c r="L517" i="1"/>
  <c r="K516" i="1"/>
  <c r="L518" i="1" l="1"/>
  <c r="K517" i="1"/>
  <c r="C517" i="1"/>
  <c r="B516" i="1"/>
  <c r="B517" i="1" l="1"/>
  <c r="C518" i="1"/>
  <c r="L522" i="1"/>
  <c r="K518" i="1"/>
  <c r="L523" i="1" l="1"/>
  <c r="K522" i="1"/>
  <c r="B518" i="1"/>
  <c r="C522" i="1"/>
  <c r="C523" i="1" l="1"/>
  <c r="B522" i="1"/>
  <c r="L524" i="1"/>
  <c r="K523" i="1"/>
  <c r="L525" i="1" l="1"/>
  <c r="K524" i="1"/>
  <c r="C524" i="1"/>
  <c r="B523" i="1"/>
  <c r="C525" i="1" l="1"/>
  <c r="B524" i="1"/>
  <c r="K525" i="1"/>
  <c r="L526" i="1"/>
  <c r="K526" i="1" l="1"/>
  <c r="L527" i="1"/>
  <c r="C526" i="1"/>
  <c r="B525" i="1"/>
  <c r="C527" i="1" l="1"/>
  <c r="B526" i="1"/>
  <c r="L528" i="1"/>
  <c r="K527" i="1"/>
  <c r="K528" i="1" l="1"/>
  <c r="L532" i="1"/>
  <c r="C528" i="1"/>
  <c r="B527" i="1"/>
  <c r="B528" i="1" l="1"/>
  <c r="C532" i="1"/>
  <c r="K532" i="1"/>
  <c r="L533" i="1"/>
  <c r="L534" i="1" l="1"/>
  <c r="K533" i="1"/>
  <c r="C533" i="1"/>
  <c r="B532" i="1"/>
  <c r="B533" i="1" l="1"/>
  <c r="C534" i="1"/>
  <c r="L535" i="1"/>
  <c r="K534" i="1"/>
  <c r="K535" i="1" l="1"/>
  <c r="L536" i="1"/>
  <c r="C535" i="1"/>
  <c r="B534" i="1"/>
  <c r="B535" i="1" l="1"/>
  <c r="C536" i="1"/>
  <c r="L537" i="1"/>
  <c r="K536" i="1"/>
  <c r="L538" i="1" l="1"/>
  <c r="K537" i="1"/>
  <c r="C537" i="1"/>
  <c r="B536" i="1"/>
  <c r="C538" i="1" l="1"/>
  <c r="B537" i="1"/>
  <c r="K538" i="1"/>
  <c r="L542" i="1"/>
  <c r="L543" i="1" l="1"/>
  <c r="K542" i="1"/>
  <c r="C542" i="1"/>
  <c r="B538" i="1"/>
  <c r="B542" i="1" l="1"/>
  <c r="C543" i="1"/>
  <c r="L544" i="1"/>
  <c r="K543" i="1"/>
  <c r="L545" i="1" l="1"/>
  <c r="K544" i="1"/>
  <c r="C544" i="1"/>
  <c r="B543" i="1"/>
  <c r="B544" i="1" l="1"/>
  <c r="C545" i="1"/>
  <c r="K545" i="1"/>
  <c r="L546" i="1"/>
  <c r="L547" i="1" l="1"/>
  <c r="K546" i="1"/>
  <c r="B545" i="1"/>
  <c r="C546" i="1"/>
  <c r="C547" i="1" l="1"/>
  <c r="B546" i="1"/>
  <c r="K547" i="1"/>
  <c r="L548" i="1"/>
  <c r="K548" i="1" l="1"/>
  <c r="L552" i="1"/>
  <c r="C548" i="1"/>
  <c r="B547" i="1"/>
  <c r="B548" i="1" l="1"/>
  <c r="C552" i="1"/>
  <c r="L553" i="1"/>
  <c r="K552" i="1"/>
  <c r="L554" i="1" l="1"/>
  <c r="K554" i="1" s="1"/>
  <c r="K553" i="1"/>
  <c r="B552" i="1"/>
  <c r="C553" i="1"/>
  <c r="C554" i="1" l="1"/>
  <c r="B554" i="1" s="1"/>
  <c r="B5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<sst xmlns="http://schemas.openxmlformats.org/spreadsheetml/2006/main" count="1370" uniqueCount="65">
  <si>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</si>
  <si>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</si>
  <si>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</si>
  <si>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</si>
  <si>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</si>
  <si>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</si>
  <si>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</si>
  <si>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</si>
  <si>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</si>
  <si>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</si>
  <si>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</si>
  <si>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</si>
  <si>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</si>
  <si>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</si>
  <si>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</si>
  <si>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</si>
  <si>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</si>
  <si>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</si>
  <si>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</si>
  <si>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</si>
  <si>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</si>
  <si>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</si>
  <si>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</si>
  <si>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</si>
  <si>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</si>
  <si>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</si>
  <si>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</si>
  <si>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</si>
  <si>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</si>
  <si>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</si>
  <si>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</si>
  <si>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</si>
  <si>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STUNDENBILANZ</t>
  </si>
  <si>
    <t>KW</t>
  </si>
  <si>
    <t>Stundenaktualisierung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</si>
  <si>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</si>
  <si>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</si>
  <si>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</si>
  <si>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</si>
  <si>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</si>
  <si>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</si>
  <si>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</si>
  <si>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</si>
  <si>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</si>
  <si>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</si>
  <si>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</si>
  <si>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</si>
  <si>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</si>
  <si>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</si>
  <si>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</si>
  <si>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</si>
  <si>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</si>
  <si>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</si>
  <si>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</si>
  <si>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</si>
  <si>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</si>
  <si>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</si>
  <si>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</si>
  <si>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</si>
  <si>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</si>
  <si>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</si>
  <si>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1</t>
  </si>
  <si>
    <t>Template 2</t>
  </si>
  <si>
    <t>Template 4</t>
  </si>
  <si>
    <t>Template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</si>
</sst>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97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3" fillId="9" borderId="6" xfId="0" applyFont="1" applyFill="1" applyBorder="1" applyAlignment="1">
      <alignment horizontal="left"/>
    </xf>
    <xf numFmtId="14" fontId="3" fillId="9" borderId="7" xfId="0" applyNumberFormat="1" applyFont="1" applyFill="1" applyBorder="1" applyAlignment="1">
      <alignment horizontal="right"/>
    </xf>
    <xf numFmtId="20" fontId="2" fillId="9" borderId="11" xfId="0" applyNumberFormat="1" applyFont="1" applyFill="1" applyBorder="1" applyAlignment="1">
      <alignment horizontal="right"/>
    </xf>
    <xf numFmtId="20" fontId="2" fillId="9" borderId="1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right"/>
    </xf>
    <xf numFmtId="20" fontId="2" fillId="9" borderId="7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right"/>
    </xf>
    <xf numFmtId="0" fontId="3" fillId="9" borderId="0" xfId="0" applyFont="1" applyFill="1" applyAlignment="1">
      <alignment horizontal="center"/>
    </xf>
    <xf numFmtId="14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9" borderId="0" xfId="0" applyFont="1" applyFill="1"/>
    <xf numFmtId="0" fontId="8" fillId="0" borderId="0" xfId="0" applyFont="1" applyAlignment="1">
      <alignment horizontal="center"/>
    </xf>
    <xf numFmtId="14" fontId="3" fillId="8" borderId="16" xfId="0" applyNumberFormat="1" applyFont="1" applyFill="1" applyBorder="1" applyAlignment="1">
      <alignment horizontal="center"/>
    </xf>
    <xf numFmtId="14" fontId="3" fillId="8" borderId="19" xfId="0" applyNumberFormat="1" applyFont="1" applyFill="1" applyBorder="1" applyAlignment="1">
      <alignment horizontal="center"/>
    </xf>
    <xf numFmtId="164" fontId="3" fillId="8" borderId="13" xfId="0" applyNumberFormat="1" applyFont="1" applyFill="1" applyBorder="1" applyAlignment="1">
      <alignment horizontal="center"/>
    </xf>
    <xf numFmtId="164" fontId="3" fillId="8" borderId="20" xfId="0" applyNumberFormat="1" applyFont="1" applyFill="1" applyBorder="1" applyAlignment="1">
      <alignment horizontal="center"/>
    </xf>
    <xf numFmtId="164" fontId="3" fillId="8" borderId="21" xfId="0" applyNumberFormat="1" applyFont="1" applyFill="1" applyBorder="1" applyAlignment="1">
      <alignment horizontal="center"/>
    </xf>
    <xf numFmtId="20" fontId="3" fillId="9" borderId="0" xfId="0" applyNumberFormat="1" applyFont="1" applyFill="1" applyAlignment="1">
      <alignment horizontal="center"/>
    </xf>
    <xf numFmtId="0" fontId="8" fillId="9" borderId="0" xfId="0" applyFont="1" applyFill="1" applyAlignment="1">
      <alignment horizontal="center"/>
    </xf>
    <xf numFmtId="14" fontId="8" fillId="9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10" borderId="19" xfId="0" applyNumberFormat="1" applyFont="1" applyFill="1" applyBorder="1" applyAlignment="1">
      <alignment horizontal="center"/>
    </xf>
    <xf numFmtId="14" fontId="3" fillId="10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8" borderId="17" xfId="0" applyNumberFormat="1" applyFont="1" applyFill="1" applyBorder="1" applyAlignment="1">
      <alignment horizontal="center"/>
    </xf>
    <xf numFmtId="164" fontId="3" fillId="8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7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1" borderId="7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9" borderId="0" xfId="0" applyFill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6" fillId="0" borderId="0" xfId="0" applyFont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3" fillId="8" borderId="0" xfId="0" applyNumberFormat="1" applyFont="1" applyFill="1" applyBorder="1" applyAlignment="1">
      <alignment horizontal="center"/>
    </xf>
    <xf numFmtId="164" fontId="3" fillId="8" borderId="1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2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7" borderId="0" xfId="0" applyNumberFormat="1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20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b val="0"/>
        <i val="0"/>
      </font>
      <fill>
        <patternFill>
          <bgColor theme="0" tint="-0.34998626667073579"/>
        </patternFill>
      </fill>
    </dxf>
    <dxf>
      <font>
        <b val="0"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2032" dataDxfId="2030" headerRowBorderDxfId="2031" tableBorderDxfId="2029">
  <tableColumns count="8">
    <tableColumn id="1" xr3:uid="{5A6CD86A-53D2-4543-89EE-AA01630B906F}" name="Tag" dataDxfId="2028">
      <calculatedColumnFormula>TEXT(Tabelle121730301[[#This Row],[Datum]],"tttt")</calculatedColumnFormula>
    </tableColumn>
    <tableColumn id="2" xr3:uid="{E04B22CE-B70B-4794-BD76-40B384D495D3}" name="Datum" dataDxfId="2027"/>
    <tableColumn id="3" xr3:uid="{2054E7F2-FC95-4301-9FE8-CA47570E7F83}" name="Beginn" dataDxfId="2026">
      <calculatedColumnFormula>SUM(M13:M31)</calculatedColumnFormula>
    </tableColumn>
    <tableColumn id="4" xr3:uid="{035D3708-F192-48E5-A5CA-C794D54CA04A}" name="Ende" dataDxfId="2025">
      <calculatedColumnFormula>SUM(N13:N31)</calculatedColumnFormula>
    </tableColumn>
    <tableColumn id="5" xr3:uid="{02006F45-78B5-4BFC-B1EF-93603CAA6E34}" name="Eintragung" dataDxfId="2024"/>
    <tableColumn id="6" xr3:uid="{3EEA7A06-3F78-47F9-8B77-A2457BBF2908}" name="Pause" dataDxfId="2023"/>
    <tableColumn id="7" xr3:uid="{5D40E971-CC9B-48B2-833F-ED346516FC60}" name="Homeoffice/Zusatz" dataDxfId="2022">
      <calculatedColumnFormula>SUM(Q13:Q31)</calculatedColumnFormula>
    </tableColumn>
    <tableColumn id="8" xr3:uid="{7C7DFC8B-8143-4EE8-8BE9-A2FE3A181D07}" name="Summe Tagesarbeitszeit" dataDxfId="20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2020" dataDxfId="2018" headerRowBorderDxfId="2019" tableBorderDxfId="2017">
  <tableColumns count="8">
    <tableColumn id="1" xr3:uid="{D4111217-AC54-4A72-867B-A0FDDE00DF32}" name="Tag" dataDxfId="2016">
      <calculatedColumnFormula>TEXT(Tabelle12173030297208[[#This Row],[Datum]],"tttt")</calculatedColumnFormula>
    </tableColumn>
    <tableColumn id="2" xr3:uid="{640501B1-177C-4701-887E-D57B0224E43D}" name="Datum" dataDxfId="2015"/>
    <tableColumn id="3" xr3:uid="{2C6A0D70-1447-4ECF-8C61-4CF949AAE738}" name="Beginn" dataDxfId="2014"/>
    <tableColumn id="4" xr3:uid="{6EF334FE-EF36-48F8-AC53-3ABD203DFBDA}" name="Ende" dataDxfId="2013">
      <calculatedColumnFormula>SUM(E35:E41)</calculatedColumnFormula>
    </tableColumn>
    <tableColumn id="5" xr3:uid="{681A6781-347A-4478-BB1D-51651226413E}" name="Eintragung" dataDxfId="2012"/>
    <tableColumn id="6" xr3:uid="{5C14A999-02AA-4088-9DAC-4FFBBD58C794}" name="Pause" dataDxfId="2011"/>
    <tableColumn id="7" xr3:uid="{95DFDB67-2A3D-4730-8E20-889BBA26588D}" name="Homeoffice/Zusatz" dataDxfId="2010">
      <calculatedColumnFormula>SUM(H35:H41)</calculatedColumnFormula>
    </tableColumn>
    <tableColumn id="8" xr3:uid="{50B34A7F-B190-4A1B-976D-835F4E5E97CF}" name="Summe Tagesarbeitszeit" dataDxfId="200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2008" dataDxfId="2006" headerRowBorderDxfId="2007" tableBorderDxfId="2005">
  <tableColumns count="8">
    <tableColumn id="1" xr3:uid="{50841EFF-C76B-4530-968B-697F02619B20}" name="Tag" dataDxfId="2004">
      <calculatedColumnFormula>TEXT(Tabelle121730302622107109117209[[#This Row],[Datum]],"tttt")</calculatedColumnFormula>
    </tableColumn>
    <tableColumn id="2" xr3:uid="{408F769A-C973-4110-9C5C-847ED231F066}" name="Datum" dataDxfId="2003"/>
    <tableColumn id="3" xr3:uid="{B44D7BBE-D584-4337-B031-08FCF7A54688}" name="Beginn" dataDxfId="2002"/>
    <tableColumn id="4" xr3:uid="{FB67B3B9-D334-442B-A558-02CC69BF8A82}" name="Ende" dataDxfId="2001">
      <calculatedColumnFormula>SUM(E545:E551)</calculatedColumnFormula>
    </tableColumn>
    <tableColumn id="5" xr3:uid="{51024AED-FEEB-4E4F-BFA6-D42C46C42DA7}" name="Eintragung" dataDxfId="2000"/>
    <tableColumn id="6" xr3:uid="{B4D3C7EE-6C1A-49F1-A69E-14EE909933DF}" name="Pause" dataDxfId="1999"/>
    <tableColumn id="7" xr3:uid="{7CF665FE-58A2-468D-9A02-265E504045FF}" name="Homeoffice/Zusatz" dataDxfId="1998">
      <calculatedColumnFormula>SUM(H545:H551)</calculatedColumnFormula>
    </tableColumn>
    <tableColumn id="8" xr3:uid="{9D39BE3F-61F6-4BAD-A7A5-FD3EB1186E2B}" name="Summe Tagesarbeitszeit" dataDxfId="199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996" dataDxfId="1994" headerRowBorderDxfId="1995" tableBorderDxfId="1993">
  <tableColumns count="8">
    <tableColumn id="1" xr3:uid="{6C56B583-6161-42C2-A4D9-6F23E05EFF59}" name="Tag" dataDxfId="1992">
      <calculatedColumnFormula>TEXT(Tabelle121730[[#This Row],[Datum]],"tttt")</calculatedColumnFormula>
    </tableColumn>
    <tableColumn id="2" xr3:uid="{4689D30F-DFA7-4601-8673-4D70E897F9FD}" name="Datum" dataDxfId="1991"/>
    <tableColumn id="3" xr3:uid="{590234AF-6C62-4CE3-ACFE-0B193078ECF5}" name="Beginn" dataDxfId="1990"/>
    <tableColumn id="4" xr3:uid="{933CF409-73AE-4DFD-A502-F96C5EF30EEA}" name="Ende" dataDxfId="1989"/>
    <tableColumn id="5" xr3:uid="{876BB305-94D4-4D5D-AD85-D560981E02CB}" name="Eintragung" dataDxfId="1988"/>
    <tableColumn id="6" xr3:uid="{CE9D8321-3BF0-43BB-8936-2A20E4A5B337}" name="Pause" dataDxfId="1987"/>
    <tableColumn id="7" xr3:uid="{FEEEC0F0-839D-4BFA-91A3-72665864CBCA}" name="Homeoffice/Zusatz" dataDxfId="1986"/>
    <tableColumn id="8" xr3:uid="{CD6D7190-58B7-40C3-97D4-3FC3B753594C}" name="Summe Tagesarbeitszeit" dataDxfId="198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984" dataDxfId="1982" headerRowBorderDxfId="1983" tableBorderDxfId="1981">
  <tableColumns count="8">
    <tableColumn id="1" xr3:uid="{B843717A-FAD8-4BAA-97DF-A943F027B3FA}" name="Tag" dataDxfId="1980">
      <calculatedColumnFormula>TEXT(Tabelle121730302972083[[#This Row],[Datum]],"tttt")</calculatedColumnFormula>
    </tableColumn>
    <tableColumn id="2" xr3:uid="{FB4008D2-DB93-4781-8FC3-7D6E5543F320}" name="Datum" dataDxfId="1979"/>
    <tableColumn id="3" xr3:uid="{4910EE01-6EFE-496B-9324-8E5F2AFB7516}" name="Beginn" dataDxfId="1978"/>
    <tableColumn id="4" xr3:uid="{ABBD28EB-D70B-4DC3-A2AF-2B2D37BA8121}" name="Ende" dataDxfId="1977">
      <calculatedColumnFormula>SUM(E45:E51)</calculatedColumnFormula>
    </tableColumn>
    <tableColumn id="5" xr3:uid="{AD3B3E6A-5EE0-471A-A8E9-A5BCFB7613D2}" name="Eintragung" dataDxfId="1976"/>
    <tableColumn id="6" xr3:uid="{1A7A00B6-2955-4B13-8065-CBA59C7282F4}" name="Pause" dataDxfId="1975"/>
    <tableColumn id="7" xr3:uid="{FE94046A-9204-47DF-B76C-7870F89C3869}" name="Homeoffice/Zusatz" dataDxfId="1974">
      <calculatedColumnFormula>SUM(H45:H51)</calculatedColumnFormula>
    </tableColumn>
    <tableColumn id="8" xr3:uid="{32F6ADF8-E0ED-438E-8F66-1767EAD894FF}" name="Summe Tagesarbeitszeit" dataDxfId="197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972" dataDxfId="1970" headerRowBorderDxfId="1971" tableBorderDxfId="1969">
  <tableColumns count="8">
    <tableColumn id="1" xr3:uid="{A3E34D3C-3621-4601-88A8-51C23E9AF9C3}" name="Tag" dataDxfId="1968">
      <calculatedColumnFormula>TEXT(Tabelle121730302972084[[#This Row],[Datum]],"tttt")</calculatedColumnFormula>
    </tableColumn>
    <tableColumn id="2" xr3:uid="{83620748-A753-4C9C-A7D6-2BFA21D4F79E}" name="Datum" dataDxfId="1967"/>
    <tableColumn id="3" xr3:uid="{8CE0F005-935D-42DD-8242-5DF614329C7F}" name="Beginn" dataDxfId="1966"/>
    <tableColumn id="4" xr3:uid="{D5DFD9BD-C007-4CE6-A592-7543CF932C86}" name="Ende" dataDxfId="1965">
      <calculatedColumnFormula>SUM(E55:E61)</calculatedColumnFormula>
    </tableColumn>
    <tableColumn id="5" xr3:uid="{C7521458-9EFB-41B2-A085-05A2FB6FC7C4}" name="Eintragung" dataDxfId="1964"/>
    <tableColumn id="6" xr3:uid="{E017B8FA-B7A8-4540-AF02-0213E1C74485}" name="Pause" dataDxfId="1963"/>
    <tableColumn id="7" xr3:uid="{F40A2E5A-926A-4D89-8158-39AF95945408}" name="Homeoffice/Zusatz" dataDxfId="1962">
      <calculatedColumnFormula>SUM(H55:H61)</calculatedColumnFormula>
    </tableColumn>
    <tableColumn id="8" xr3:uid="{98EA9E47-49BC-4FDA-845B-C2226ADC1F1C}" name="Summe Tagesarbeitszeit" dataDxfId="196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960" dataDxfId="1958" headerRowBorderDxfId="1959" tableBorderDxfId="1957">
  <tableColumns count="8">
    <tableColumn id="1" xr3:uid="{2D9868C4-F67C-466D-BC45-44275FAE6180}" name="Tag" dataDxfId="1956">
      <calculatedColumnFormula>TEXT(Tabelle121730302972085[[#This Row],[Datum]],"tttt")</calculatedColumnFormula>
    </tableColumn>
    <tableColumn id="2" xr3:uid="{A26FEDE6-30F0-4471-9FB2-2CBD0A076158}" name="Datum" dataDxfId="1955"/>
    <tableColumn id="3" xr3:uid="{7E60BA66-564B-4B44-9D7E-9CCAD4D0CBAC}" name="Beginn" dataDxfId="1954"/>
    <tableColumn id="4" xr3:uid="{774F48C3-C282-41D2-9E12-736AED1359C8}" name="Ende" dataDxfId="1953">
      <calculatedColumnFormula>SUM(E65:E71)</calculatedColumnFormula>
    </tableColumn>
    <tableColumn id="5" xr3:uid="{59FFDCD2-EB81-467D-ADB3-90660A7FE377}" name="Eintragung" dataDxfId="1952"/>
    <tableColumn id="6" xr3:uid="{5A8475D0-1D28-4E78-949D-050EEA5A50E5}" name="Pause" dataDxfId="1951"/>
    <tableColumn id="7" xr3:uid="{9211F7EE-03B0-441B-AE3D-FDEC8BAD74AC}" name="Homeoffice/Zusatz" dataDxfId="1950">
      <calculatedColumnFormula>SUM(H65:H71)</calculatedColumnFormula>
    </tableColumn>
    <tableColumn id="8" xr3:uid="{D3028751-653D-4926-901D-512DDDB45BB6}" name="Summe Tagesarbeitszeit" dataDxfId="194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948" dataDxfId="1946" headerRowBorderDxfId="1947" tableBorderDxfId="1945">
  <tableColumns count="8">
    <tableColumn id="1" xr3:uid="{37E6621E-C9D3-4A3D-8F16-1FFFD83BBB1B}" name="Tag" dataDxfId="1944">
      <calculatedColumnFormula>TEXT(Tabelle121730302972086[[#This Row],[Datum]],"tttt")</calculatedColumnFormula>
    </tableColumn>
    <tableColumn id="2" xr3:uid="{3C9E7358-D4CC-4D45-AC08-2201EFB7666E}" name="Datum" dataDxfId="1943"/>
    <tableColumn id="3" xr3:uid="{F49D7600-0DB3-4525-9E2E-FEDBD4776356}" name="Beginn" dataDxfId="1942"/>
    <tableColumn id="4" xr3:uid="{A9E58932-1450-4A6F-8817-D6E853D54BB2}" name="Ende" dataDxfId="1941">
      <calculatedColumnFormula>SUM(E75:E81)</calculatedColumnFormula>
    </tableColumn>
    <tableColumn id="5" xr3:uid="{AFC46DF9-3549-4368-9FF6-9D15561E4EF8}" name="Eintragung" dataDxfId="1940"/>
    <tableColumn id="6" xr3:uid="{E117499F-B983-4545-9A12-DDC12D3B6914}" name="Pause" dataDxfId="1939"/>
    <tableColumn id="7" xr3:uid="{DD09FB94-95B8-44E7-BFFA-473543E4EE4A}" name="Homeoffice/Zusatz" dataDxfId="1938">
      <calculatedColumnFormula>SUM(H75:H81)</calculatedColumnFormula>
    </tableColumn>
    <tableColumn id="8" xr3:uid="{306ED56C-9E3C-4819-A427-7B1776569D9E}" name="Summe Tagesarbeitszeit" dataDxfId="193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936" dataDxfId="1934" headerRowBorderDxfId="1935" tableBorderDxfId="1933">
  <tableColumns count="8">
    <tableColumn id="1" xr3:uid="{AD784DB3-A674-4F44-B112-E8A79672BB83}" name="Tag" dataDxfId="1932">
      <calculatedColumnFormula>TEXT(Tabelle121730302972087[[#This Row],[Datum]],"tttt")</calculatedColumnFormula>
    </tableColumn>
    <tableColumn id="2" xr3:uid="{3A1D6848-CA09-48A8-9E01-C67279ECD875}" name="Datum" dataDxfId="1931"/>
    <tableColumn id="3" xr3:uid="{BF03ABE2-E684-4882-9D19-BBCAD4377BC7}" name="Beginn" dataDxfId="1930"/>
    <tableColumn id="4" xr3:uid="{F91411CF-63BC-428F-8C5B-6E60341BDE83}" name="Ende" dataDxfId="1929">
      <calculatedColumnFormula>SUM(E85:E91)</calculatedColumnFormula>
    </tableColumn>
    <tableColumn id="5" xr3:uid="{C938F560-800D-4170-91B9-04786D0E37D7}" name="Eintragung" dataDxfId="1928"/>
    <tableColumn id="6" xr3:uid="{7FD8576A-2789-4D7A-B4CD-D4ED6CF67B3D}" name="Pause" dataDxfId="1927"/>
    <tableColumn id="7" xr3:uid="{34521AAD-A40D-4621-9F41-AC1217009CB8}" name="Homeoffice/Zusatz" dataDxfId="1926">
      <calculatedColumnFormula>SUM(H85:H91)</calculatedColumnFormula>
    </tableColumn>
    <tableColumn id="8" xr3:uid="{60C24EBA-4839-4710-A183-B62D9CEA7848}" name="Summe Tagesarbeitszeit" dataDxfId="192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924" dataDxfId="1922" headerRowBorderDxfId="1923" tableBorderDxfId="1921">
  <tableColumns count="8">
    <tableColumn id="1" xr3:uid="{55EE6B8C-0BF6-4AE7-B1D0-DBA09B2AF095}" name="Tag" dataDxfId="1920">
      <calculatedColumnFormula>TEXT(Tabelle1217303029720838[[#This Row],[Datum]],"tttt")</calculatedColumnFormula>
    </tableColumn>
    <tableColumn id="2" xr3:uid="{877AC2B8-A2A0-4B23-8DC1-318EF53CBC7E}" name="Datum" dataDxfId="1919"/>
    <tableColumn id="3" xr3:uid="{5166BBD8-D9A2-4DE3-BF30-290BAE946737}" name="Beginn" dataDxfId="1918"/>
    <tableColumn id="4" xr3:uid="{07D15E99-6E33-47F8-B085-D620C2ED1ABB}" name="Ende" dataDxfId="1917">
      <calculatedColumnFormula>SUM(E95:E101)</calculatedColumnFormula>
    </tableColumn>
    <tableColumn id="5" xr3:uid="{49766A01-EF8A-43BB-B932-3BBFE992444A}" name="Eintragung" dataDxfId="1916"/>
    <tableColumn id="6" xr3:uid="{AD76A18F-E36C-4D11-B144-BE05D9E0BCD3}" name="Pause" dataDxfId="1915"/>
    <tableColumn id="7" xr3:uid="{53AB41EF-2F4A-469E-8624-B6C5A491831E}" name="Homeoffice/Zusatz" dataDxfId="1914">
      <calculatedColumnFormula>SUM(H95:H101)</calculatedColumnFormula>
    </tableColumn>
    <tableColumn id="8" xr3:uid="{127DAC08-E2C4-4CCD-8CF1-53C4ACBCABEA}" name="Summe Tagesarbeitszeit" dataDxfId="191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912" dataDxfId="1910" headerRowBorderDxfId="1911" tableBorderDxfId="1909">
  <tableColumns count="8">
    <tableColumn id="1" xr3:uid="{EEA4C81E-C307-4E56-883D-BDC9F7EE46DB}" name="Tag" dataDxfId="1908">
      <calculatedColumnFormula>TEXT(Tabelle1217303029720849[[#This Row],[Datum]],"tttt")</calculatedColumnFormula>
    </tableColumn>
    <tableColumn id="2" xr3:uid="{6D7E91EF-F5CA-43C4-BAB8-8CD858E65CBD}" name="Datum" dataDxfId="1907"/>
    <tableColumn id="3" xr3:uid="{279DA3E7-5F0B-40C0-BDAB-68E46F322A4B}" name="Beginn" dataDxfId="1906"/>
    <tableColumn id="4" xr3:uid="{BE01B1AF-E224-4477-9474-1FD655CEBBFE}" name="Ende" dataDxfId="1905">
      <calculatedColumnFormula>SUM(E105:E111)</calculatedColumnFormula>
    </tableColumn>
    <tableColumn id="5" xr3:uid="{CFC21BAD-B823-42C8-8B4D-5F8C81AF1BB1}" name="Eintragung" dataDxfId="1904"/>
    <tableColumn id="6" xr3:uid="{47FBC378-F675-46A4-B3FD-55DD696E6E16}" name="Pause" dataDxfId="1903"/>
    <tableColumn id="7" xr3:uid="{7801E1A0-D23A-474A-9558-75BD27D61905}" name="Homeoffice/Zusatz" dataDxfId="1902">
      <calculatedColumnFormula>SUM(H105:H111)</calculatedColumnFormula>
    </tableColumn>
    <tableColumn id="8" xr3:uid="{126FE688-0D3B-4143-A601-1F13FD69A210}" name="Summe Tagesarbeitszeit" dataDxfId="190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900" dataDxfId="1898" headerRowBorderDxfId="1899" tableBorderDxfId="1897">
  <tableColumns count="8">
    <tableColumn id="1" xr3:uid="{AA680C9B-17A7-4505-835C-0638AA0EA8CC}" name="Tag" dataDxfId="1896">
      <calculatedColumnFormula>TEXT(Tabelle1217303029720810[[#This Row],[Datum]],"tttt")</calculatedColumnFormula>
    </tableColumn>
    <tableColumn id="2" xr3:uid="{CA10E77B-F842-4EF7-AD3B-3D212BAA5F5B}" name="Datum" dataDxfId="1895"/>
    <tableColumn id="3" xr3:uid="{9D43C789-C067-49E4-A380-7013E6FC5810}" name="Beginn" dataDxfId="1894"/>
    <tableColumn id="4" xr3:uid="{084597C3-FFA7-43E6-8CF6-66991CBE775A}" name="Ende" dataDxfId="1893">
      <calculatedColumnFormula>SUM(E115:E121)</calculatedColumnFormula>
    </tableColumn>
    <tableColumn id="5" xr3:uid="{3169FFB8-E2DD-418E-B75B-78AE5FC0B7F8}" name="Eintragung" dataDxfId="1892"/>
    <tableColumn id="6" xr3:uid="{78EBB02F-1177-432F-B628-1C58154B6314}" name="Pause" dataDxfId="1891"/>
    <tableColumn id="7" xr3:uid="{08F08734-3B89-44BF-997A-A8223FF608B6}" name="Homeoffice/Zusatz" dataDxfId="1890">
      <calculatedColumnFormula>SUM(H115:H121)</calculatedColumnFormula>
    </tableColumn>
    <tableColumn id="8" xr3:uid="{A1D3C5E8-E0DB-4923-8668-3BAE443CBC15}" name="Summe Tagesarbeitszeit" dataDxfId="188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888" dataDxfId="1886" headerRowBorderDxfId="1887" tableBorderDxfId="1885">
  <tableColumns count="8">
    <tableColumn id="1" xr3:uid="{0DF33955-E5B8-49D1-A6CF-252036001DCF}" name="Tag" dataDxfId="1884">
      <calculatedColumnFormula>TEXT(Tabelle12173030297208311[[#This Row],[Datum]],"tttt")</calculatedColumnFormula>
    </tableColumn>
    <tableColumn id="2" xr3:uid="{836E3504-E9A0-4EF1-8ED1-52C919F52814}" name="Datum" dataDxfId="1883"/>
    <tableColumn id="3" xr3:uid="{10D2A8EC-9F3A-4F55-B68E-AA845508A503}" name="Beginn" dataDxfId="1882"/>
    <tableColumn id="4" xr3:uid="{D22BFC78-F0D7-4A5D-8372-2B05A056ADF4}" name="Ende" dataDxfId="1881">
      <calculatedColumnFormula>SUM(E125:E131)</calculatedColumnFormula>
    </tableColumn>
    <tableColumn id="5" xr3:uid="{A5308834-9C67-4444-ACDF-4D43E6E1631E}" name="Eintragung" dataDxfId="1880"/>
    <tableColumn id="6" xr3:uid="{0B458959-04B5-4419-8F76-BE94C4715434}" name="Pause" dataDxfId="1879"/>
    <tableColumn id="7" xr3:uid="{2635EE68-C8A2-4745-A86A-6AB3046AB482}" name="Homeoffice/Zusatz" dataDxfId="1878">
      <calculatedColumnFormula>SUM(H125:H131)</calculatedColumnFormula>
    </tableColumn>
    <tableColumn id="8" xr3:uid="{D6DB9623-E1B4-4114-BF81-CE6932F29468}" name="Summe Tagesarbeitszeit" dataDxfId="187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876" dataDxfId="1874" headerRowBorderDxfId="1875" tableBorderDxfId="1873">
  <tableColumns count="8">
    <tableColumn id="1" xr3:uid="{D5407D55-851B-4368-8363-D284E803EE47}" name="Tag" dataDxfId="1872">
      <calculatedColumnFormula>TEXT(Tabelle12173030297208412[[#This Row],[Datum]],"tttt")</calculatedColumnFormula>
    </tableColumn>
    <tableColumn id="2" xr3:uid="{31724FA6-42AB-4A98-9649-6DC8F3278825}" name="Datum" dataDxfId="1871"/>
    <tableColumn id="3" xr3:uid="{696F3533-5862-4A1B-9A2A-525982B45833}" name="Beginn" dataDxfId="1870"/>
    <tableColumn id="4" xr3:uid="{8674F842-1547-4475-8C41-B4B271377096}" name="Ende" dataDxfId="1869">
      <calculatedColumnFormula>SUM(E135:E141)</calculatedColumnFormula>
    </tableColumn>
    <tableColumn id="5" xr3:uid="{3383188E-8AA5-45C5-9AF0-A2BC1316354B}" name="Eintragung" dataDxfId="1868"/>
    <tableColumn id="6" xr3:uid="{C47802FD-F2AB-48F4-8965-BC3DB338E918}" name="Pause" dataDxfId="1867"/>
    <tableColumn id="7" xr3:uid="{9332B7D8-00CE-48D7-817C-84A5958A48FD}" name="Homeoffice/Zusatz" dataDxfId="1866">
      <calculatedColumnFormula>SUM(H135:H141)</calculatedColumnFormula>
    </tableColumn>
    <tableColumn id="8" xr3:uid="{22CB0B57-FFA7-4303-B51C-1D72FCF4367C}" name="Summe Tagesarbeitszeit" dataDxfId="186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864" dataDxfId="1862" headerRowBorderDxfId="1863" tableBorderDxfId="1861">
  <tableColumns count="8">
    <tableColumn id="1" xr3:uid="{699BBD68-6AF3-4CDE-B6A5-1F84875103BF}" name="Tag" dataDxfId="1860">
      <calculatedColumnFormula>TEXT(Tabelle1217303029720813[[#This Row],[Datum]],"tttt")</calculatedColumnFormula>
    </tableColumn>
    <tableColumn id="2" xr3:uid="{C89AD4CC-6A1A-4CDC-9AF5-A495194B814E}" name="Datum" dataDxfId="1859"/>
    <tableColumn id="3" xr3:uid="{43C25ABB-DC59-4617-92DA-A28BA2FE3782}" name="Beginn" dataDxfId="1858"/>
    <tableColumn id="4" xr3:uid="{3D7FBA39-B7A7-4D56-BE0C-CF1CA1DC9F6B}" name="Ende" dataDxfId="1857">
      <calculatedColumnFormula>SUM(E145:E151)</calculatedColumnFormula>
    </tableColumn>
    <tableColumn id="5" xr3:uid="{A4EB2EA1-BC2E-4AE8-81B3-E37F0EC8E68F}" name="Eintragung" dataDxfId="1856"/>
    <tableColumn id="6" xr3:uid="{6BD092C5-BF9C-490B-8907-EA580A3D1B91}" name="Pause" dataDxfId="1855"/>
    <tableColumn id="7" xr3:uid="{F9F35663-B1C8-468E-841E-066A9674A6E3}" name="Homeoffice/Zusatz" dataDxfId="1854">
      <calculatedColumnFormula>SUM(H145:H151)</calculatedColumnFormula>
    </tableColumn>
    <tableColumn id="8" xr3:uid="{A32342B0-CE95-4099-B803-E559679A3D56}" name="Summe Tagesarbeitszeit" dataDxfId="185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852" dataDxfId="1850" headerRowBorderDxfId="1851" tableBorderDxfId="1849">
  <tableColumns count="8">
    <tableColumn id="1" xr3:uid="{788D866B-B453-4BBE-BEB6-B20081ABE2D8}" name="Tag" dataDxfId="1848">
      <calculatedColumnFormula>TEXT(Tabelle12173030297208314[[#This Row],[Datum]],"tttt")</calculatedColumnFormula>
    </tableColumn>
    <tableColumn id="2" xr3:uid="{C76A406B-3DA6-4BA1-9147-DBC5F9EE8D22}" name="Datum" dataDxfId="1847"/>
    <tableColumn id="3" xr3:uid="{B6622FA5-2AA2-42DC-B9AD-0E31E3CE3E98}" name="Beginn" dataDxfId="1846"/>
    <tableColumn id="4" xr3:uid="{0B708489-20B8-4849-9DC1-A2E25866514D}" name="Ende" dataDxfId="1845">
      <calculatedColumnFormula>SUM(E155:E161)</calculatedColumnFormula>
    </tableColumn>
    <tableColumn id="5" xr3:uid="{060D6A40-C268-425D-A435-86DB0E774298}" name="Eintragung" dataDxfId="1844"/>
    <tableColumn id="6" xr3:uid="{0227F442-37D1-43A7-A01C-E18BECEB76BF}" name="Pause" dataDxfId="1843"/>
    <tableColumn id="7" xr3:uid="{26CDB8FF-58C1-4103-A9A0-465C013AAF91}" name="Homeoffice/Zusatz" dataDxfId="1842">
      <calculatedColumnFormula>SUM(H155:H161)</calculatedColumnFormula>
    </tableColumn>
    <tableColumn id="8" xr3:uid="{1C18135A-5FF1-4FAE-A605-9F98C2C957E1}" name="Summe Tagesarbeitszeit" dataDxfId="184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840" dataDxfId="1838" headerRowBorderDxfId="1839" tableBorderDxfId="1837">
  <tableColumns count="8">
    <tableColumn id="1" xr3:uid="{C823AE45-2525-4403-980D-128DAC19A745}" name="Tag" dataDxfId="1836">
      <calculatedColumnFormula>TEXT(Tabelle12173030297208415[[#This Row],[Datum]],"tttt")</calculatedColumnFormula>
    </tableColumn>
    <tableColumn id="2" xr3:uid="{77C4BEDB-E160-4DA3-A1B0-74E237C99507}" name="Datum" dataDxfId="1835"/>
    <tableColumn id="3" xr3:uid="{CC3BB2EF-0538-4EAF-9CD1-EEAF66C8147B}" name="Beginn" dataDxfId="1834"/>
    <tableColumn id="4" xr3:uid="{419FBD6D-BF75-4C91-BA29-B33235FC3B9C}" name="Ende" dataDxfId="1833">
      <calculatedColumnFormula>SUM(E165:E171)</calculatedColumnFormula>
    </tableColumn>
    <tableColumn id="5" xr3:uid="{E076CA85-A10F-4EAB-9DCE-FC0D83753AA7}" name="Eintragung" dataDxfId="1832"/>
    <tableColumn id="6" xr3:uid="{19DCD01F-9486-4946-96DC-F5E10AAC5FB8}" name="Pause" dataDxfId="1831"/>
    <tableColumn id="7" xr3:uid="{0464F5A9-C3CA-4F41-ADE2-57894DBE2F3F}" name="Homeoffice/Zusatz" dataDxfId="1830">
      <calculatedColumnFormula>SUM(H165:H171)</calculatedColumnFormula>
    </tableColumn>
    <tableColumn id="8" xr3:uid="{C03D3619-2956-4E1F-B0FE-E991AE949858}" name="Summe Tagesarbeitszeit" dataDxfId="182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828" dataDxfId="1826" headerRowBorderDxfId="1827" tableBorderDxfId="1825">
  <tableColumns count="8">
    <tableColumn id="1" xr3:uid="{1FB24F4F-514B-4D3E-8DDC-13008E524457}" name="Tag" dataDxfId="1824">
      <calculatedColumnFormula>TEXT(Tabelle1217303029720816[[#This Row],[Datum]],"tttt")</calculatedColumnFormula>
    </tableColumn>
    <tableColumn id="2" xr3:uid="{9D96AE68-4278-40B4-AB2C-D1ADE9C96F24}" name="Datum" dataDxfId="1823"/>
    <tableColumn id="3" xr3:uid="{6A53DB86-B744-4370-84A8-48CF3042118F}" name="Beginn" dataDxfId="1822"/>
    <tableColumn id="4" xr3:uid="{9FC06366-3AF0-4E0A-B8A5-8D4C43BF963D}" name="Ende" dataDxfId="1821">
      <calculatedColumnFormula>SUM(E175:E181)</calculatedColumnFormula>
    </tableColumn>
    <tableColumn id="5" xr3:uid="{805797C5-512C-49E4-8D0C-64C81B5FF8E9}" name="Eintragung" dataDxfId="1820"/>
    <tableColumn id="6" xr3:uid="{C4D5F361-761F-492C-9987-56C47FFF536E}" name="Pause" dataDxfId="1819"/>
    <tableColumn id="7" xr3:uid="{202EA4EE-073C-444E-81B9-A027C0277A90}" name="Homeoffice/Zusatz" dataDxfId="1818">
      <calculatedColumnFormula>SUM(H175:H181)</calculatedColumnFormula>
    </tableColumn>
    <tableColumn id="8" xr3:uid="{7AA1288A-7675-4E0C-B831-AE4FDFDC93B0}" name="Summe Tagesarbeitszeit" dataDxfId="181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816" dataDxfId="1814" headerRowBorderDxfId="1815" tableBorderDxfId="1813">
  <tableColumns count="8">
    <tableColumn id="1" xr3:uid="{AD58D0A3-23DF-4AF5-806B-8D98E4E77C56}" name="Tag" dataDxfId="1812">
      <calculatedColumnFormula>TEXT(Tabelle12173030297208317[[#This Row],[Datum]],"tttt")</calculatedColumnFormula>
    </tableColumn>
    <tableColumn id="2" xr3:uid="{CC4C88E8-3C8E-4AA4-A473-E298A146F533}" name="Datum" dataDxfId="1811"/>
    <tableColumn id="3" xr3:uid="{0D4BB4C5-3C11-4A86-8892-8D272B83D213}" name="Beginn" dataDxfId="1810"/>
    <tableColumn id="4" xr3:uid="{957E08F2-6D1B-4AD1-A242-BCE5A260147E}" name="Ende" dataDxfId="1809">
      <calculatedColumnFormula>SUM(E185:E191)</calculatedColumnFormula>
    </tableColumn>
    <tableColumn id="5" xr3:uid="{724AE3F2-BFC2-459E-A05B-DBCB5C69130D}" name="Eintragung" dataDxfId="1808"/>
    <tableColumn id="6" xr3:uid="{34A29602-C44B-403B-908B-DA5E7A40D5DE}" name="Pause" dataDxfId="1807"/>
    <tableColumn id="7" xr3:uid="{CBF81E64-E4BE-4169-955F-EEE965744DEF}" name="Homeoffice/Zusatz" dataDxfId="1806">
      <calculatedColumnFormula>SUM(H185:H191)</calculatedColumnFormula>
    </tableColumn>
    <tableColumn id="8" xr3:uid="{009ACF1F-3802-4EB5-BBE5-4A544559B2FC}" name="Summe Tagesarbeitszeit" dataDxfId="180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804" dataDxfId="1802" headerRowBorderDxfId="1803" tableBorderDxfId="1801">
  <tableColumns count="8">
    <tableColumn id="1" xr3:uid="{51509109-A4B5-43C5-A55E-A88943311D16}" name="Tag" dataDxfId="1800">
      <calculatedColumnFormula>TEXT(Tabelle12173030297208418[[#This Row],[Datum]],"tttt")</calculatedColumnFormula>
    </tableColumn>
    <tableColumn id="2" xr3:uid="{D4EFD17C-3F56-4EED-9067-91F09F5C9811}" name="Datum" dataDxfId="1799"/>
    <tableColumn id="3" xr3:uid="{244F1947-4621-4F83-B586-7CC6C1D87C13}" name="Beginn" dataDxfId="1798"/>
    <tableColumn id="4" xr3:uid="{79FD7CD6-E311-4F67-B132-9638030462C3}" name="Ende" dataDxfId="1797">
      <calculatedColumnFormula>SUM(E195:E201)</calculatedColumnFormula>
    </tableColumn>
    <tableColumn id="5" xr3:uid="{CF85A199-5C11-414A-933E-0BE04F0F5C7A}" name="Eintragung" dataDxfId="1796"/>
    <tableColumn id="6" xr3:uid="{E0F7F6B9-3EB5-48F1-82AE-C21B64BD7B6B}" name="Pause" dataDxfId="1795"/>
    <tableColumn id="7" xr3:uid="{C796E0E0-398B-46EF-8312-1F1BE615906D}" name="Homeoffice/Zusatz" dataDxfId="1794">
      <calculatedColumnFormula>SUM(H195:H201)</calculatedColumnFormula>
    </tableColumn>
    <tableColumn id="8" xr3:uid="{76502CF7-D49B-44B5-BB8F-A5C8882D2BC6}" name="Summe Tagesarbeitszeit" dataDxfId="179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792" dataDxfId="1790" headerRowBorderDxfId="1791" tableBorderDxfId="1789">
  <tableColumns count="8">
    <tableColumn id="1" xr3:uid="{9F798CEE-CBB0-4C73-8173-D3FEBD26A6B9}" name="Tag" dataDxfId="1788">
      <calculatedColumnFormula>TEXT(Tabelle1217303029720819[[#This Row],[Datum]],"tttt")</calculatedColumnFormula>
    </tableColumn>
    <tableColumn id="2" xr3:uid="{0D25F6C8-753F-483C-85CC-62239720A073}" name="Datum" dataDxfId="1787"/>
    <tableColumn id="3" xr3:uid="{9B308E0C-25F2-43E3-AC5D-E2D80A508C1F}" name="Beginn" dataDxfId="1786"/>
    <tableColumn id="4" xr3:uid="{8EFEFBBA-DFD0-4DB5-BDA8-4DB0CCEB9313}" name="Ende" dataDxfId="1785">
      <calculatedColumnFormula>SUM(E205:E211)</calculatedColumnFormula>
    </tableColumn>
    <tableColumn id="5" xr3:uid="{2D6E61CB-0AFE-49CE-8CE8-3A15DA37106F}" name="Eintragung" dataDxfId="1784"/>
    <tableColumn id="6" xr3:uid="{0362292D-5B60-47E9-AC40-1B811F83ED93}" name="Pause" dataDxfId="1783"/>
    <tableColumn id="7" xr3:uid="{E54AD878-796E-4538-96AA-1BA578A0E001}" name="Homeoffice/Zusatz" dataDxfId="1782">
      <calculatedColumnFormula>SUM(H205:H211)</calculatedColumnFormula>
    </tableColumn>
    <tableColumn id="8" xr3:uid="{55D22C81-64D4-40CF-B661-0D067963064A}" name="Summe Tagesarbeitszeit" dataDxfId="178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780" dataDxfId="1778" headerRowBorderDxfId="1779" tableBorderDxfId="1777">
  <tableColumns count="8">
    <tableColumn id="1" xr3:uid="{D898F3EB-C362-4795-8CE0-04FDC9E8C8A0}" name="Tag" dataDxfId="1776">
      <calculatedColumnFormula>TEXT(Tabelle12173030297208320[[#This Row],[Datum]],"tttt")</calculatedColumnFormula>
    </tableColumn>
    <tableColumn id="2" xr3:uid="{DAF35592-210A-4070-8E41-E4D8C1D16A7F}" name="Datum" dataDxfId="1775"/>
    <tableColumn id="3" xr3:uid="{AAECC6A8-C39E-472E-A2A7-4688BE84B4BB}" name="Beginn" dataDxfId="1774"/>
    <tableColumn id="4" xr3:uid="{8355B0B0-E215-42C5-8820-A888AB53CDCD}" name="Ende" dataDxfId="1773">
      <calculatedColumnFormula>SUM(E215:E221)</calculatedColumnFormula>
    </tableColumn>
    <tableColumn id="5" xr3:uid="{A2460663-8EC9-4D74-BAC8-F6AD15D3FB78}" name="Eintragung" dataDxfId="1772"/>
    <tableColumn id="6" xr3:uid="{D0F72D1A-E436-4F30-8C3C-54A5FBADBE78}" name="Pause" dataDxfId="1771"/>
    <tableColumn id="7" xr3:uid="{D92CFA33-842E-4B74-A725-2ADD753DF754}" name="Homeoffice/Zusatz" dataDxfId="1770">
      <calculatedColumnFormula>SUM(H215:H221)</calculatedColumnFormula>
    </tableColumn>
    <tableColumn id="8" xr3:uid="{1E8344E7-9607-4BBD-A220-A2C8ED61B7E4}" name="Summe Tagesarbeitszeit" dataDxfId="176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768" dataDxfId="1766" headerRowBorderDxfId="1767" tableBorderDxfId="1765">
  <tableColumns count="8">
    <tableColumn id="1" xr3:uid="{1895FA56-0B40-4AEB-9370-9D10A76AD755}" name="Tag" dataDxfId="1764">
      <calculatedColumnFormula>TEXT(Tabelle12173030297208421[[#This Row],[Datum]],"tttt")</calculatedColumnFormula>
    </tableColumn>
    <tableColumn id="2" xr3:uid="{E50170D2-901B-49CC-AECA-AB0F044DDD3D}" name="Datum" dataDxfId="1763"/>
    <tableColumn id="3" xr3:uid="{0D84E5ED-33D4-4696-AB47-D5859691465E}" name="Beginn" dataDxfId="1762"/>
    <tableColumn id="4" xr3:uid="{E6C95861-7DB0-4348-8B85-027A067BADAA}" name="Ende" dataDxfId="1761">
      <calculatedColumnFormula>SUM(E225:E231)</calculatedColumnFormula>
    </tableColumn>
    <tableColumn id="5" xr3:uid="{6E54CF09-AB85-4E54-A73A-4801EA3B5232}" name="Eintragung" dataDxfId="1760"/>
    <tableColumn id="6" xr3:uid="{04F9495E-8CF0-421E-8F20-7FEAA582573E}" name="Pause" dataDxfId="1759"/>
    <tableColumn id="7" xr3:uid="{B0B309AA-407E-4E3B-BBC9-D8E0FF146A27}" name="Homeoffice/Zusatz" dataDxfId="1758">
      <calculatedColumnFormula>SUM(H225:H231)</calculatedColumnFormula>
    </tableColumn>
    <tableColumn id="8" xr3:uid="{984B470A-596E-446A-BDFB-A301859D5EAE}" name="Summe Tagesarbeitszeit" dataDxfId="175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756" dataDxfId="1754" headerRowBorderDxfId="1755" tableBorderDxfId="1753">
  <tableColumns count="8">
    <tableColumn id="1" xr3:uid="{03543446-1FFC-4426-ACCE-C2F7E5E06365}" name="Tag" dataDxfId="1752">
      <calculatedColumnFormula>TEXT(Tabelle1217303029720822[[#This Row],[Datum]],"tttt")</calculatedColumnFormula>
    </tableColumn>
    <tableColumn id="2" xr3:uid="{FA1A7EC3-D438-465A-AC90-B2B6540A6D07}" name="Datum" dataDxfId="1751"/>
    <tableColumn id="3" xr3:uid="{1E431EE6-D9DF-4B4E-B99E-2C68F713D5D5}" name="Beginn" dataDxfId="1750"/>
    <tableColumn id="4" xr3:uid="{5B519198-B019-471F-ADFD-6D98EAC93431}" name="Ende" dataDxfId="1749">
      <calculatedColumnFormula>SUM(E235:E241)</calculatedColumnFormula>
    </tableColumn>
    <tableColumn id="5" xr3:uid="{385B9D50-F950-4B75-AEFA-2ED10EEF6712}" name="Eintragung" dataDxfId="1748"/>
    <tableColumn id="6" xr3:uid="{64A62E3A-76B3-48C8-AB91-99301BE74C39}" name="Pause" dataDxfId="1747"/>
    <tableColumn id="7" xr3:uid="{0EAF0ECC-72F8-41EC-81BC-45D4B5816427}" name="Homeoffice/Zusatz" dataDxfId="1746">
      <calculatedColumnFormula>SUM(H235:H241)</calculatedColumnFormula>
    </tableColumn>
    <tableColumn id="8" xr3:uid="{D65C7E8F-54AF-49FD-9112-2F9A1452D8B7}" name="Summe Tagesarbeitszeit" dataDxfId="174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744" dataDxfId="1742" headerRowBorderDxfId="1743" tableBorderDxfId="1741">
  <tableColumns count="8">
    <tableColumn id="1" xr3:uid="{D9F4F470-D1C2-4638-BFA9-7DACC82ABAB1}" name="Tag" dataDxfId="1740">
      <calculatedColumnFormula>TEXT(Tabelle12173030297208323[[#This Row],[Datum]],"tttt")</calculatedColumnFormula>
    </tableColumn>
    <tableColumn id="2" xr3:uid="{305532F6-148F-4FFE-9D77-6C5157D0DF68}" name="Datum" dataDxfId="1739"/>
    <tableColumn id="3" xr3:uid="{71DE9F29-EB51-4521-B0A0-7014AB0BFCB7}" name="Beginn" dataDxfId="1738"/>
    <tableColumn id="4" xr3:uid="{74736FFC-492B-4076-B366-CDD9767F38BE}" name="Ende" dataDxfId="1737">
      <calculatedColumnFormula>SUM(E245:E251)</calculatedColumnFormula>
    </tableColumn>
    <tableColumn id="5" xr3:uid="{E8A80328-BA80-4600-99A2-169828C0E521}" name="Eintragung" dataDxfId="1736"/>
    <tableColumn id="6" xr3:uid="{666B4FD0-15EF-443E-96D4-DA733AD71826}" name="Pause" dataDxfId="1735"/>
    <tableColumn id="7" xr3:uid="{08D1096A-CBD7-4A1C-9657-B3F126EFD4D7}" name="Homeoffice/Zusatz" dataDxfId="1734">
      <calculatedColumnFormula>SUM(H245:H251)</calculatedColumnFormula>
    </tableColumn>
    <tableColumn id="8" xr3:uid="{A6D444FE-6890-42FA-8EDF-8E822762B16D}" name="Summe Tagesarbeitszeit" dataDxfId="173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732" dataDxfId="1730" headerRowBorderDxfId="1731" tableBorderDxfId="1729">
  <tableColumns count="8">
    <tableColumn id="1" xr3:uid="{D48B8BB5-213C-4ABE-A60F-BA2E19E10085}" name="Tag" dataDxfId="1728">
      <calculatedColumnFormula>TEXT(Tabelle12173030297208424[[#This Row],[Datum]],"tttt")</calculatedColumnFormula>
    </tableColumn>
    <tableColumn id="2" xr3:uid="{D7B04CA5-0297-4183-93F7-73BADD3EC01A}" name="Datum" dataDxfId="1727"/>
    <tableColumn id="3" xr3:uid="{AAE8A21A-104F-4634-94DD-46CDBCF95AA8}" name="Beginn" dataDxfId="1726"/>
    <tableColumn id="4" xr3:uid="{873BC0BE-AF15-45C5-BE73-E099ADB0BFF5}" name="Ende" dataDxfId="1725">
      <calculatedColumnFormula>SUM(E255:E261)</calculatedColumnFormula>
    </tableColumn>
    <tableColumn id="5" xr3:uid="{BE61B455-252F-4954-9DB7-2C4F4E388910}" name="Eintragung" dataDxfId="1724"/>
    <tableColumn id="6" xr3:uid="{B1F27E90-087E-4431-B8A9-F13067DE2941}" name="Pause" dataDxfId="1723"/>
    <tableColumn id="7" xr3:uid="{6176A618-ED9D-4188-AEC0-58B66F0D0A25}" name="Homeoffice/Zusatz" dataDxfId="1722">
      <calculatedColumnFormula>SUM(H255:H261)</calculatedColumnFormula>
    </tableColumn>
    <tableColumn id="8" xr3:uid="{D1328545-DCCB-40A9-AA77-0E570802F6AA}" name="Summe Tagesarbeitszeit" dataDxfId="172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720" dataDxfId="1718" headerRowBorderDxfId="1719" tableBorderDxfId="1717">
  <tableColumns count="8">
    <tableColumn id="1" xr3:uid="{F9BA2555-83A0-4BB6-89A0-9E0C4FA3BE9C}" name="Tag" dataDxfId="1716">
      <calculatedColumnFormula>TEXT(Tabelle1217303029720825[[#This Row],[Datum]],"tttt")</calculatedColumnFormula>
    </tableColumn>
    <tableColumn id="2" xr3:uid="{3235BD80-3712-4622-890D-3826DDF37F2A}" name="Datum" dataDxfId="1715"/>
    <tableColumn id="3" xr3:uid="{3F540362-D739-475E-B468-C069F513F11E}" name="Beginn" dataDxfId="1714"/>
    <tableColumn id="4" xr3:uid="{1A8897AF-C36F-478A-9832-BE6D16B62C81}" name="Ende" dataDxfId="1713">
      <calculatedColumnFormula>SUM(E265:E271)</calculatedColumnFormula>
    </tableColumn>
    <tableColumn id="5" xr3:uid="{3782CD83-441F-4439-B019-F1D37E4F57FC}" name="Eintragung" dataDxfId="1712"/>
    <tableColumn id="6" xr3:uid="{33B43215-C248-4304-BEF2-B82E91B7495F}" name="Pause" dataDxfId="1711"/>
    <tableColumn id="7" xr3:uid="{74C5F289-F521-4C16-8A5F-B5280DD2045D}" name="Homeoffice/Zusatz" dataDxfId="1710">
      <calculatedColumnFormula>SUM(H265:H271)</calculatedColumnFormula>
    </tableColumn>
    <tableColumn id="8" xr3:uid="{68D45E92-592D-40E2-A4D3-C50FF111B9F8}" name="Summe Tagesarbeitszeit" dataDxfId="170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708" dataDxfId="1706" headerRowBorderDxfId="1707" tableBorderDxfId="1705">
  <tableColumns count="8">
    <tableColumn id="1" xr3:uid="{57778E48-8098-4A9B-AC37-519F73195E38}" name="Tag" dataDxfId="1704">
      <calculatedColumnFormula>TEXT(Tabelle12173030297208326[[#This Row],[Datum]],"tttt")</calculatedColumnFormula>
    </tableColumn>
    <tableColumn id="2" xr3:uid="{4B313844-1BDB-4CE2-BB50-C4D0CC2BAB57}" name="Datum" dataDxfId="1703"/>
    <tableColumn id="3" xr3:uid="{A57FE896-BE25-41E3-BFF2-81ACABA04BAC}" name="Beginn" dataDxfId="1702"/>
    <tableColumn id="4" xr3:uid="{6C4D8C9E-8A47-4B0E-B48D-50FE1DCC25E1}" name="Ende" dataDxfId="1701">
      <calculatedColumnFormula>SUM(E275:E281)</calculatedColumnFormula>
    </tableColumn>
    <tableColumn id="5" xr3:uid="{B643A7F9-78BD-4D72-B4A4-C2F04823E3A7}" name="Eintragung" dataDxfId="1700"/>
    <tableColumn id="6" xr3:uid="{FC574488-0489-4702-932C-40156CC12277}" name="Pause" dataDxfId="1699"/>
    <tableColumn id="7" xr3:uid="{44968976-C62F-4354-9DFE-5748B6A3F8D2}" name="Homeoffice/Zusatz" dataDxfId="1698">
      <calculatedColumnFormula>SUM(H275:H281)</calculatedColumnFormula>
    </tableColumn>
    <tableColumn id="8" xr3:uid="{945D9A35-02FC-4494-BA9A-62E274589056}" name="Summe Tagesarbeitszeit" dataDxfId="169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696" dataDxfId="1694" headerRowBorderDxfId="1695" tableBorderDxfId="1693">
  <tableColumns count="8">
    <tableColumn id="1" xr3:uid="{19FB061D-5B66-42E1-B8D4-FDA53ABB7424}" name="Tag" dataDxfId="1692">
      <calculatedColumnFormula>TEXT(Tabelle12173030297208427[[#This Row],[Datum]],"tttt")</calculatedColumnFormula>
    </tableColumn>
    <tableColumn id="2" xr3:uid="{AEBC2956-F6B9-4DEE-A0C8-3411E58FDFDF}" name="Datum" dataDxfId="1691"/>
    <tableColumn id="3" xr3:uid="{061E78ED-5DAD-4F22-9DAE-892408AC023B}" name="Beginn" dataDxfId="1690"/>
    <tableColumn id="4" xr3:uid="{A1835634-6BC5-4C22-A819-B44C6521CC5D}" name="Ende" dataDxfId="1689">
      <calculatedColumnFormula>SUM(E285:E291)</calculatedColumnFormula>
    </tableColumn>
    <tableColumn id="5" xr3:uid="{1AA52E54-CE29-467E-B196-D08D14F099C3}" name="Eintragung" dataDxfId="1688"/>
    <tableColumn id="6" xr3:uid="{D7FF979A-3C9A-4A25-ADAD-B684A1B694B7}" name="Pause" dataDxfId="1687"/>
    <tableColumn id="7" xr3:uid="{9F1AF600-E327-428D-B57F-E1862FEDDA35}" name="Homeoffice/Zusatz" dataDxfId="1686">
      <calculatedColumnFormula>SUM(H285:H291)</calculatedColumnFormula>
    </tableColumn>
    <tableColumn id="8" xr3:uid="{A5085E3E-5171-4789-8CB8-DE9F597CB859}" name="Summe Tagesarbeitszeit" dataDxfId="168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684" dataDxfId="1682" headerRowBorderDxfId="1683" tableBorderDxfId="1681">
  <tableColumns count="8">
    <tableColumn id="1" xr3:uid="{844F5C3F-90F8-430C-A973-804A75352004}" name="Tag" dataDxfId="1680">
      <calculatedColumnFormula>TEXT(Tabelle1217303029720828[[#This Row],[Datum]],"tttt")</calculatedColumnFormula>
    </tableColumn>
    <tableColumn id="2" xr3:uid="{85341D52-FC23-4F88-8AFF-9724DFC3A0A5}" name="Datum" dataDxfId="1679"/>
    <tableColumn id="3" xr3:uid="{D4F35D66-7590-4FF1-8DF0-9121279864BA}" name="Beginn" dataDxfId="1678"/>
    <tableColumn id="4" xr3:uid="{C62ED9BB-2DD1-4174-9467-71480CE52822}" name="Ende" dataDxfId="1677">
      <calculatedColumnFormula>SUM(E295:E301)</calculatedColumnFormula>
    </tableColumn>
    <tableColumn id="5" xr3:uid="{5BFC4DDB-2DDD-4FC7-83C8-7D7DFE0B420F}" name="Eintragung" dataDxfId="1676"/>
    <tableColumn id="6" xr3:uid="{195178F0-D0EF-4D28-AA2A-50932896E6D5}" name="Pause" dataDxfId="1675"/>
    <tableColumn id="7" xr3:uid="{EF3E31C0-D4DE-4268-8F09-E578DD34BC3C}" name="Homeoffice/Zusatz" dataDxfId="1674">
      <calculatedColumnFormula>SUM(H295:H301)</calculatedColumnFormula>
    </tableColumn>
    <tableColumn id="8" xr3:uid="{6CF564C2-2C7D-4C79-909F-B5B29DFFCEA8}" name="Summe Tagesarbeitszeit" dataDxfId="167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672" dataDxfId="1670" headerRowBorderDxfId="1671" tableBorderDxfId="1669">
  <tableColumns count="8">
    <tableColumn id="1" xr3:uid="{BD2AB8B9-E7B8-4AD7-B2FC-859643864202}" name="Tag" dataDxfId="1668">
      <calculatedColumnFormula>TEXT(Tabelle12173030297208329[[#This Row],[Datum]],"tttt")</calculatedColumnFormula>
    </tableColumn>
    <tableColumn id="2" xr3:uid="{608EF4E0-3242-47E4-9BD8-34FC1081A91E}" name="Datum" dataDxfId="1667"/>
    <tableColumn id="3" xr3:uid="{3F8B689C-8EB6-425D-970C-21AB42D08D05}" name="Beginn" dataDxfId="1666"/>
    <tableColumn id="4" xr3:uid="{708E0B2E-F1B7-4BFA-A90D-3F2EB9C0DB18}" name="Ende" dataDxfId="1665">
      <calculatedColumnFormula>SUM(E305:E311)</calculatedColumnFormula>
    </tableColumn>
    <tableColumn id="5" xr3:uid="{C6DFD254-DBD0-4209-9813-6EFAEA1EBF66}" name="Eintragung" dataDxfId="1664"/>
    <tableColumn id="6" xr3:uid="{E6683EB4-5B41-4BBA-A6A3-B539FEC73CF9}" name="Pause" dataDxfId="1663"/>
    <tableColumn id="7" xr3:uid="{53613E87-5FD2-43DC-8F4A-F11928217D10}" name="Homeoffice/Zusatz" dataDxfId="1662">
      <calculatedColumnFormula>SUM(H305:H311)</calculatedColumnFormula>
    </tableColumn>
    <tableColumn id="8" xr3:uid="{7DEBCE11-5817-4A6F-83E3-F6DDF9C44035}" name="Summe Tagesarbeitszeit" dataDxfId="166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660" dataDxfId="1658" headerRowBorderDxfId="1659" tableBorderDxfId="1657">
  <tableColumns count="8">
    <tableColumn id="1" xr3:uid="{EA73DF64-4ED7-4F9E-8F4D-7ADED7050D35}" name="Tag" dataDxfId="1656">
      <calculatedColumnFormula>TEXT(Tabelle12173030297208431[[#This Row],[Datum]],"tttt")</calculatedColumnFormula>
    </tableColumn>
    <tableColumn id="2" xr3:uid="{DF682555-BBF7-4ED7-BD57-B5995A2DA589}" name="Datum" dataDxfId="1655"/>
    <tableColumn id="3" xr3:uid="{3631421A-5804-42FE-AF9E-22FADD1A9FB6}" name="Beginn" dataDxfId="1654"/>
    <tableColumn id="4" xr3:uid="{F8782665-CA71-4DE6-B91F-4B7EB91B76B9}" name="Ende" dataDxfId="1653">
      <calculatedColumnFormula>SUM(E315:E321)</calculatedColumnFormula>
    </tableColumn>
    <tableColumn id="5" xr3:uid="{D14D69AD-B58A-4387-B7AA-EBC3DE5DB21B}" name="Eintragung" dataDxfId="1652"/>
    <tableColumn id="6" xr3:uid="{77461660-6C79-480D-A1F5-DD1B4A41B4A6}" name="Pause" dataDxfId="1651"/>
    <tableColumn id="7" xr3:uid="{C9A45EFB-4DF2-46CF-9332-C544F93E2EA6}" name="Homeoffice/Zusatz" dataDxfId="1650">
      <calculatedColumnFormula>SUM(H315:H321)</calculatedColumnFormula>
    </tableColumn>
    <tableColumn id="8" xr3:uid="{9A067010-F783-4F24-BA05-3E2F713CD90B}" name="Summe Tagesarbeitszeit" dataDxfId="164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648" dataDxfId="1646" headerRowBorderDxfId="1647" tableBorderDxfId="1645">
  <tableColumns count="8">
    <tableColumn id="1" xr3:uid="{CBE6BA6C-6C82-4C6A-BFAC-820EDFAFE097}" name="Tag" dataDxfId="1644">
      <calculatedColumnFormula>TEXT(Tabelle1217303029720832[[#This Row],[Datum]],"tttt")</calculatedColumnFormula>
    </tableColumn>
    <tableColumn id="2" xr3:uid="{AE93EB63-FD59-44E3-8E77-C5922F0D15CF}" name="Datum" dataDxfId="1643"/>
    <tableColumn id="3" xr3:uid="{8ACB1DFC-9E7D-4AAB-867D-5BCC082D54A5}" name="Beginn" dataDxfId="1642"/>
    <tableColumn id="4" xr3:uid="{354D9318-DBC8-4A17-B2AC-6C119A448BA2}" name="Ende" dataDxfId="1641">
      <calculatedColumnFormula>SUM(E325:E331)</calculatedColumnFormula>
    </tableColumn>
    <tableColumn id="5" xr3:uid="{E3188C7B-FB7E-4532-8EA1-102662D08639}" name="Eintragung" dataDxfId="1640"/>
    <tableColumn id="6" xr3:uid="{8167DAC1-26DA-4E51-A0C2-ABC6F358BDD9}" name="Pause" dataDxfId="1639"/>
    <tableColumn id="7" xr3:uid="{52390E35-930F-49CB-B88B-068C351276EF}" name="Homeoffice/Zusatz" dataDxfId="1638">
      <calculatedColumnFormula>SUM(H325:H331)</calculatedColumnFormula>
    </tableColumn>
    <tableColumn id="8" xr3:uid="{79E013E5-B914-4154-A221-65DD114E49CB}" name="Summe Tagesarbeitszeit" dataDxfId="163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636" dataDxfId="1634" headerRowBorderDxfId="1635" tableBorderDxfId="1633">
  <tableColumns count="8">
    <tableColumn id="1" xr3:uid="{B282ECBB-96B2-4EF6-9237-083CB74DDAD8}" name="Tag" dataDxfId="1632">
      <calculatedColumnFormula>TEXT(Tabelle12173030297208333[[#This Row],[Datum]],"tttt")</calculatedColumnFormula>
    </tableColumn>
    <tableColumn id="2" xr3:uid="{663A2947-F452-4319-8010-BECE3B99FA37}" name="Datum" dataDxfId="1631"/>
    <tableColumn id="3" xr3:uid="{F4B0677E-D994-43E0-85B9-F75098D87F87}" name="Beginn" dataDxfId="1630"/>
    <tableColumn id="4" xr3:uid="{B2E13BEB-A8F1-42AB-92C1-9F3C1A900122}" name="Ende" dataDxfId="1629">
      <calculatedColumnFormula>SUM(E335:E341)</calculatedColumnFormula>
    </tableColumn>
    <tableColumn id="5" xr3:uid="{F1842CAF-AE2C-4E76-B04A-10B5D3349D0A}" name="Eintragung" dataDxfId="1628"/>
    <tableColumn id="6" xr3:uid="{44E28DAB-520B-4A3F-9CB6-5E507413EFE6}" name="Pause" dataDxfId="1627"/>
    <tableColumn id="7" xr3:uid="{4108548B-C770-4211-A964-CCB9873445BD}" name="Homeoffice/Zusatz" dataDxfId="1626">
      <calculatedColumnFormula>SUM(H335:H341)</calculatedColumnFormula>
    </tableColumn>
    <tableColumn id="8" xr3:uid="{1737CB21-024C-40EA-96CC-D933D66E481B}" name="Summe Tagesarbeitszeit" dataDxfId="162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624" dataDxfId="1622" headerRowBorderDxfId="1623" tableBorderDxfId="1621">
  <tableColumns count="8">
    <tableColumn id="1" xr3:uid="{73160943-CB04-4A81-BAAA-13BB5B52A533}" name="Tag" dataDxfId="1620">
      <calculatedColumnFormula>TEXT(Tabelle12173030297208434[[#This Row],[Datum]],"tttt")</calculatedColumnFormula>
    </tableColumn>
    <tableColumn id="2" xr3:uid="{7076287E-6019-4445-9CC0-122A786D511B}" name="Datum" dataDxfId="1619"/>
    <tableColumn id="3" xr3:uid="{63079012-F4D8-4947-B432-71F72356FA04}" name="Beginn" dataDxfId="1618"/>
    <tableColumn id="4" xr3:uid="{7CD5A922-DFBD-47A0-A201-3B4079D3355E}" name="Ende" dataDxfId="1617">
      <calculatedColumnFormula>SUM(E345:E351)</calculatedColumnFormula>
    </tableColumn>
    <tableColumn id="5" xr3:uid="{7A620BB8-01C1-4EA6-B4C6-534CEE980F13}" name="Eintragung" dataDxfId="1616"/>
    <tableColumn id="6" xr3:uid="{835A4956-5718-4400-B7A9-EBB3D48F7AC5}" name="Pause" dataDxfId="1615"/>
    <tableColumn id="7" xr3:uid="{45759DF5-CDB4-4563-BDF4-6FEE964257E2}" name="Homeoffice/Zusatz" dataDxfId="1614">
      <calculatedColumnFormula>SUM(H345:H351)</calculatedColumnFormula>
    </tableColumn>
    <tableColumn id="8" xr3:uid="{D52B559E-43F3-449D-8D8E-8955AFE4A3B4}" name="Summe Tagesarbeitszeit" dataDxfId="161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612" dataDxfId="1610" headerRowBorderDxfId="1611" tableBorderDxfId="1609">
  <tableColumns count="8">
    <tableColumn id="1" xr3:uid="{8CDBB8E5-BB8B-48B3-9C79-A7705FDB6D1E}" name="Tag" dataDxfId="1608">
      <calculatedColumnFormula>TEXT(Tabelle1217303029720835[[#This Row],[Datum]],"tttt")</calculatedColumnFormula>
    </tableColumn>
    <tableColumn id="2" xr3:uid="{3215215C-32D3-4AA5-90E0-AE150C52E7AE}" name="Datum" dataDxfId="1607"/>
    <tableColumn id="3" xr3:uid="{D6433B95-63EB-4F4F-B4CC-801C898D683D}" name="Beginn" dataDxfId="1606"/>
    <tableColumn id="4" xr3:uid="{AB26791A-9699-453D-BE4F-AC567F81F872}" name="Ende" dataDxfId="1605">
      <calculatedColumnFormula>SUM(E355:E361)</calculatedColumnFormula>
    </tableColumn>
    <tableColumn id="5" xr3:uid="{3F79109F-7E04-4FAF-BD23-961F017BC7CE}" name="Eintragung" dataDxfId="1604"/>
    <tableColumn id="6" xr3:uid="{204BBB11-F5E1-4E95-9AF0-2E853FD965F1}" name="Pause" dataDxfId="1603"/>
    <tableColumn id="7" xr3:uid="{55CDD24D-5F40-4A02-996D-88DAAB86FC86}" name="Homeoffice/Zusatz" dataDxfId="1602">
      <calculatedColumnFormula>SUM(H355:H361)</calculatedColumnFormula>
    </tableColumn>
    <tableColumn id="8" xr3:uid="{5069DA9C-6380-44EC-8E82-B52F7853B51B}" name="Summe Tagesarbeitszeit" dataDxfId="160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600" dataDxfId="1598" headerRowBorderDxfId="1599" tableBorderDxfId="1597">
  <tableColumns count="8">
    <tableColumn id="1" xr3:uid="{77930BD8-E715-4BC9-BBEF-E0D740E830B7}" name="Tag" dataDxfId="1596">
      <calculatedColumnFormula>TEXT(Tabelle12173030297208336[[#This Row],[Datum]],"tttt")</calculatedColumnFormula>
    </tableColumn>
    <tableColumn id="2" xr3:uid="{4C5CBDC0-9AB6-4888-B21C-47328ACF0629}" name="Datum" dataDxfId="1595"/>
    <tableColumn id="3" xr3:uid="{9DD405E2-8E8D-40F3-9266-0FEF706674BC}" name="Beginn" dataDxfId="1594"/>
    <tableColumn id="4" xr3:uid="{0F72F231-91A7-4596-848D-B3314224D31E}" name="Ende" dataDxfId="1593">
      <calculatedColumnFormula>SUM(E365:E371)</calculatedColumnFormula>
    </tableColumn>
    <tableColumn id="5" xr3:uid="{D5EF1309-C765-470E-8AF0-920E2B945849}" name="Eintragung" dataDxfId="1592"/>
    <tableColumn id="6" xr3:uid="{5CF31167-CE00-4AFD-B8FF-07649DF3B943}" name="Pause" dataDxfId="1591"/>
    <tableColumn id="7" xr3:uid="{8F23C6A9-4EC6-433D-922D-9E8F11D0A9E4}" name="Homeoffice/Zusatz" dataDxfId="1590">
      <calculatedColumnFormula>SUM(H365:H371)</calculatedColumnFormula>
    </tableColumn>
    <tableColumn id="8" xr3:uid="{F58041B6-1650-4358-9E31-76287529A864}" name="Summe Tagesarbeitszeit" dataDxfId="158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588" dataDxfId="1586" headerRowBorderDxfId="1587" tableBorderDxfId="1585">
  <tableColumns count="8">
    <tableColumn id="1" xr3:uid="{FFFC5503-3CF8-4715-B003-94CDD514541A}" name="Tag" dataDxfId="1584">
      <calculatedColumnFormula>TEXT(Tabelle12173030297208437[[#This Row],[Datum]],"tttt")</calculatedColumnFormula>
    </tableColumn>
    <tableColumn id="2" xr3:uid="{70BB0DA9-7710-42F7-BD69-F91E1F6816AA}" name="Datum" dataDxfId="1583"/>
    <tableColumn id="3" xr3:uid="{614A5249-8C4B-4B70-9973-9A8A52EF7C06}" name="Beginn" dataDxfId="1582"/>
    <tableColumn id="4" xr3:uid="{315DA6CC-C69C-404B-ACEC-08DDF44E5961}" name="Ende" dataDxfId="1581">
      <calculatedColumnFormula>SUM(E375:E381)</calculatedColumnFormula>
    </tableColumn>
    <tableColumn id="5" xr3:uid="{EAB251D9-0150-421D-884A-3E83010D71D0}" name="Eintragung" dataDxfId="1580"/>
    <tableColumn id="6" xr3:uid="{4AE0737C-4CC1-4119-BB43-8FACD52652A9}" name="Pause" dataDxfId="1579"/>
    <tableColumn id="7" xr3:uid="{C3688468-075F-4D28-9C98-17689A2A88A1}" name="Homeoffice/Zusatz" dataDxfId="1578">
      <calculatedColumnFormula>SUM(H375:H381)</calculatedColumnFormula>
    </tableColumn>
    <tableColumn id="8" xr3:uid="{682EA27D-9267-4483-90E8-63D738593A89}" name="Summe Tagesarbeitszeit" dataDxfId="157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576" dataDxfId="1574" headerRowBorderDxfId="1575" tableBorderDxfId="1573">
  <tableColumns count="8">
    <tableColumn id="1" xr3:uid="{945910B5-7FBF-401E-B489-316AE1794360}" name="Tag" dataDxfId="1572">
      <calculatedColumnFormula>TEXT(Tabelle1217303029720839[[#This Row],[Datum]],"tttt")</calculatedColumnFormula>
    </tableColumn>
    <tableColumn id="2" xr3:uid="{35F4ACB3-A864-4AF9-94A1-D6966F2E6FC9}" name="Datum" dataDxfId="1571"/>
    <tableColumn id="3" xr3:uid="{1FF620A9-1BA0-489A-AC02-65A3207EEDDE}" name="Beginn" dataDxfId="1570"/>
    <tableColumn id="4" xr3:uid="{EF660C47-6188-422E-A56E-68EE5C493680}" name="Ende" dataDxfId="1569">
      <calculatedColumnFormula>SUM(E385:E391)</calculatedColumnFormula>
    </tableColumn>
    <tableColumn id="5" xr3:uid="{10117E8D-9461-4F0F-8C93-04DD6C1D7558}" name="Eintragung" dataDxfId="1568"/>
    <tableColumn id="6" xr3:uid="{E7EE43A4-A5A3-4216-8E95-DD14301438D7}" name="Pause" dataDxfId="1567"/>
    <tableColumn id="7" xr3:uid="{40401E5E-11C6-4CBB-BCAB-0F3267D6813E}" name="Homeoffice/Zusatz" dataDxfId="1566">
      <calculatedColumnFormula>SUM(H385:H391)</calculatedColumnFormula>
    </tableColumn>
    <tableColumn id="8" xr3:uid="{DE1C2840-D63F-4A2E-A2F6-9E69426F8257}" name="Summe Tagesarbeitszeit" dataDxfId="156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564" dataDxfId="1562" headerRowBorderDxfId="1563" tableBorderDxfId="1561">
  <tableColumns count="8">
    <tableColumn id="1" xr3:uid="{AC5A753C-99F4-41AE-A84E-07593C2B8B90}" name="Tag" dataDxfId="1560">
      <calculatedColumnFormula>TEXT(Tabelle12173030297208339[[#This Row],[Datum]],"tttt")</calculatedColumnFormula>
    </tableColumn>
    <tableColumn id="2" xr3:uid="{28A01576-5580-4D27-AB11-9A0AC1B3C5D0}" name="Datum" dataDxfId="1559"/>
    <tableColumn id="3" xr3:uid="{BD7E04A0-4A18-4E01-9488-6BC2EFBA90F1}" name="Beginn" dataDxfId="1558"/>
    <tableColumn id="4" xr3:uid="{7F105F9B-B3C9-4FAB-A92A-E44737F10748}" name="Ende" dataDxfId="1557">
      <calculatedColumnFormula>SUM(E395:E401)</calculatedColumnFormula>
    </tableColumn>
    <tableColumn id="5" xr3:uid="{73456B6A-3966-4904-AF6C-B1CDD0822586}" name="Eintragung" dataDxfId="1556"/>
    <tableColumn id="6" xr3:uid="{7E5E3FC8-40E4-470F-A03C-EB319CC4B89C}" name="Pause" dataDxfId="1555"/>
    <tableColumn id="7" xr3:uid="{C1571E10-F0B2-467C-A293-63CBE96442FE}" name="Homeoffice/Zusatz" dataDxfId="1554">
      <calculatedColumnFormula>SUM(H395:H401)</calculatedColumnFormula>
    </tableColumn>
    <tableColumn id="8" xr3:uid="{9133C834-710A-4B5A-837E-B3E219041E80}" name="Summe Tagesarbeitszeit" dataDxfId="155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552" dataDxfId="1550" headerRowBorderDxfId="1551" tableBorderDxfId="1549">
  <tableColumns count="8">
    <tableColumn id="1" xr3:uid="{53835448-1ED8-4CA4-B06C-6C84AAD9D50A}" name="Tag" dataDxfId="1548">
      <calculatedColumnFormula>TEXT(Tabelle12173030297208440[[#This Row],[Datum]],"tttt")</calculatedColumnFormula>
    </tableColumn>
    <tableColumn id="2" xr3:uid="{AE151F4C-EB84-47BD-8FAB-891BAE086C1A}" name="Datum" dataDxfId="1547"/>
    <tableColumn id="3" xr3:uid="{E7AA8731-DBAA-49A4-8680-9D8CE37BA02B}" name="Beginn" dataDxfId="1546"/>
    <tableColumn id="4" xr3:uid="{9CCFE3D1-0822-4938-9D41-FAFD1A50BCE2}" name="Ende" dataDxfId="1545">
      <calculatedColumnFormula>SUM(E405:E411)</calculatedColumnFormula>
    </tableColumn>
    <tableColumn id="5" xr3:uid="{02949210-4D29-48D4-A4E0-4CC824713255}" name="Eintragung" dataDxfId="1544"/>
    <tableColumn id="6" xr3:uid="{F065D78B-C42D-49B3-A1EE-588740A0655F}" name="Pause" dataDxfId="1543"/>
    <tableColumn id="7" xr3:uid="{14F27018-8C13-42D9-A864-BEFC7B184B4D}" name="Homeoffice/Zusatz" dataDxfId="1542">
      <calculatedColumnFormula>SUM(H405:H411)</calculatedColumnFormula>
    </tableColumn>
    <tableColumn id="8" xr3:uid="{AD9E33F4-AEA0-479B-A9B8-9C038C9041E2}" name="Summe Tagesarbeitszeit" dataDxfId="154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540" dataDxfId="1538" headerRowBorderDxfId="1539" tableBorderDxfId="1537">
  <tableColumns count="8">
    <tableColumn id="1" xr3:uid="{01C9526E-EA4F-4CEF-8D23-A4813A5BBDD3}" name="Tag" dataDxfId="1536">
      <calculatedColumnFormula>TEXT(Tabelle1217303029720841[[#This Row],[Datum]],"tttt")</calculatedColumnFormula>
    </tableColumn>
    <tableColumn id="2" xr3:uid="{9D4AF58C-B22D-4C7A-BEEA-0190A3A16BDD}" name="Datum" dataDxfId="1535"/>
    <tableColumn id="3" xr3:uid="{9A53628A-C042-463E-AE70-B7E6C2756A5E}" name="Beginn" dataDxfId="1534"/>
    <tableColumn id="4" xr3:uid="{41335DB4-5FE6-450C-B7E9-C5796B29850D}" name="Ende" dataDxfId="1533">
      <calculatedColumnFormula>SUM(E415:E421)</calculatedColumnFormula>
    </tableColumn>
    <tableColumn id="5" xr3:uid="{24082E00-0DAB-417E-9745-0E75B676C0F6}" name="Eintragung" dataDxfId="1532"/>
    <tableColumn id="6" xr3:uid="{4D90F213-B978-4FA4-81AD-DD0137288187}" name="Pause" dataDxfId="1531"/>
    <tableColumn id="7" xr3:uid="{352D49EF-0714-48AF-BF39-20F31C243361}" name="Homeoffice/Zusatz" dataDxfId="1530">
      <calculatedColumnFormula>SUM(H415:H421)</calculatedColumnFormula>
    </tableColumn>
    <tableColumn id="8" xr3:uid="{33B8FE24-F23A-423D-AF61-AB843FCA09D7}" name="Summe Tagesarbeitszeit" dataDxfId="152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528" dataDxfId="1526" headerRowBorderDxfId="1527" tableBorderDxfId="1525">
  <tableColumns count="8">
    <tableColumn id="1" xr3:uid="{E89FF923-6386-4B5C-9899-048ADFCD2891}" name="Tag" dataDxfId="1524">
      <calculatedColumnFormula>TEXT(Tabelle12173030297208342[[#This Row],[Datum]],"tttt")</calculatedColumnFormula>
    </tableColumn>
    <tableColumn id="2" xr3:uid="{BDCC732C-B84B-47BF-8DEB-8448468CC6C9}" name="Datum" dataDxfId="1523"/>
    <tableColumn id="3" xr3:uid="{B602B0A4-AD26-4E25-B8D9-46090D0CBEE5}" name="Beginn" dataDxfId="1522"/>
    <tableColumn id="4" xr3:uid="{77CC9835-F5B8-47FE-9F77-9E3E6EC66D3A}" name="Ende" dataDxfId="1521">
      <calculatedColumnFormula>SUM(E425:E431)</calculatedColumnFormula>
    </tableColumn>
    <tableColumn id="5" xr3:uid="{AEC5C25A-77B6-427D-94AD-641C7BF195C2}" name="Eintragung" dataDxfId="1520"/>
    <tableColumn id="6" xr3:uid="{1042AF3B-20C1-4A37-9A4E-AA9631A808EC}" name="Pause" dataDxfId="1519"/>
    <tableColumn id="7" xr3:uid="{9F9FD657-E201-436D-9C07-443408FA815A}" name="Homeoffice/Zusatz" dataDxfId="1518">
      <calculatedColumnFormula>SUM(H425:H431)</calculatedColumnFormula>
    </tableColumn>
    <tableColumn id="8" xr3:uid="{DB066206-E6F1-437C-8697-B6E208A633F1}" name="Summe Tagesarbeitszeit" dataDxfId="151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516" dataDxfId="1514" headerRowBorderDxfId="1515" tableBorderDxfId="1513">
  <tableColumns count="8">
    <tableColumn id="1" xr3:uid="{B89BDB20-61C5-4654-BC3C-DF549E115D92}" name="Tag" dataDxfId="1512">
      <calculatedColumnFormula>TEXT(Tabelle12173030297208443[[#This Row],[Datum]],"tttt")</calculatedColumnFormula>
    </tableColumn>
    <tableColumn id="2" xr3:uid="{A9DD6E61-770A-4156-8CAA-1C57100CFD48}" name="Datum" dataDxfId="1511"/>
    <tableColumn id="3" xr3:uid="{226F5B7F-5526-41CD-8401-4B2C8635A3E0}" name="Beginn" dataDxfId="1510"/>
    <tableColumn id="4" xr3:uid="{B4E8D0F0-CDF6-43A4-ACB9-35BD64F9B06F}" name="Ende" dataDxfId="1509">
      <calculatedColumnFormula>SUM(E435:E441)</calculatedColumnFormula>
    </tableColumn>
    <tableColumn id="5" xr3:uid="{BC1A227C-F3C1-4C94-9869-1E4C6C9265EA}" name="Eintragung" dataDxfId="1508"/>
    <tableColumn id="6" xr3:uid="{E0AD5E8D-BD98-46FD-B08E-E2269229415F}" name="Pause" dataDxfId="1507"/>
    <tableColumn id="7" xr3:uid="{C9D578A3-2480-493C-97A0-31D84B0A5B9A}" name="Homeoffice/Zusatz" dataDxfId="1506">
      <calculatedColumnFormula>SUM(H435:H441)</calculatedColumnFormula>
    </tableColumn>
    <tableColumn id="8" xr3:uid="{99B162FC-FBF3-4559-9EDA-A75756534C46}" name="Summe Tagesarbeitszeit" dataDxfId="150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504" dataDxfId="1502" headerRowBorderDxfId="1503" tableBorderDxfId="1501">
  <tableColumns count="8">
    <tableColumn id="1" xr3:uid="{F8687140-1BD7-489B-A755-DF4D11300C5E}" name="Tag" dataDxfId="1500">
      <calculatedColumnFormula>TEXT(Tabelle1217303029720844[[#This Row],[Datum]],"tttt")</calculatedColumnFormula>
    </tableColumn>
    <tableColumn id="2" xr3:uid="{73FCCF2E-337A-4C38-A934-F43291CD0795}" name="Datum" dataDxfId="1499"/>
    <tableColumn id="3" xr3:uid="{630459B2-D96A-470C-9D72-BEA41DBD0818}" name="Beginn" dataDxfId="1498"/>
    <tableColumn id="4" xr3:uid="{FD265416-DB10-45B0-BF5E-E9DF20420D0B}" name="Ende" dataDxfId="1497">
      <calculatedColumnFormula>SUM(E445:E451)</calculatedColumnFormula>
    </tableColumn>
    <tableColumn id="5" xr3:uid="{9AE58FA5-F763-4FF9-B0FD-087B366D8EA9}" name="Eintragung" dataDxfId="1496"/>
    <tableColumn id="6" xr3:uid="{6528C063-AA4E-46AD-8234-D7ABC994A822}" name="Pause" dataDxfId="1495"/>
    <tableColumn id="7" xr3:uid="{50758D6C-5FA3-46CE-8C37-7A1648BE2106}" name="Homeoffice/Zusatz" dataDxfId="1494">
      <calculatedColumnFormula>SUM(H445:H451)</calculatedColumnFormula>
    </tableColumn>
    <tableColumn id="8" xr3:uid="{67541295-6E77-43F5-8176-E19124D7738B}" name="Summe Tagesarbeitszeit" dataDxfId="149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492" dataDxfId="1490" headerRowBorderDxfId="1491" tableBorderDxfId="1489">
  <tableColumns count="8">
    <tableColumn id="1" xr3:uid="{A407A6F1-BDEE-4C59-BA61-75456E3D1283}" name="Tag" dataDxfId="1488">
      <calculatedColumnFormula>TEXT(Tabelle12173030297208345[[#This Row],[Datum]],"tttt")</calculatedColumnFormula>
    </tableColumn>
    <tableColumn id="2" xr3:uid="{7DE86FD7-BC61-494E-9DA1-F42EE3DF0249}" name="Datum" dataDxfId="1487"/>
    <tableColumn id="3" xr3:uid="{734732F5-2CA3-4BFF-95B1-63C13D62A61A}" name="Beginn" dataDxfId="1486"/>
    <tableColumn id="4" xr3:uid="{2748758F-B7E8-4ABD-9778-D70C7569FF4F}" name="Ende" dataDxfId="1485">
      <calculatedColumnFormula>SUM(E455:E461)</calculatedColumnFormula>
    </tableColumn>
    <tableColumn id="5" xr3:uid="{1283927F-74BF-421C-9397-714441B04955}" name="Eintragung" dataDxfId="1484"/>
    <tableColumn id="6" xr3:uid="{A1385B7C-4184-4600-B220-4A69DB43BF36}" name="Pause" dataDxfId="1483"/>
    <tableColumn id="7" xr3:uid="{34C7CD80-8D6D-4D80-AD33-380228F25431}" name="Homeoffice/Zusatz" dataDxfId="1482">
      <calculatedColumnFormula>SUM(H455:H461)</calculatedColumnFormula>
    </tableColumn>
    <tableColumn id="8" xr3:uid="{99432AB0-D6BC-45BB-8665-388849A0A079}" name="Summe Tagesarbeitszeit" dataDxfId="148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480" dataDxfId="1478" headerRowBorderDxfId="1479" tableBorderDxfId="1477">
  <tableColumns count="8">
    <tableColumn id="1" xr3:uid="{EF073EBE-7653-4FD7-B24C-F502DC42F08C}" name="Tag" dataDxfId="1476">
      <calculatedColumnFormula>TEXT(Tabelle1217303029720847[[#This Row],[Datum]],"tttt")</calculatedColumnFormula>
    </tableColumn>
    <tableColumn id="2" xr3:uid="{F2F97932-8FC6-4C54-B5FF-06458B5FFF97}" name="Datum" dataDxfId="1475"/>
    <tableColumn id="3" xr3:uid="{07776314-D51C-4350-A5F1-B8E0A92F1297}" name="Beginn" dataDxfId="1474"/>
    <tableColumn id="4" xr3:uid="{7D8D3E57-046E-4016-8793-DE626D573A1A}" name="Ende" dataDxfId="1473">
      <calculatedColumnFormula>SUM(E465:E471)</calculatedColumnFormula>
    </tableColumn>
    <tableColumn id="5" xr3:uid="{B67F3EA5-03BB-4F44-A37D-D1D2E31EA764}" name="Eintragung" dataDxfId="1472"/>
    <tableColumn id="6" xr3:uid="{19C7F1B0-DFF6-4B6F-85A0-B714648A6F82}" name="Pause" dataDxfId="1471"/>
    <tableColumn id="7" xr3:uid="{C9128A50-8973-4E91-BDF8-8736E73A3D50}" name="Homeoffice/Zusatz" dataDxfId="1470">
      <calculatedColumnFormula>SUM(H465:H471)</calculatedColumnFormula>
    </tableColumn>
    <tableColumn id="8" xr3:uid="{6274E1D1-72D9-44DE-BE2E-47F09F8D77E7}" name="Summe Tagesarbeitszeit" dataDxfId="146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468" dataDxfId="1466" headerRowBorderDxfId="1467" tableBorderDxfId="1465">
  <tableColumns count="8">
    <tableColumn id="1" xr3:uid="{5A10200A-D563-4219-B445-7A0BE30C200E}" name="Tag" dataDxfId="1464">
      <calculatedColumnFormula>TEXT(Tabelle12173030297208348[[#This Row],[Datum]],"tttt")</calculatedColumnFormula>
    </tableColumn>
    <tableColumn id="2" xr3:uid="{868CCBA4-6E38-440F-8283-AF99C4825791}" name="Datum" dataDxfId="1463"/>
    <tableColumn id="3" xr3:uid="{7E71064D-1CDF-473B-89B0-7C4A3BB34946}" name="Beginn" dataDxfId="1462"/>
    <tableColumn id="4" xr3:uid="{7AC9A3F9-0E4D-4854-8AD4-6C06B298088D}" name="Ende" dataDxfId="1461">
      <calculatedColumnFormula>SUM(E475:E481)</calculatedColumnFormula>
    </tableColumn>
    <tableColumn id="5" xr3:uid="{A96A97ED-49D0-4EAA-931A-B17FC0296F3F}" name="Eintragung" dataDxfId="1460"/>
    <tableColumn id="6" xr3:uid="{9263A1EE-EEB1-4B6C-A9EF-C4D100606591}" name="Pause" dataDxfId="1459"/>
    <tableColumn id="7" xr3:uid="{56ADF092-1A3B-4CDF-ACF5-B96AE27A8495}" name="Homeoffice/Zusatz" dataDxfId="1458">
      <calculatedColumnFormula>SUM(H475:H481)</calculatedColumnFormula>
    </tableColumn>
    <tableColumn id="8" xr3:uid="{D9C95818-21F0-4496-8A24-BBBB73C695B5}" name="Summe Tagesarbeitszeit" dataDxfId="145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456" dataDxfId="1454" headerRowBorderDxfId="1455" tableBorderDxfId="1453">
  <tableColumns count="8">
    <tableColumn id="1" xr3:uid="{6E56EB8A-7D2D-44D6-9D5F-2B8FA3D43D46}" name="Tag" dataDxfId="1452">
      <calculatedColumnFormula>TEXT(Tabelle12173030297208449[[#This Row],[Datum]],"tttt")</calculatedColumnFormula>
    </tableColumn>
    <tableColumn id="2" xr3:uid="{92213E4C-1727-437D-9F13-25B4B1808746}" name="Datum" dataDxfId="1451"/>
    <tableColumn id="3" xr3:uid="{CD373FC3-F36F-4AC4-89F8-FE47AC658A6A}" name="Beginn" dataDxfId="1450"/>
    <tableColumn id="4" xr3:uid="{247AFFAC-A964-44C5-959D-1411BDF40A6A}" name="Ende" dataDxfId="1449">
      <calculatedColumnFormula>SUM(E485:E491)</calculatedColumnFormula>
    </tableColumn>
    <tableColumn id="5" xr3:uid="{CDB6E1DC-2523-4AE3-A74B-6205CE387454}" name="Eintragung" dataDxfId="1448"/>
    <tableColumn id="6" xr3:uid="{5D41659E-1A63-4873-9FC9-EA977E5359BB}" name="Pause" dataDxfId="1447"/>
    <tableColumn id="7" xr3:uid="{9CCEB571-67AA-4D0A-8D60-0DF201008B9F}" name="Homeoffice/Zusatz" dataDxfId="1446">
      <calculatedColumnFormula>SUM(H485:H491)</calculatedColumnFormula>
    </tableColumn>
    <tableColumn id="8" xr3:uid="{DFD1E52C-4907-4A6B-B09F-5A5B3285B41B}" name="Summe Tagesarbeitszeit" dataDxfId="144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444" dataDxfId="1442" headerRowBorderDxfId="1443" tableBorderDxfId="1441">
  <tableColumns count="8">
    <tableColumn id="1" xr3:uid="{5E1528D6-0A24-4ED7-8A4A-13159575C2FC}" name="Tag" dataDxfId="1440">
      <calculatedColumnFormula>TEXT(Tabelle1217303029720850[[#This Row],[Datum]],"tttt")</calculatedColumnFormula>
    </tableColumn>
    <tableColumn id="2" xr3:uid="{F8222F6A-71F8-43C8-B43F-CAED9EC91B57}" name="Datum" dataDxfId="1439"/>
    <tableColumn id="3" xr3:uid="{FE42B1BF-C468-4530-B554-1464059DE370}" name="Beginn" dataDxfId="1438"/>
    <tableColumn id="4" xr3:uid="{504C1AB2-6E00-44DF-83D3-190A1F632547}" name="Ende" dataDxfId="1437">
      <calculatedColumnFormula>SUM(E495:E501)</calculatedColumnFormula>
    </tableColumn>
    <tableColumn id="5" xr3:uid="{DC2CAB3D-B332-4F36-98A5-7ACCADBD7C29}" name="Eintragung" dataDxfId="1436"/>
    <tableColumn id="6" xr3:uid="{B11E40A5-0B83-46EE-ABE6-645A167F31E8}" name="Pause" dataDxfId="1435"/>
    <tableColumn id="7" xr3:uid="{2B095341-D011-4BED-8B8D-D8C7917B20F1}" name="Homeoffice/Zusatz" dataDxfId="1434">
      <calculatedColumnFormula>SUM(H495:H501)</calculatedColumnFormula>
    </tableColumn>
    <tableColumn id="8" xr3:uid="{4ADD12A3-76FC-413B-BA46-F4A36525C82C}" name="Summe Tagesarbeitszeit" dataDxfId="143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432" dataDxfId="1430" headerRowBorderDxfId="1431" tableBorderDxfId="1429">
  <tableColumns count="8">
    <tableColumn id="1" xr3:uid="{C18F9BC3-B18F-4F60-83AB-2ADA989B8C1F}" name="Tag" dataDxfId="1428">
      <calculatedColumnFormula>TEXT(Tabelle12173030297208351[[#This Row],[Datum]],"tttt")</calculatedColumnFormula>
    </tableColumn>
    <tableColumn id="2" xr3:uid="{A5F7FE3F-47A6-49D1-9A19-DCD972E1DB10}" name="Datum" dataDxfId="1427"/>
    <tableColumn id="3" xr3:uid="{D37FCE91-AAD3-4AA4-87F5-C247D6242DB2}" name="Beginn" dataDxfId="1426"/>
    <tableColumn id="4" xr3:uid="{3AACDD0D-1057-4155-985B-BD948871EFB8}" name="Ende" dataDxfId="1425">
      <calculatedColumnFormula>SUM(E505:E511)</calculatedColumnFormula>
    </tableColumn>
    <tableColumn id="5" xr3:uid="{FBA4944F-415F-4C7C-B2D4-87A25432E618}" name="Eintragung" dataDxfId="1424"/>
    <tableColumn id="6" xr3:uid="{B5575005-5006-4600-8F7A-6BD5D808357F}" name="Pause" dataDxfId="1423"/>
    <tableColumn id="7" xr3:uid="{22B65A05-467B-45AC-AEC3-4EA9C9CE3894}" name="Homeoffice/Zusatz" dataDxfId="1422">
      <calculatedColumnFormula>SUM(H505:H511)</calculatedColumnFormula>
    </tableColumn>
    <tableColumn id="8" xr3:uid="{313CAF1A-388A-4227-95FB-B9CE10C732DC}" name="Summe Tagesarbeitszeit" dataDxfId="142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420" dataDxfId="1418" headerRowBorderDxfId="1419" tableBorderDxfId="1417">
  <tableColumns count="8">
    <tableColumn id="1" xr3:uid="{B89B0AD5-FFFD-4BBB-9AE7-5ADEAA3AA420}" name="Tag" dataDxfId="1416">
      <calculatedColumnFormula>TEXT(Tabelle12173030297208452[[#This Row],[Datum]],"tttt")</calculatedColumnFormula>
    </tableColumn>
    <tableColumn id="2" xr3:uid="{46D9346F-EDCF-45A2-8D8C-5075A4C0E6B2}" name="Datum" dataDxfId="1415"/>
    <tableColumn id="3" xr3:uid="{970DECF2-6679-48F4-A82C-7CC925E3AF7B}" name="Beginn" dataDxfId="1414"/>
    <tableColumn id="4" xr3:uid="{E9F1BCCA-AEB3-44B6-AF18-99DE0829FA6D}" name="Ende" dataDxfId="1413">
      <calculatedColumnFormula>SUM(E515:E521)</calculatedColumnFormula>
    </tableColumn>
    <tableColumn id="5" xr3:uid="{9F610ED1-0FF0-4E8F-B7A0-E638BD84D76C}" name="Eintragung" dataDxfId="1412"/>
    <tableColumn id="6" xr3:uid="{F46AA118-3F6F-40CC-A531-4CC960FF43A2}" name="Pause" dataDxfId="1411"/>
    <tableColumn id="7" xr3:uid="{20603C9A-5A95-45C3-B980-059404E61C28}" name="Homeoffice/Zusatz" dataDxfId="1410">
      <calculatedColumnFormula>SUM(H515:H521)</calculatedColumnFormula>
    </tableColumn>
    <tableColumn id="8" xr3:uid="{DEEDD3EA-EE4E-4779-8F39-43735CE4734F}" name="Summe Tagesarbeitszeit" dataDxfId="140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408" dataDxfId="1406" headerRowBorderDxfId="1407" tableBorderDxfId="1405">
  <tableColumns count="8">
    <tableColumn id="1" xr3:uid="{B71CA290-0161-420B-99B1-A033FFAAFF3E}" name="Tag" dataDxfId="1404">
      <calculatedColumnFormula>TEXT(Tabelle1217303029720835153[[#This Row],[Datum]],"tttt")</calculatedColumnFormula>
    </tableColumn>
    <tableColumn id="2" xr3:uid="{08BC8AB7-8484-427B-BE72-81EF2AFC5345}" name="Datum" dataDxfId="1403"/>
    <tableColumn id="3" xr3:uid="{5B823D23-FCAE-49A3-9EA2-CAAD0793036C}" name="Beginn" dataDxfId="1402"/>
    <tableColumn id="4" xr3:uid="{8B205DD7-AE44-41C0-A52D-145657868A2A}" name="Ende" dataDxfId="1401">
      <calculatedColumnFormula>SUM(E525:E531)</calculatedColumnFormula>
    </tableColumn>
    <tableColumn id="5" xr3:uid="{E0F15238-F11D-4FF2-B8AD-51A3F2FCB0F9}" name="Eintragung" dataDxfId="1400"/>
    <tableColumn id="6" xr3:uid="{EBE2D66C-17E2-496C-8129-E6EC4637868C}" name="Pause" dataDxfId="1399"/>
    <tableColumn id="7" xr3:uid="{6942D7B1-061E-4C31-B518-9D2AEEF146A7}" name="Homeoffice/Zusatz" dataDxfId="1398">
      <calculatedColumnFormula>SUM(H525:H531)</calculatedColumnFormula>
    </tableColumn>
    <tableColumn id="8" xr3:uid="{5A63CA79-2E37-4697-BD34-983336641C43}" name="Summe Tagesarbeitszeit" dataDxfId="139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396" dataDxfId="1394" headerRowBorderDxfId="1395" tableBorderDxfId="1393">
  <tableColumns count="8">
    <tableColumn id="1" xr3:uid="{917120D9-057B-49CA-A0E7-365E74AC5677}" name="Tag" dataDxfId="1392">
      <calculatedColumnFormula>TEXT(Tabelle1217303029720845254[[#This Row],[Datum]],"tttt")</calculatedColumnFormula>
    </tableColumn>
    <tableColumn id="2" xr3:uid="{AEFA219C-FA62-4599-9857-3B781C103C39}" name="Datum" dataDxfId="1391"/>
    <tableColumn id="3" xr3:uid="{50B2C648-09AB-4EA8-A643-5A5CEA789194}" name="Beginn" dataDxfId="1390"/>
    <tableColumn id="4" xr3:uid="{FA95E2FE-A9F1-42A0-9B6F-A02653B07323}" name="Ende" dataDxfId="1389">
      <calculatedColumnFormula>SUM(E535:E541)</calculatedColumnFormula>
    </tableColumn>
    <tableColumn id="5" xr3:uid="{7E2B5250-AC6E-42BA-9067-F68FEAF54905}" name="Eintragung" dataDxfId="1388"/>
    <tableColumn id="6" xr3:uid="{A4B41F08-3FB0-4AFF-AD47-6C1C43C7B29A}" name="Pause" dataDxfId="1387"/>
    <tableColumn id="7" xr3:uid="{FA342F8F-1BFD-4910-99A0-043528E697C8}" name="Homeoffice/Zusatz" dataDxfId="1386">
      <calculatedColumnFormula>SUM(H535:H541)</calculatedColumnFormula>
    </tableColumn>
    <tableColumn id="8" xr3:uid="{0521ADA1-4C75-48DB-B85F-5B0F8E634B38}" name="Summe Tagesarbeitszeit" dataDxfId="138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384" dataDxfId="1382" headerRowBorderDxfId="1383" tableBorderDxfId="1381">
  <tableColumns count="8">
    <tableColumn id="1" xr3:uid="{FDDF49B6-A208-4184-8819-7C83B0F3E6CC}" name="Tag" dataDxfId="1380">
      <calculatedColumnFormula>TEXT(Tabelle1217303029720855[[#This Row],[Datum]],"tttt")</calculatedColumnFormula>
    </tableColumn>
    <tableColumn id="2" xr3:uid="{3DDE41DD-3757-402F-9B19-5DEE7ED0C9F8}" name="Datum" dataDxfId="1379"/>
    <tableColumn id="3" xr3:uid="{AF572596-509E-43AC-93E3-38FFD1E25D54}" name="Beginn" dataDxfId="1378"/>
    <tableColumn id="4" xr3:uid="{626A54DA-B7C9-41F1-9BDB-BE088649C25D}" name="Ende" dataDxfId="1377">
      <calculatedColumnFormula>SUM(N35:N41)</calculatedColumnFormula>
    </tableColumn>
    <tableColumn id="5" xr3:uid="{99038470-6BF4-462C-9ECD-61A9889EC0C1}" name="Eintragung" dataDxfId="1376"/>
    <tableColumn id="6" xr3:uid="{52078A5E-C542-481E-A9FA-1764BE4D3044}" name="Pause" dataDxfId="1375"/>
    <tableColumn id="7" xr3:uid="{7F626637-A9F1-468E-8722-235B59A21149}" name="Homeoffice/Zusatz" dataDxfId="1374">
      <calculatedColumnFormula>SUM(Q35:Q41)</calculatedColumnFormula>
    </tableColumn>
    <tableColumn id="8" xr3:uid="{8106E4C6-5181-4D07-AB72-669E0C8F6D6D}" name="Summe Tagesarbeitszeit" dataDxfId="137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372" dataDxfId="1370" headerRowBorderDxfId="1371" tableBorderDxfId="1369">
  <tableColumns count="8">
    <tableColumn id="1" xr3:uid="{2EC84DFD-77C6-4C31-9B42-57EFC0378261}" name="Tag" dataDxfId="1368">
      <calculatedColumnFormula>TEXT(Tabelle12173030262210710911720956[[#This Row],[Datum]],"tttt")</calculatedColumnFormula>
    </tableColumn>
    <tableColumn id="2" xr3:uid="{18FD16B6-E7C7-4B0B-8151-2017A42C60B3}" name="Datum" dataDxfId="1367"/>
    <tableColumn id="3" xr3:uid="{8A0158F8-A0E4-4D71-BFBA-AD55D38CE85F}" name="Beginn" dataDxfId="1366"/>
    <tableColumn id="4" xr3:uid="{D8BFD794-003B-4758-BBB9-F2188E8B9A7A}" name="Ende" dataDxfId="1365">
      <calculatedColumnFormula>SUM(N545:N551)</calculatedColumnFormula>
    </tableColumn>
    <tableColumn id="5" xr3:uid="{A98F1627-D6BD-464C-ABBB-B7B819FF728D}" name="Eintragung" dataDxfId="1364"/>
    <tableColumn id="6" xr3:uid="{9D717343-07C9-4DF3-88E9-9705AE723929}" name="Pause" dataDxfId="1363"/>
    <tableColumn id="7" xr3:uid="{2770FE32-5184-4F0D-9FAC-2F8C6BF6ED33}" name="Homeoffice/Zusatz" dataDxfId="1362">
      <calculatedColumnFormula>SUM(Q545:Q551)</calculatedColumnFormula>
    </tableColumn>
    <tableColumn id="8" xr3:uid="{FC1118CD-75BD-4119-8707-BDE8D053844D}" name="Summe Tagesarbeitszeit" dataDxfId="136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360" dataDxfId="1358" headerRowBorderDxfId="1359" tableBorderDxfId="1357">
  <tableColumns count="8">
    <tableColumn id="1" xr3:uid="{EA5F419F-DF02-4E2F-8982-CF82A5AF0841}" name="Tag" dataDxfId="1356">
      <calculatedColumnFormula>TEXT(Tabelle12173030297208458[[#This Row],[Datum]],"tttt")</calculatedColumnFormula>
    </tableColumn>
    <tableColumn id="2" xr3:uid="{EDBB8318-4AEF-4094-91FB-4BE4884AC848}" name="Datum" dataDxfId="1355"/>
    <tableColumn id="3" xr3:uid="{5256FFE5-4E55-44D0-9D57-573BFFF3D84F}" name="Beginn" dataDxfId="1354"/>
    <tableColumn id="4" xr3:uid="{FA3F5EE9-B5BC-4A02-859F-11E12B8B3E57}" name="Ende" dataDxfId="1353">
      <calculatedColumnFormula>SUM(N55:N61)</calculatedColumnFormula>
    </tableColumn>
    <tableColumn id="5" xr3:uid="{9ED9B1E4-B404-437F-B56D-212252A285F6}" name="Eintragung" dataDxfId="1352"/>
    <tableColumn id="6" xr3:uid="{FBA416AA-DEBC-4ADF-990A-6ABBA38D4011}" name="Pause" dataDxfId="1351"/>
    <tableColumn id="7" xr3:uid="{D4BB1D03-46EC-45F3-AF45-1CEEA02CBF43}" name="Homeoffice/Zusatz" dataDxfId="1350">
      <calculatedColumnFormula>SUM(Q55:Q61)</calculatedColumnFormula>
    </tableColumn>
    <tableColumn id="8" xr3:uid="{724624C5-11D4-4F57-82B5-F6707D6CE663}" name="Summe Tagesarbeitszeit" dataDxfId="134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348" dataDxfId="1346" headerRowBorderDxfId="1347" tableBorderDxfId="1345">
  <tableColumns count="8">
    <tableColumn id="1" xr3:uid="{5CBAC298-46FB-42DC-AF47-12CEDEE4BBAB}" name="Tag" dataDxfId="1344">
      <calculatedColumnFormula>TEXT(Tabelle12173030297208559[[#This Row],[Datum]],"tttt")</calculatedColumnFormula>
    </tableColumn>
    <tableColumn id="2" xr3:uid="{DB4695E4-B8AC-4209-A5FF-D2A1B4231E18}" name="Datum" dataDxfId="1343"/>
    <tableColumn id="3" xr3:uid="{A99C6668-C9BD-4937-8654-34F501FB8991}" name="Beginn" dataDxfId="1342"/>
    <tableColumn id="4" xr3:uid="{290D360E-16E2-4D9F-BBEB-76F49136133C}" name="Ende" dataDxfId="1341">
      <calculatedColumnFormula>SUM(N65:N71)</calculatedColumnFormula>
    </tableColumn>
    <tableColumn id="5" xr3:uid="{968F809F-C806-45BC-BFB0-21A7A5F10FD1}" name="Eintragung" dataDxfId="1340"/>
    <tableColumn id="6" xr3:uid="{F2B4F3DE-D1F1-4B66-B182-8D5BDF68E105}" name="Pause" dataDxfId="1339"/>
    <tableColumn id="7" xr3:uid="{482DD475-604E-4E3F-AE11-83FFE63B077B}" name="Homeoffice/Zusatz" dataDxfId="1338">
      <calculatedColumnFormula>SUM(Q65:Q71)</calculatedColumnFormula>
    </tableColumn>
    <tableColumn id="8" xr3:uid="{88879C8F-2BE7-42AA-874C-57004184E0E4}" name="Summe Tagesarbeitszeit" dataDxfId="133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336" dataDxfId="1334" headerRowBorderDxfId="1335" tableBorderDxfId="1333">
  <tableColumns count="8">
    <tableColumn id="1" xr3:uid="{7A0EA77A-39E0-449E-B3AE-353C001A90B3}" name="Tag" dataDxfId="1332">
      <calculatedColumnFormula>TEXT(Tabelle12173030297208660[[#This Row],[Datum]],"tttt")</calculatedColumnFormula>
    </tableColumn>
    <tableColumn id="2" xr3:uid="{4BD4F5DD-84D0-4132-B018-44BBB7E64796}" name="Datum" dataDxfId="1331"/>
    <tableColumn id="3" xr3:uid="{F5C60613-E601-443D-B733-FEEB8E08054B}" name="Beginn" dataDxfId="1330"/>
    <tableColumn id="4" xr3:uid="{904220A9-0353-418F-B94F-B385B86982D4}" name="Ende" dataDxfId="1329">
      <calculatedColumnFormula>SUM(N75:N81)</calculatedColumnFormula>
    </tableColumn>
    <tableColumn id="5" xr3:uid="{5218663E-1186-4037-A87A-B43100C28D79}" name="Eintragung" dataDxfId="1328"/>
    <tableColumn id="6" xr3:uid="{C180FF68-E73C-4FD9-AC6D-9F3FBCAA4DA2}" name="Pause" dataDxfId="1327"/>
    <tableColumn id="7" xr3:uid="{5303EE23-7917-4AFA-BDBB-7A3B1F2EAF54}" name="Homeoffice/Zusatz" dataDxfId="1326">
      <calculatedColumnFormula>SUM(Q75:Q81)</calculatedColumnFormula>
    </tableColumn>
    <tableColumn id="8" xr3:uid="{0FF352BB-FB66-44F4-B7D0-BB33AB3CCFCA}" name="Summe Tagesarbeitszeit" dataDxfId="132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324" dataDxfId="1322" headerRowBorderDxfId="1323" tableBorderDxfId="1321">
  <tableColumns count="8">
    <tableColumn id="1" xr3:uid="{292BEE2F-62D4-4B0F-B5F2-BB0DB2D49DF2}" name="Tag" dataDxfId="1320">
      <calculatedColumnFormula>TEXT(Tabelle12173030297208761[[#This Row],[Datum]],"tttt")</calculatedColumnFormula>
    </tableColumn>
    <tableColumn id="2" xr3:uid="{86CA65EE-AA81-4347-8045-966EC60B32C3}" name="Datum" dataDxfId="1319"/>
    <tableColumn id="3" xr3:uid="{A363C457-068F-417C-8195-E62EBCC1FD7A}" name="Beginn" dataDxfId="1318"/>
    <tableColumn id="4" xr3:uid="{EA075CE6-B23C-4174-91EA-B4E591EAD394}" name="Ende" dataDxfId="1317">
      <calculatedColumnFormula>SUM(N85:N91)</calculatedColumnFormula>
    </tableColumn>
    <tableColumn id="5" xr3:uid="{0AE52C4B-5420-46E5-9C16-92AA12D2D997}" name="Eintragung" dataDxfId="1316"/>
    <tableColumn id="6" xr3:uid="{721D3169-F426-4967-A10B-3B0574BC7B1D}" name="Pause" dataDxfId="1315"/>
    <tableColumn id="7" xr3:uid="{8ECB3E97-0643-4C09-A232-98637DB72A53}" name="Homeoffice/Zusatz" dataDxfId="1314">
      <calculatedColumnFormula>SUM(Q85:Q91)</calculatedColumnFormula>
    </tableColumn>
    <tableColumn id="8" xr3:uid="{E4F68A6B-BBDA-494F-B1CA-7B950EFEBB03}" name="Summe Tagesarbeitszeit" dataDxfId="131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312" dataDxfId="1310" headerRowBorderDxfId="1311" tableBorderDxfId="1309">
  <tableColumns count="8">
    <tableColumn id="1" xr3:uid="{42D87E70-E334-4A06-93C6-4DA471627C60}" name="Tag" dataDxfId="1308">
      <calculatedColumnFormula>TEXT(Tabelle121730302972083862[[#This Row],[Datum]],"tttt")</calculatedColumnFormula>
    </tableColumn>
    <tableColumn id="2" xr3:uid="{17E58140-519E-4F03-8494-709E8C31D6A5}" name="Datum" dataDxfId="1307"/>
    <tableColumn id="3" xr3:uid="{68673C03-A278-44EC-8005-2F4576ED514C}" name="Beginn" dataDxfId="1306"/>
    <tableColumn id="4" xr3:uid="{D3EE0CB6-78F1-4411-A087-A75B30FE0D3A}" name="Ende" dataDxfId="1305">
      <calculatedColumnFormula>SUM(N95:N101)</calculatedColumnFormula>
    </tableColumn>
    <tableColumn id="5" xr3:uid="{41DA0676-DC1C-4B41-ADE6-F4D7B33E4A0F}" name="Eintragung" dataDxfId="1304"/>
    <tableColumn id="6" xr3:uid="{BA986FCF-CD19-4B9E-90F9-FD54FFC8911C}" name="Pause" dataDxfId="1303"/>
    <tableColumn id="7" xr3:uid="{678CE669-7E68-4EAB-BA4A-38B77EAE6368}" name="Homeoffice/Zusatz" dataDxfId="1302">
      <calculatedColumnFormula>SUM(Q95:Q101)</calculatedColumnFormula>
    </tableColumn>
    <tableColumn id="8" xr3:uid="{A9EC1873-78AE-4328-B63B-72369F25ABE3}" name="Summe Tagesarbeitszeit" dataDxfId="130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300" dataDxfId="1298" headerRowBorderDxfId="1299" tableBorderDxfId="1297">
  <tableColumns count="8">
    <tableColumn id="1" xr3:uid="{095BD85D-DA4C-4643-A7FB-EA6EEC26496A}" name="Tag" dataDxfId="1296">
      <calculatedColumnFormula>TEXT(Tabelle121730302972084963[[#This Row],[Datum]],"tttt")</calculatedColumnFormula>
    </tableColumn>
    <tableColumn id="2" xr3:uid="{3E572FAD-1E97-4356-B092-207C5A1D7F75}" name="Datum" dataDxfId="1295"/>
    <tableColumn id="3" xr3:uid="{00194A37-0258-4A3F-BB88-2215BDD8D5E3}" name="Beginn" dataDxfId="1294"/>
    <tableColumn id="4" xr3:uid="{45AE302E-AD15-4E2B-AD6C-20034C9BEE6F}" name="Ende" dataDxfId="1293">
      <calculatedColumnFormula>SUM(N105:N111)</calculatedColumnFormula>
    </tableColumn>
    <tableColumn id="5" xr3:uid="{A01506A6-FD50-4044-954D-DABC912B555A}" name="Eintragung" dataDxfId="1292"/>
    <tableColumn id="6" xr3:uid="{3FE7CDFA-B228-4A80-BE15-FC5B5B703DC5}" name="Pause" dataDxfId="1291"/>
    <tableColumn id="7" xr3:uid="{DDECE916-B03C-4E64-82EC-FCB8F87B3073}" name="Homeoffice/Zusatz" dataDxfId="1290">
      <calculatedColumnFormula>SUM(Q105:Q111)</calculatedColumnFormula>
    </tableColumn>
    <tableColumn id="8" xr3:uid="{DB6E1BC7-B271-438C-9184-19F64A6C6FE5}" name="Summe Tagesarbeitszeit" dataDxfId="128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288" dataDxfId="1286" headerRowBorderDxfId="1287" tableBorderDxfId="1285">
  <tableColumns count="8">
    <tableColumn id="1" xr3:uid="{9901E85D-D691-4830-AC40-1B509B96153D}" name="Tag" dataDxfId="1284">
      <calculatedColumnFormula>TEXT(Tabelle121730302972081064[[#This Row],[Datum]],"tttt")</calculatedColumnFormula>
    </tableColumn>
    <tableColumn id="2" xr3:uid="{44F13C2E-9B3D-4A63-ACBD-0526D14454E3}" name="Datum" dataDxfId="1283"/>
    <tableColumn id="3" xr3:uid="{D7DA350F-F2F9-4251-93DD-CA89A8E9B5F8}" name="Beginn" dataDxfId="1282"/>
    <tableColumn id="4" xr3:uid="{DE3F9F97-93EE-4A63-961F-DF1190CA2A1E}" name="Ende" dataDxfId="1281">
      <calculatedColumnFormula>SUM(N115:N121)</calculatedColumnFormula>
    </tableColumn>
    <tableColumn id="5" xr3:uid="{EB86C9D1-8C6F-4C52-AB08-8E51661899B7}" name="Eintragung" dataDxfId="1280"/>
    <tableColumn id="6" xr3:uid="{397CBBE4-10CD-45DF-A3B4-9A1844365A85}" name="Pause" dataDxfId="1279"/>
    <tableColumn id="7" xr3:uid="{A37D3842-3BFD-4D7F-A477-8C8D6D2151F5}" name="Homeoffice/Zusatz" dataDxfId="1278">
      <calculatedColumnFormula>SUM(Q115:Q121)</calculatedColumnFormula>
    </tableColumn>
    <tableColumn id="8" xr3:uid="{49D01C90-DA25-4485-A986-0B8DB71E0331}" name="Summe Tagesarbeitszeit" dataDxfId="127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276" dataDxfId="1274" headerRowBorderDxfId="1275" tableBorderDxfId="1273">
  <tableColumns count="8">
    <tableColumn id="1" xr3:uid="{54C7D519-5F9F-4B74-8758-E01F05A9B661}" name="Tag" dataDxfId="1272">
      <calculatedColumnFormula>TEXT(Tabelle1217303029720831165[[#This Row],[Datum]],"tttt")</calculatedColumnFormula>
    </tableColumn>
    <tableColumn id="2" xr3:uid="{90C63ABE-82F6-4D47-A52A-15D887141232}" name="Datum" dataDxfId="1271"/>
    <tableColumn id="3" xr3:uid="{4410287F-CDE8-4DFF-B9F9-FD2009214779}" name="Beginn" dataDxfId="1270"/>
    <tableColumn id="4" xr3:uid="{12FBAB2A-A218-4E4A-9F17-06E299621BF1}" name="Ende" dataDxfId="1269">
      <calculatedColumnFormula>SUM(N125:N131)</calculatedColumnFormula>
    </tableColumn>
    <tableColumn id="5" xr3:uid="{9D2B6ED5-1BEE-416F-95DF-845B871C8A14}" name="Eintragung" dataDxfId="1268"/>
    <tableColumn id="6" xr3:uid="{01C69C89-B3EB-4176-8BDF-C5289E5789FC}" name="Pause" dataDxfId="1267"/>
    <tableColumn id="7" xr3:uid="{6BE5E3A4-123D-4163-9CDC-5E8124F5FADE}" name="Homeoffice/Zusatz" dataDxfId="1266">
      <calculatedColumnFormula>SUM(Q125:Q131)</calculatedColumnFormula>
    </tableColumn>
    <tableColumn id="8" xr3:uid="{FB6BF9FD-77C0-443D-9528-E3E944A48FC1}" name="Summe Tagesarbeitszeit" dataDxfId="126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264" dataDxfId="1262" headerRowBorderDxfId="1263" tableBorderDxfId="1261">
  <tableColumns count="8">
    <tableColumn id="1" xr3:uid="{21E7C4E2-6AB0-4280-BDCE-64F4ECB37312}" name="Tag" dataDxfId="1260">
      <calculatedColumnFormula>TEXT(Tabelle1217303029720841266[[#This Row],[Datum]],"tttt")</calculatedColumnFormula>
    </tableColumn>
    <tableColumn id="2" xr3:uid="{ECF1595B-396A-4C4A-A7C1-D58A7A885B82}" name="Datum" dataDxfId="1259"/>
    <tableColumn id="3" xr3:uid="{E4B53517-422E-49C0-B183-49DBE1D091DF}" name="Beginn" dataDxfId="1258"/>
    <tableColumn id="4" xr3:uid="{85CFD565-7592-423B-9494-9BE657038435}" name="Ende" dataDxfId="1257">
      <calculatedColumnFormula>SUM(N135:N141)</calculatedColumnFormula>
    </tableColumn>
    <tableColumn id="5" xr3:uid="{3CD1A5EB-DAFE-4F87-A22F-4F28C0DE8CC2}" name="Eintragung" dataDxfId="1256"/>
    <tableColumn id="6" xr3:uid="{A4F11B70-0A45-4CC7-978A-6261D964CF06}" name="Pause" dataDxfId="1255"/>
    <tableColumn id="7" xr3:uid="{1CEC19CE-7397-4BC7-A1A1-DEFCA57044CB}" name="Homeoffice/Zusatz" dataDxfId="1254">
      <calculatedColumnFormula>SUM(Q135:Q141)</calculatedColumnFormula>
    </tableColumn>
    <tableColumn id="8" xr3:uid="{F2E48833-E733-4F60-8EF0-18C788CCAB97}" name="Summe Tagesarbeitszeit" dataDxfId="125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1252" dataDxfId="1250" headerRowBorderDxfId="1251" tableBorderDxfId="1249">
  <tableColumns count="8">
    <tableColumn id="1" xr3:uid="{D31C6614-078B-49D9-BD02-54E5900B44A5}" name="Tag" dataDxfId="1248">
      <calculatedColumnFormula>TEXT(Tabelle121730302972081367[[#This Row],[Datum]],"tttt")</calculatedColumnFormula>
    </tableColumn>
    <tableColumn id="2" xr3:uid="{2AE5E27F-E548-4268-9BC1-F46DFF6FCF36}" name="Datum" dataDxfId="1247"/>
    <tableColumn id="3" xr3:uid="{0D79A88A-9B79-4A99-9857-2A2EDB759E73}" name="Beginn" dataDxfId="1246"/>
    <tableColumn id="4" xr3:uid="{7873FDD9-1245-46EE-BEB2-726975B379A7}" name="Ende" dataDxfId="1245">
      <calculatedColumnFormula>SUM(N145:N151)</calculatedColumnFormula>
    </tableColumn>
    <tableColumn id="5" xr3:uid="{83E224D7-EFF5-47AE-8114-54C67C0FBAEC}" name="Eintragung" dataDxfId="1244"/>
    <tableColumn id="6" xr3:uid="{ABBAFB93-2C92-4FF1-ABBD-55BD51BFB6A2}" name="Pause" dataDxfId="1243"/>
    <tableColumn id="7" xr3:uid="{B612F157-8C57-4359-ABAB-2E09E0337D1E}" name="Homeoffice/Zusatz" dataDxfId="1242">
      <calculatedColumnFormula>SUM(Q145:Q151)</calculatedColumnFormula>
    </tableColumn>
    <tableColumn id="8" xr3:uid="{FD23A23F-1129-484A-8BE4-11F257EFEA9A}" name="Summe Tagesarbeitszeit" dataDxfId="124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1240" dataDxfId="1238" headerRowBorderDxfId="1239" tableBorderDxfId="1237">
  <tableColumns count="8">
    <tableColumn id="1" xr3:uid="{9DCFBD94-ACA4-41FF-B378-4C61668EC8D2}" name="Tag" dataDxfId="1236">
      <calculatedColumnFormula>TEXT(Tabelle1217303029720831468[[#This Row],[Datum]],"tttt")</calculatedColumnFormula>
    </tableColumn>
    <tableColumn id="2" xr3:uid="{FCC64686-F815-4257-9DD6-2EEA7D59A713}" name="Datum" dataDxfId="1235"/>
    <tableColumn id="3" xr3:uid="{8511BE88-77E4-413A-91DE-FAA7DDB29B3F}" name="Beginn" dataDxfId="1234"/>
    <tableColumn id="4" xr3:uid="{0D850D72-964E-4236-8EA5-3677D8F859CC}" name="Ende" dataDxfId="1233">
      <calculatedColumnFormula>SUM(N155:N161)</calculatedColumnFormula>
    </tableColumn>
    <tableColumn id="5" xr3:uid="{B27D8A31-4139-4294-99A4-E27C9613F938}" name="Eintragung" dataDxfId="1232"/>
    <tableColumn id="6" xr3:uid="{A2CA8E1E-6148-4DFA-938D-AFBBF4DD2C90}" name="Pause" dataDxfId="1231"/>
    <tableColumn id="7" xr3:uid="{ED0C3766-C86B-48B1-9F6D-9F66A087E15D}" name="Homeoffice/Zusatz" dataDxfId="1230">
      <calculatedColumnFormula>SUM(Q155:Q161)</calculatedColumnFormula>
    </tableColumn>
    <tableColumn id="8" xr3:uid="{95A5CE83-876F-4548-BE5D-290770154D77}" name="Summe Tagesarbeitszeit" dataDxfId="122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1228" dataDxfId="1226" headerRowBorderDxfId="1227" tableBorderDxfId="1225">
  <tableColumns count="8">
    <tableColumn id="1" xr3:uid="{8E99FFB6-3E1F-47E1-851F-07EDE20C9A0F}" name="Tag" dataDxfId="1224">
      <calculatedColumnFormula>TEXT(Tabelle1217303029720841569[[#This Row],[Datum]],"tttt")</calculatedColumnFormula>
    </tableColumn>
    <tableColumn id="2" xr3:uid="{5485C645-8CB6-440F-BC40-6787FE7898AE}" name="Datum" dataDxfId="1223"/>
    <tableColumn id="3" xr3:uid="{39D2C9B7-E461-4FC1-920B-61B7390619DC}" name="Beginn" dataDxfId="1222"/>
    <tableColumn id="4" xr3:uid="{A8DD164B-6ADF-46B0-A4E8-C3882A2821A4}" name="Ende" dataDxfId="1221">
      <calculatedColumnFormula>SUM(N165:N171)</calculatedColumnFormula>
    </tableColumn>
    <tableColumn id="5" xr3:uid="{73165699-2460-419D-B43E-B04AB0AB34BF}" name="Eintragung" dataDxfId="1220"/>
    <tableColumn id="6" xr3:uid="{B7AF4551-E78C-4A6C-835E-F630C71C0FF3}" name="Pause" dataDxfId="1219"/>
    <tableColumn id="7" xr3:uid="{24FD4D63-0185-449E-B8F5-F7B37896F2B2}" name="Homeoffice/Zusatz" dataDxfId="1218">
      <calculatedColumnFormula>SUM(Q165:Q171)</calculatedColumnFormula>
    </tableColumn>
    <tableColumn id="8" xr3:uid="{40BD3044-3205-45EA-974F-14398D72D9E1}" name="Summe Tagesarbeitszeit" dataDxfId="121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1216" dataDxfId="1214" headerRowBorderDxfId="1215" tableBorderDxfId="1213">
  <tableColumns count="8">
    <tableColumn id="1" xr3:uid="{B73A3C46-1683-4E5D-B61D-5BD677F90B52}" name="Tag" dataDxfId="1212">
      <calculatedColumnFormula>TEXT(Tabelle121730302972081670[[#This Row],[Datum]],"tttt")</calculatedColumnFormula>
    </tableColumn>
    <tableColumn id="2" xr3:uid="{66927CAD-836C-422E-A69B-26940982C7F5}" name="Datum" dataDxfId="1211"/>
    <tableColumn id="3" xr3:uid="{4FEB2A81-71EC-4006-99DF-E524CC8B9FBD}" name="Beginn" dataDxfId="1210"/>
    <tableColumn id="4" xr3:uid="{7144FF8C-D9CD-41D3-9D13-32F3A84A4DA7}" name="Ende" dataDxfId="1209">
      <calculatedColumnFormula>SUM(N175:N181)</calculatedColumnFormula>
    </tableColumn>
    <tableColumn id="5" xr3:uid="{10052BAC-9C5D-499F-9893-ADAFCD25218B}" name="Eintragung" dataDxfId="1208"/>
    <tableColumn id="6" xr3:uid="{79EA7432-AB42-4D3A-BEA1-F20AA703415C}" name="Pause" dataDxfId="1207"/>
    <tableColumn id="7" xr3:uid="{0771CDDC-9284-4917-9756-578FE348C409}" name="Homeoffice/Zusatz" dataDxfId="1206">
      <calculatedColumnFormula>SUM(Q175:Q181)</calculatedColumnFormula>
    </tableColumn>
    <tableColumn id="8" xr3:uid="{8B5F8D13-0243-40E8-B9B3-0FDE2E8EBFB6}" name="Summe Tagesarbeitszeit" dataDxfId="120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1204" dataDxfId="1202" headerRowBorderDxfId="1203" tableBorderDxfId="1201">
  <tableColumns count="8">
    <tableColumn id="1" xr3:uid="{AA5E0C93-941A-4BE4-AEB4-B4C9410E4247}" name="Tag" dataDxfId="1200">
      <calculatedColumnFormula>TEXT(Tabelle1217303029720831771[[#This Row],[Datum]],"tttt")</calculatedColumnFormula>
    </tableColumn>
    <tableColumn id="2" xr3:uid="{DC11F9A1-0ECF-4ECB-BDA7-C88712637BB0}" name="Datum" dataDxfId="1199"/>
    <tableColumn id="3" xr3:uid="{78A3CC5D-FF97-4D4E-8CAF-BE2522B0F8D4}" name="Beginn" dataDxfId="1198"/>
    <tableColumn id="4" xr3:uid="{87AB0FD3-1EE9-4352-BC34-239552225C5B}" name="Ende" dataDxfId="1197">
      <calculatedColumnFormula>SUM(N185:N191)</calculatedColumnFormula>
    </tableColumn>
    <tableColumn id="5" xr3:uid="{76BDAC92-3364-4CA9-AC53-BCE9A938F574}" name="Eintragung" dataDxfId="1196"/>
    <tableColumn id="6" xr3:uid="{5C5A6548-40F7-48C0-AD61-6D0DC9F1A2BE}" name="Pause" dataDxfId="1195"/>
    <tableColumn id="7" xr3:uid="{1C77C3FE-FAC1-474B-A78A-6241B39A0FAE}" name="Homeoffice/Zusatz" dataDxfId="1194">
      <calculatedColumnFormula>SUM(Q185:Q191)</calculatedColumnFormula>
    </tableColumn>
    <tableColumn id="8" xr3:uid="{B9BBF4B3-B7E8-402C-B1C7-0BBAFDE80BB1}" name="Summe Tagesarbeitszeit" dataDxfId="119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1192" dataDxfId="1190" headerRowBorderDxfId="1191" tableBorderDxfId="1189">
  <tableColumns count="8">
    <tableColumn id="1" xr3:uid="{4D936B69-2B1A-41F4-85EB-BBE6FA1F4973}" name="Tag" dataDxfId="1188">
      <calculatedColumnFormula>TEXT(Tabelle1217303029720841872[[#This Row],[Datum]],"tttt")</calculatedColumnFormula>
    </tableColumn>
    <tableColumn id="2" xr3:uid="{FDC6C787-80E7-444D-8832-B8DE5C74217E}" name="Datum" dataDxfId="1187"/>
    <tableColumn id="3" xr3:uid="{8C160BE6-7EA8-4D9A-854A-79C2619BC258}" name="Beginn" dataDxfId="1186"/>
    <tableColumn id="4" xr3:uid="{51F74449-0B82-4801-BE1D-4F8E74B484A8}" name="Ende" dataDxfId="1185">
      <calculatedColumnFormula>SUM(N195:N201)</calculatedColumnFormula>
    </tableColumn>
    <tableColumn id="5" xr3:uid="{15812C93-691B-4A07-BD4A-B38F450CA8C3}" name="Eintragung" dataDxfId="1184"/>
    <tableColumn id="6" xr3:uid="{C9D70554-22E1-40F0-8C53-0C67EF099E3C}" name="Pause" dataDxfId="1183"/>
    <tableColumn id="7" xr3:uid="{33888B38-5623-4BD6-86D8-A4FDD09667A1}" name="Homeoffice/Zusatz" dataDxfId="1182">
      <calculatedColumnFormula>SUM(Q195:Q201)</calculatedColumnFormula>
    </tableColumn>
    <tableColumn id="8" xr3:uid="{7E5BD651-40F9-4024-9CA0-BB2F29A6018A}" name="Summe Tagesarbeitszeit" dataDxfId="118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1180" dataDxfId="1178" headerRowBorderDxfId="1179" tableBorderDxfId="1177">
  <tableColumns count="8">
    <tableColumn id="1" xr3:uid="{726B5AD6-74B5-4611-81D5-7ABEE9D5A17A}" name="Tag" dataDxfId="1176">
      <calculatedColumnFormula>TEXT(Tabelle121730302972081973[[#This Row],[Datum]],"tttt")</calculatedColumnFormula>
    </tableColumn>
    <tableColumn id="2" xr3:uid="{775A8E01-92D3-4C79-956A-5E9F92379197}" name="Datum" dataDxfId="1175"/>
    <tableColumn id="3" xr3:uid="{3B4ED841-A664-4FC9-87D5-949C6A2194C2}" name="Beginn" dataDxfId="1174"/>
    <tableColumn id="4" xr3:uid="{485002D0-7AFC-4129-AD4B-FC5ECFF363CB}" name="Ende" dataDxfId="1173">
      <calculatedColumnFormula>SUM(N205:N211)</calculatedColumnFormula>
    </tableColumn>
    <tableColumn id="5" xr3:uid="{74E03956-CCD0-4118-A50F-21335605F097}" name="Eintragung" dataDxfId="1172"/>
    <tableColumn id="6" xr3:uid="{1213F7A0-9CE0-4F89-8C1D-9B522C75E7DF}" name="Pause" dataDxfId="1171"/>
    <tableColumn id="7" xr3:uid="{4C5C7C9D-1835-4F09-B0FB-4D049524C855}" name="Homeoffice/Zusatz" dataDxfId="1170">
      <calculatedColumnFormula>SUM(Q205:Q211)</calculatedColumnFormula>
    </tableColumn>
    <tableColumn id="8" xr3:uid="{19567BB8-3ACE-44CC-A807-99AD16CF5F06}" name="Summe Tagesarbeitszeit" dataDxfId="116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1168" dataDxfId="1166" headerRowBorderDxfId="1167" tableBorderDxfId="1165">
  <tableColumns count="8">
    <tableColumn id="1" xr3:uid="{4C1FFF85-020C-4683-9761-535187A8B8F4}" name="Tag" dataDxfId="1164">
      <calculatedColumnFormula>TEXT(Tabelle1217303029720832074[[#This Row],[Datum]],"tttt")</calculatedColumnFormula>
    </tableColumn>
    <tableColumn id="2" xr3:uid="{33CF4BD3-5265-42A5-A30A-0F3BB1E3A468}" name="Datum" dataDxfId="1163"/>
    <tableColumn id="3" xr3:uid="{10F56C84-4AE2-498A-AF1B-C02BD1AFB023}" name="Beginn" dataDxfId="1162"/>
    <tableColumn id="4" xr3:uid="{E51B5D1A-44B5-4AA6-9A3F-B67D50211170}" name="Ende" dataDxfId="1161">
      <calculatedColumnFormula>SUM(N215:N221)</calculatedColumnFormula>
    </tableColumn>
    <tableColumn id="5" xr3:uid="{F703A034-70B5-4A3F-8A10-D370B17CB91F}" name="Eintragung" dataDxfId="1160"/>
    <tableColumn id="6" xr3:uid="{681D16AB-E4B8-4A2C-AC69-C21FE128B955}" name="Pause" dataDxfId="1159"/>
    <tableColumn id="7" xr3:uid="{ECCC55A6-60CB-45AE-832E-982B22CA4237}" name="Homeoffice/Zusatz" dataDxfId="1158">
      <calculatedColumnFormula>SUM(Q215:Q221)</calculatedColumnFormula>
    </tableColumn>
    <tableColumn id="8" xr3:uid="{D3EDEBD8-640D-4315-95D5-12BA8BA1AFC8}" name="Summe Tagesarbeitszeit" dataDxfId="115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1156" dataDxfId="1154" headerRowBorderDxfId="1155" tableBorderDxfId="1153">
  <tableColumns count="8">
    <tableColumn id="1" xr3:uid="{51F927E8-86CB-44C1-9772-A0876A628522}" name="Tag" dataDxfId="1152">
      <calculatedColumnFormula>TEXT(Tabelle1217303029720842175[[#This Row],[Datum]],"tttt")</calculatedColumnFormula>
    </tableColumn>
    <tableColumn id="2" xr3:uid="{0C55EA97-78F9-4973-B657-F6806C5F7F03}" name="Datum" dataDxfId="1151"/>
    <tableColumn id="3" xr3:uid="{9C96F409-27C0-4A6F-9E4C-DBD35D9EBBE6}" name="Beginn" dataDxfId="1150"/>
    <tableColumn id="4" xr3:uid="{C321B2F6-B230-4031-B96A-0FA23E93AA10}" name="Ende" dataDxfId="1149">
      <calculatedColumnFormula>SUM(N225:N231)</calculatedColumnFormula>
    </tableColumn>
    <tableColumn id="5" xr3:uid="{6B78F326-FA15-490D-9974-FF668DC7FF65}" name="Eintragung" dataDxfId="1148"/>
    <tableColumn id="6" xr3:uid="{0137AF37-DE07-4A70-9877-35F0262811D2}" name="Pause" dataDxfId="1147"/>
    <tableColumn id="7" xr3:uid="{9AA9B195-C51B-4F04-ADC3-421651A64C66}" name="Homeoffice/Zusatz" dataDxfId="1146">
      <calculatedColumnFormula>SUM(Q225:Q231)</calculatedColumnFormula>
    </tableColumn>
    <tableColumn id="8" xr3:uid="{36A8A505-F197-42B2-948E-96B8359DBA58}" name="Summe Tagesarbeitszeit" dataDxfId="114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1144" dataDxfId="1142" headerRowBorderDxfId="1143" tableBorderDxfId="1141">
  <tableColumns count="8">
    <tableColumn id="1" xr3:uid="{6E78B853-F02E-470E-A041-87F5979A4C3B}" name="Tag" dataDxfId="1140">
      <calculatedColumnFormula>TEXT(Tabelle121730302972082276[[#This Row],[Datum]],"tttt")</calculatedColumnFormula>
    </tableColumn>
    <tableColumn id="2" xr3:uid="{D7EB7E41-AA87-4777-820F-9A6C5E12F75C}" name="Datum" dataDxfId="1139"/>
    <tableColumn id="3" xr3:uid="{776899A9-E0D1-4EAF-855F-441BB15BA6DA}" name="Beginn" dataDxfId="1138"/>
    <tableColumn id="4" xr3:uid="{16E37B82-3764-4AE6-A02E-EB4BDB35FECC}" name="Ende" dataDxfId="1137">
      <calculatedColumnFormula>SUM(N235:N241)</calculatedColumnFormula>
    </tableColumn>
    <tableColumn id="5" xr3:uid="{65E11C1F-8CC9-4FB8-90A4-AB18F03AED26}" name="Eintragung" dataDxfId="1136"/>
    <tableColumn id="6" xr3:uid="{3D68656D-C411-43AC-87E8-E0E336257E11}" name="Pause" dataDxfId="1135"/>
    <tableColumn id="7" xr3:uid="{A8677A7D-CA71-44C4-BB91-F3CFA37DFDFB}" name="Homeoffice/Zusatz" dataDxfId="1134">
      <calculatedColumnFormula>SUM(Q235:Q241)</calculatedColumnFormula>
    </tableColumn>
    <tableColumn id="8" xr3:uid="{4B72967A-E0AB-418B-A950-D449E20ED987}" name="Summe Tagesarbeitszeit" dataDxfId="113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1132" dataDxfId="1130" headerRowBorderDxfId="1131" tableBorderDxfId="1129">
  <tableColumns count="8">
    <tableColumn id="1" xr3:uid="{13C28D15-3C04-4F8C-8D6E-0882DB1AAE91}" name="Tag" dataDxfId="1128">
      <calculatedColumnFormula>TEXT(Tabelle1217303029720832377[[#This Row],[Datum]],"tttt")</calculatedColumnFormula>
    </tableColumn>
    <tableColumn id="2" xr3:uid="{4BA1F658-9FC9-4BC3-864A-818E1CEDC858}" name="Datum" dataDxfId="1127"/>
    <tableColumn id="3" xr3:uid="{741166AE-0E27-454D-AA07-038881207D99}" name="Beginn" dataDxfId="1126"/>
    <tableColumn id="4" xr3:uid="{8649C607-E558-49AB-9EA5-638EFF7E8E3E}" name="Ende" dataDxfId="1125">
      <calculatedColumnFormula>SUM(N245:N251)</calculatedColumnFormula>
    </tableColumn>
    <tableColumn id="5" xr3:uid="{0041BCF8-414E-4F45-86AA-42730AD9E199}" name="Eintragung" dataDxfId="1124"/>
    <tableColumn id="6" xr3:uid="{EDBD2B47-E106-4A89-B0F7-086B14E619D2}" name="Pause" dataDxfId="1123"/>
    <tableColumn id="7" xr3:uid="{C0789A8F-4DA1-45E0-AD4F-712EC8E849FE}" name="Homeoffice/Zusatz" dataDxfId="1122">
      <calculatedColumnFormula>SUM(Q245:Q251)</calculatedColumnFormula>
    </tableColumn>
    <tableColumn id="8" xr3:uid="{B2B8B49C-353A-42D0-9CAD-D4E550EEC577}" name="Summe Tagesarbeitszeit" dataDxfId="112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1120" dataDxfId="1118" headerRowBorderDxfId="1119" tableBorderDxfId="1117">
  <tableColumns count="8">
    <tableColumn id="1" xr3:uid="{32EC6F6E-A040-4F24-9205-D92215C6F359}" name="Tag" dataDxfId="1116">
      <calculatedColumnFormula>TEXT(Tabelle1217303029720842478[[#This Row],[Datum]],"tttt")</calculatedColumnFormula>
    </tableColumn>
    <tableColumn id="2" xr3:uid="{49D5A8DF-5AA4-45A3-A942-3CE03DF2F43D}" name="Datum" dataDxfId="1115"/>
    <tableColumn id="3" xr3:uid="{4D0294D2-F32A-4E96-91DF-AABEB19DB96D}" name="Beginn" dataDxfId="1114"/>
    <tableColumn id="4" xr3:uid="{CED2726F-B73F-4984-95B6-40CFB36030B3}" name="Ende" dataDxfId="1113">
      <calculatedColumnFormula>SUM(N255:N261)</calculatedColumnFormula>
    </tableColumn>
    <tableColumn id="5" xr3:uid="{C082C0A4-C60F-4BFB-B181-225321066843}" name="Eintragung" dataDxfId="1112"/>
    <tableColumn id="6" xr3:uid="{8CE529DB-25E1-4109-BF55-7145760CC144}" name="Pause" dataDxfId="1111"/>
    <tableColumn id="7" xr3:uid="{E7AA3410-5C61-4E0B-89EF-885161CDCB60}" name="Homeoffice/Zusatz" dataDxfId="1110">
      <calculatedColumnFormula>SUM(Q255:Q261)</calculatedColumnFormula>
    </tableColumn>
    <tableColumn id="8" xr3:uid="{942F682D-DB1B-41FB-B8F3-428F8CA01661}" name="Summe Tagesarbeitszeit" dataDxfId="110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1108" dataDxfId="1106" headerRowBorderDxfId="1107" tableBorderDxfId="1105">
  <tableColumns count="8">
    <tableColumn id="1" xr3:uid="{45D3F465-75D4-4EA1-A650-8BC4B31F9D26}" name="Tag" dataDxfId="1104">
      <calculatedColumnFormula>TEXT(Tabelle121730302972082579[[#This Row],[Datum]],"tttt")</calculatedColumnFormula>
    </tableColumn>
    <tableColumn id="2" xr3:uid="{6E4A4A93-9240-4993-9E65-2030B1CF2EA5}" name="Datum" dataDxfId="1103"/>
    <tableColumn id="3" xr3:uid="{57EE06F1-FC7F-4596-9B53-044FD1B31EF0}" name="Beginn" dataDxfId="1102"/>
    <tableColumn id="4" xr3:uid="{0D836D92-5232-4FF5-9349-57E5992A5329}" name="Ende" dataDxfId="1101">
      <calculatedColumnFormula>SUM(N265:N271)</calculatedColumnFormula>
    </tableColumn>
    <tableColumn id="5" xr3:uid="{A5681A09-8D29-4BF8-A4A8-4D3704DB9395}" name="Eintragung" dataDxfId="1100"/>
    <tableColumn id="6" xr3:uid="{332C9ECC-048A-4E29-A249-685317022761}" name="Pause" dataDxfId="1099"/>
    <tableColumn id="7" xr3:uid="{12337B08-8AC6-4188-A468-61F09E473CEF}" name="Homeoffice/Zusatz" dataDxfId="1098">
      <calculatedColumnFormula>SUM(Q265:Q271)</calculatedColumnFormula>
    </tableColumn>
    <tableColumn id="8" xr3:uid="{43EE375B-85A2-4DC6-ADCF-B4A28F05D540}" name="Summe Tagesarbeitszeit" dataDxfId="109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1096" dataDxfId="1094" headerRowBorderDxfId="1095" tableBorderDxfId="1093">
  <tableColumns count="8">
    <tableColumn id="1" xr3:uid="{02B8473A-27B8-4F5E-BB2A-D4164DD71794}" name="Tag" dataDxfId="1092">
      <calculatedColumnFormula>TEXT(Tabelle1217303029720832680[[#This Row],[Datum]],"tttt")</calculatedColumnFormula>
    </tableColumn>
    <tableColumn id="2" xr3:uid="{27F56199-C290-493C-B07C-BC3E9ECA72B2}" name="Datum" dataDxfId="1091"/>
    <tableColumn id="3" xr3:uid="{86CFADEF-50CE-4A62-B3FA-42C4E1A3F983}" name="Beginn" dataDxfId="1090"/>
    <tableColumn id="4" xr3:uid="{71A35669-32FD-450D-A290-679D86762C17}" name="Ende" dataDxfId="1089">
      <calculatedColumnFormula>SUM(N275:N281)</calculatedColumnFormula>
    </tableColumn>
    <tableColumn id="5" xr3:uid="{07C15C98-C51A-4467-B3BC-E9966BDDF40D}" name="Eintragung" dataDxfId="1088"/>
    <tableColumn id="6" xr3:uid="{C1D8051F-AC7A-4EC2-A3DC-85E4F0DF1F3E}" name="Pause" dataDxfId="1087"/>
    <tableColumn id="7" xr3:uid="{C5A8B21C-1300-4C8C-B273-03A93A2B6C6C}" name="Homeoffice/Zusatz" dataDxfId="1086">
      <calculatedColumnFormula>SUM(Q275:Q281)</calculatedColumnFormula>
    </tableColumn>
    <tableColumn id="8" xr3:uid="{1EA4E9A4-EE8D-4B25-8A81-D2C3CEE55489}" name="Summe Tagesarbeitszeit" dataDxfId="108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1084" dataDxfId="1082" headerRowBorderDxfId="1083" tableBorderDxfId="1081">
  <tableColumns count="8">
    <tableColumn id="1" xr3:uid="{5F443411-0961-437F-8358-A602B9834926}" name="Tag" dataDxfId="1080">
      <calculatedColumnFormula>TEXT(Tabelle1217303029720842781[[#This Row],[Datum]],"tttt")</calculatedColumnFormula>
    </tableColumn>
    <tableColumn id="2" xr3:uid="{8EB6DBA4-74D1-4976-B0F4-64B3ABC7A2BE}" name="Datum" dataDxfId="1079"/>
    <tableColumn id="3" xr3:uid="{3556BAD1-7599-47A2-B138-175F7267A21E}" name="Beginn" dataDxfId="1078"/>
    <tableColumn id="4" xr3:uid="{EB1C319C-0BE9-46A0-A980-113D5A9E9B42}" name="Ende" dataDxfId="1077">
      <calculatedColumnFormula>SUM(N285:N291)</calculatedColumnFormula>
    </tableColumn>
    <tableColumn id="5" xr3:uid="{3D817144-7915-46E0-90C8-4B49488DDAA3}" name="Eintragung" dataDxfId="1076"/>
    <tableColumn id="6" xr3:uid="{067F6127-9173-4061-8F27-7176F9AAA580}" name="Pause" dataDxfId="1075"/>
    <tableColumn id="7" xr3:uid="{965D9FA6-A912-48F7-B29B-8311EDEFD052}" name="Homeoffice/Zusatz" dataDxfId="1074">
      <calculatedColumnFormula>SUM(Q285:Q291)</calculatedColumnFormula>
    </tableColumn>
    <tableColumn id="8" xr3:uid="{B904FFCB-7BC2-4664-B181-17B13A1301D8}" name="Summe Tagesarbeitszeit" dataDxfId="107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1072" dataDxfId="1070" headerRowBorderDxfId="1071" tableBorderDxfId="1069">
  <tableColumns count="8">
    <tableColumn id="1" xr3:uid="{795AC3A5-7D11-4EC1-A0A6-D1A599BE4F8A}" name="Tag" dataDxfId="1068">
      <calculatedColumnFormula>TEXT(Tabelle121730302972082882[[#This Row],[Datum]],"tttt")</calculatedColumnFormula>
    </tableColumn>
    <tableColumn id="2" xr3:uid="{840F230E-0FDF-4F75-8DFC-5F117BDC06E0}" name="Datum" dataDxfId="1067"/>
    <tableColumn id="3" xr3:uid="{5D61226D-7980-48FE-8150-8048638458BD}" name="Beginn" dataDxfId="1066"/>
    <tableColumn id="4" xr3:uid="{D323672B-AC22-461D-89D5-1679BA7EF5D0}" name="Ende" dataDxfId="1065">
      <calculatedColumnFormula>SUM(N295:N301)</calculatedColumnFormula>
    </tableColumn>
    <tableColumn id="5" xr3:uid="{CFA8AD81-8693-404E-95E6-A03434B81C73}" name="Eintragung" dataDxfId="1064"/>
    <tableColumn id="6" xr3:uid="{1573C701-4D5A-49F9-A375-FC7BBE95989E}" name="Pause" dataDxfId="1063"/>
    <tableColumn id="7" xr3:uid="{9704DD29-CA06-43E3-A192-E02E33058B3C}" name="Homeoffice/Zusatz" dataDxfId="1062">
      <calculatedColumnFormula>SUM(Q295:Q301)</calculatedColumnFormula>
    </tableColumn>
    <tableColumn id="8" xr3:uid="{6BBE478C-5FED-48DE-92C3-EF88F5CAE4D5}" name="Summe Tagesarbeitszeit" dataDxfId="106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1060" dataDxfId="1058" headerRowBorderDxfId="1059" tableBorderDxfId="1057">
  <tableColumns count="8">
    <tableColumn id="1" xr3:uid="{B22EEA9D-F5AF-4EB6-8EFB-82A3AC8A83E9}" name="Tag" dataDxfId="1056">
      <calculatedColumnFormula>TEXT(Tabelle1217303029720832983[[#This Row],[Datum]],"tttt")</calculatedColumnFormula>
    </tableColumn>
    <tableColumn id="2" xr3:uid="{5EFEB752-4AD6-4DAC-A40F-0CE88B1D2CA7}" name="Datum" dataDxfId="1055"/>
    <tableColumn id="3" xr3:uid="{FDB7CB16-B7D4-4DEF-B964-6F1A3481996A}" name="Beginn" dataDxfId="1054"/>
    <tableColumn id="4" xr3:uid="{3D46F9DA-33F2-47F7-8E09-C36573A9736F}" name="Ende" dataDxfId="1053">
      <calculatedColumnFormula>SUM(N305:N311)</calculatedColumnFormula>
    </tableColumn>
    <tableColumn id="5" xr3:uid="{B7B878E1-4B6A-4745-8856-1855FD1305DB}" name="Eintragung" dataDxfId="1052"/>
    <tableColumn id="6" xr3:uid="{22D50C79-7D68-4345-A4FA-BB45C5EE5424}" name="Pause" dataDxfId="1051"/>
    <tableColumn id="7" xr3:uid="{8CF67576-5494-43A4-B512-98C8F3030FF2}" name="Homeoffice/Zusatz" dataDxfId="1050">
      <calculatedColumnFormula>SUM(Q305:Q311)</calculatedColumnFormula>
    </tableColumn>
    <tableColumn id="8" xr3:uid="{A3726EB1-B5B2-4ED6-AFA9-B6C5AC1BB51E}" name="Summe Tagesarbeitszeit" dataDxfId="104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1048" dataDxfId="1046" headerRowBorderDxfId="1047" tableBorderDxfId="1045">
  <tableColumns count="8">
    <tableColumn id="1" xr3:uid="{532A08D3-FB10-4610-AD04-401B0D62123C}" name="Tag" dataDxfId="1044">
      <calculatedColumnFormula>TEXT(Tabelle1217303029720843184[[#This Row],[Datum]],"tttt")</calculatedColumnFormula>
    </tableColumn>
    <tableColumn id="2" xr3:uid="{04144221-3B49-46C4-9930-7EC9AE8BFB42}" name="Datum" dataDxfId="1043"/>
    <tableColumn id="3" xr3:uid="{EF563BA4-E577-4044-BD47-EB47261F4646}" name="Beginn" dataDxfId="1042"/>
    <tableColumn id="4" xr3:uid="{14574E12-88F6-4210-91E9-BE5CBACDD771}" name="Ende" dataDxfId="1041">
      <calculatedColumnFormula>SUM(N315:N321)</calculatedColumnFormula>
    </tableColumn>
    <tableColumn id="5" xr3:uid="{9F5E557A-3CD8-4513-97AC-B29BD9F8D3B8}" name="Eintragung" dataDxfId="1040"/>
    <tableColumn id="6" xr3:uid="{68148D9A-0132-4606-B8DC-6E23D2AAD101}" name="Pause" dataDxfId="1039"/>
    <tableColumn id="7" xr3:uid="{8CD323B7-AD2B-48CF-9BB0-502B0CEBE5ED}" name="Homeoffice/Zusatz" dataDxfId="1038">
      <calculatedColumnFormula>SUM(Q315:Q321)</calculatedColumnFormula>
    </tableColumn>
    <tableColumn id="8" xr3:uid="{2BF4F231-AA25-4030-9093-8A553E46D245}" name="Summe Tagesarbeitszeit" dataDxfId="103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1036" dataDxfId="1034" headerRowBorderDxfId="1035" tableBorderDxfId="1033">
  <tableColumns count="8">
    <tableColumn id="1" xr3:uid="{E5734E64-5ADB-4FA8-969C-31E7B005B395}" name="Tag" dataDxfId="1032">
      <calculatedColumnFormula>TEXT(Tabelle121730302972083285[[#This Row],[Datum]],"tttt")</calculatedColumnFormula>
    </tableColumn>
    <tableColumn id="2" xr3:uid="{FF0C8D66-A30C-4F17-96F1-BE36BD7F8C4B}" name="Datum" dataDxfId="1031"/>
    <tableColumn id="3" xr3:uid="{B88DC0F8-BA07-477A-BF5F-FD37947814DD}" name="Beginn" dataDxfId="1030"/>
    <tableColumn id="4" xr3:uid="{35C6FC41-3B80-460C-AB7E-8AED59B363BC}" name="Ende" dataDxfId="1029">
      <calculatedColumnFormula>SUM(N325:N331)</calculatedColumnFormula>
    </tableColumn>
    <tableColumn id="5" xr3:uid="{26366C76-1C76-43B3-98DA-13402FF6BE1F}" name="Eintragung" dataDxfId="1028"/>
    <tableColumn id="6" xr3:uid="{48D3F15A-1DE6-4A82-8B81-2E717514264B}" name="Pause" dataDxfId="1027"/>
    <tableColumn id="7" xr3:uid="{8BD78E64-087D-4A20-B806-EE13AAD4A1E3}" name="Homeoffice/Zusatz" dataDxfId="1026">
      <calculatedColumnFormula>SUM(Q325:Q331)</calculatedColumnFormula>
    </tableColumn>
    <tableColumn id="8" xr3:uid="{D7314F27-82B8-456D-9CD7-F2384971AB57}" name="Summe Tagesarbeitszeit" dataDxfId="102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1024" dataDxfId="1022" headerRowBorderDxfId="1023" tableBorderDxfId="1021">
  <tableColumns count="8">
    <tableColumn id="1" xr3:uid="{5897CADA-6B4A-4EDC-9DC5-95FACE0F5882}" name="Tag" dataDxfId="1020">
      <calculatedColumnFormula>TEXT(Tabelle1217303029720833386[[#This Row],[Datum]],"tttt")</calculatedColumnFormula>
    </tableColumn>
    <tableColumn id="2" xr3:uid="{4A32A1A1-F249-4952-9CAF-7ACCD002BD20}" name="Datum" dataDxfId="1019"/>
    <tableColumn id="3" xr3:uid="{3656FC04-1C45-4457-B878-FED3D97B4A72}" name="Beginn" dataDxfId="1018"/>
    <tableColumn id="4" xr3:uid="{4D9B3346-EB79-4305-8614-A5F0836F9800}" name="Ende" dataDxfId="1017">
      <calculatedColumnFormula>SUM(N335:N341)</calculatedColumnFormula>
    </tableColumn>
    <tableColumn id="5" xr3:uid="{CDCDDBC0-FAB2-4A07-81A7-1E0762C3263C}" name="Eintragung" dataDxfId="1016"/>
    <tableColumn id="6" xr3:uid="{737E8D0A-06F9-4F43-8A0C-6C6A5C656170}" name="Pause" dataDxfId="1015"/>
    <tableColumn id="7" xr3:uid="{204DA91A-D486-4EDE-B41B-7F98F0B13078}" name="Homeoffice/Zusatz" dataDxfId="1014">
      <calculatedColumnFormula>SUM(Q335:Q341)</calculatedColumnFormula>
    </tableColumn>
    <tableColumn id="8" xr3:uid="{F7AAE7C1-3AC9-4F22-A664-81C8FF961C8A}" name="Summe Tagesarbeitszeit" dataDxfId="101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1012" dataDxfId="1010" headerRowBorderDxfId="1011" tableBorderDxfId="1009">
  <tableColumns count="8">
    <tableColumn id="1" xr3:uid="{ECA542A2-C1D7-43CC-B660-204AF591F8BE}" name="Tag" dataDxfId="1008">
      <calculatedColumnFormula>TEXT(Tabelle1217303029720843487[[#This Row],[Datum]],"tttt")</calculatedColumnFormula>
    </tableColumn>
    <tableColumn id="2" xr3:uid="{70516662-42E0-4EE4-8EDA-F68234C7DB38}" name="Datum" dataDxfId="1007"/>
    <tableColumn id="3" xr3:uid="{7AA4E684-1759-4F78-950E-8B2E955D33EF}" name="Beginn" dataDxfId="1006"/>
    <tableColumn id="4" xr3:uid="{7BB1D1A6-D1AC-4AA9-AFC3-C55B6BDC684A}" name="Ende" dataDxfId="1005">
      <calculatedColumnFormula>SUM(N345:N351)</calculatedColumnFormula>
    </tableColumn>
    <tableColumn id="5" xr3:uid="{DDA7F636-1FAA-41DC-8E2E-82400DA9E5A9}" name="Eintragung" dataDxfId="1004"/>
    <tableColumn id="6" xr3:uid="{4B709E85-5042-419D-B317-3DD0ED0C501B}" name="Pause" dataDxfId="1003"/>
    <tableColumn id="7" xr3:uid="{5C711791-B972-44E5-9DFA-CED0C02BC5ED}" name="Homeoffice/Zusatz" dataDxfId="1002">
      <calculatedColumnFormula>SUM(Q345:Q351)</calculatedColumnFormula>
    </tableColumn>
    <tableColumn id="8" xr3:uid="{A02A9275-7A9B-4D0B-A29E-9F37DA2222B8}" name="Summe Tagesarbeitszeit" dataDxfId="100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1000" dataDxfId="998" headerRowBorderDxfId="999" tableBorderDxfId="997">
  <tableColumns count="8">
    <tableColumn id="1" xr3:uid="{E7D99E7E-AC26-4B6C-B2F7-A2361A01F283}" name="Tag" dataDxfId="996">
      <calculatedColumnFormula>TEXT(Tabelle121730302972083588[[#This Row],[Datum]],"tttt")</calculatedColumnFormula>
    </tableColumn>
    <tableColumn id="2" xr3:uid="{BA31A41C-8C18-4BEC-BFD0-22B67F8E58EE}" name="Datum" dataDxfId="995"/>
    <tableColumn id="3" xr3:uid="{814F48C1-7172-4631-9E23-498539B6DE17}" name="Beginn" dataDxfId="994"/>
    <tableColumn id="4" xr3:uid="{889C9A09-991F-4472-B171-617C33AAA408}" name="Ende" dataDxfId="993">
      <calculatedColumnFormula>SUM(N355:N361)</calculatedColumnFormula>
    </tableColumn>
    <tableColumn id="5" xr3:uid="{DE6413F7-6DEE-4DED-9891-6B728E25D201}" name="Eintragung" dataDxfId="992"/>
    <tableColumn id="6" xr3:uid="{CF566A4B-B0B0-4A9D-83E9-612851906874}" name="Pause" dataDxfId="991"/>
    <tableColumn id="7" xr3:uid="{5A6557DC-8CC9-43F3-89E3-7C37A5D24AF7}" name="Homeoffice/Zusatz" dataDxfId="990">
      <calculatedColumnFormula>SUM(Q355:Q361)</calculatedColumnFormula>
    </tableColumn>
    <tableColumn id="8" xr3:uid="{036D3556-FFF5-4EB2-9476-A91D3E1BAC41}" name="Summe Tagesarbeitszeit" dataDxfId="98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988" dataDxfId="986" headerRowBorderDxfId="987" tableBorderDxfId="985">
  <tableColumns count="8">
    <tableColumn id="1" xr3:uid="{A59C4999-40E9-45F3-B047-714B252D5E74}" name="Tag" dataDxfId="984">
      <calculatedColumnFormula>TEXT(Tabelle1217303029720833689[[#This Row],[Datum]],"tttt")</calculatedColumnFormula>
    </tableColumn>
    <tableColumn id="2" xr3:uid="{08389551-F193-499A-A49D-F927E30B400E}" name="Datum" dataDxfId="983"/>
    <tableColumn id="3" xr3:uid="{A1ACCFBA-C50A-47D0-8F91-60A9549D278F}" name="Beginn" dataDxfId="982"/>
    <tableColumn id="4" xr3:uid="{AFAE5CA3-3551-449C-BE64-F2AB54F54C1C}" name="Ende" dataDxfId="981">
      <calculatedColumnFormula>SUM(N365:N371)</calculatedColumnFormula>
    </tableColumn>
    <tableColumn id="5" xr3:uid="{CEA97062-FF7A-4D8F-81C9-429431896A4A}" name="Eintragung" dataDxfId="980"/>
    <tableColumn id="6" xr3:uid="{BF1D6CF3-6459-48E7-BDB5-2360C3F1BA90}" name="Pause" dataDxfId="979"/>
    <tableColumn id="7" xr3:uid="{148690F4-32BF-4396-A087-12CDD586982B}" name="Homeoffice/Zusatz" dataDxfId="978">
      <calculatedColumnFormula>SUM(Q365:Q371)</calculatedColumnFormula>
    </tableColumn>
    <tableColumn id="8" xr3:uid="{316E64A0-1CBE-4A80-B373-6B7C6F6D59F5}" name="Summe Tagesarbeitszeit" dataDxfId="97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976" dataDxfId="974" headerRowBorderDxfId="975" tableBorderDxfId="973">
  <tableColumns count="8">
    <tableColumn id="1" xr3:uid="{19103191-A8EE-4050-969D-392871F2939E}" name="Tag" dataDxfId="972">
      <calculatedColumnFormula>TEXT(Tabelle1217303029720843790[[#This Row],[Datum]],"tttt")</calculatedColumnFormula>
    </tableColumn>
    <tableColumn id="2" xr3:uid="{AEC18D0F-3E88-4297-8559-0384BE90617D}" name="Datum" dataDxfId="971"/>
    <tableColumn id="3" xr3:uid="{BD5E1D88-2DCF-497A-B9DD-4E76D02AA040}" name="Beginn" dataDxfId="970"/>
    <tableColumn id="4" xr3:uid="{9886C890-840F-4884-8F11-AAA6098C9749}" name="Ende" dataDxfId="969">
      <calculatedColumnFormula>SUM(N375:N381)</calculatedColumnFormula>
    </tableColumn>
    <tableColumn id="5" xr3:uid="{9F3E500A-A47A-4CFC-A3C5-B01E4E734CC9}" name="Eintragung" dataDxfId="968"/>
    <tableColumn id="6" xr3:uid="{940C72C4-7FB7-4AAE-8978-D6873D6CF2B9}" name="Pause" dataDxfId="967"/>
    <tableColumn id="7" xr3:uid="{8773428E-E908-41B6-982C-88D734065C7A}" name="Homeoffice/Zusatz" dataDxfId="966">
      <calculatedColumnFormula>SUM(Q375:Q381)</calculatedColumnFormula>
    </tableColumn>
    <tableColumn id="8" xr3:uid="{4B93B678-8D82-442E-B2D7-0B78417B1BD3}" name="Summe Tagesarbeitszeit" dataDxfId="96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964" dataDxfId="962" headerRowBorderDxfId="963" tableBorderDxfId="961">
  <tableColumns count="8">
    <tableColumn id="1" xr3:uid="{887E0E8D-64A9-482D-A3E8-24EBB1BF97BA}" name="Tag" dataDxfId="960">
      <calculatedColumnFormula>TEXT(Tabelle121730302972083991[[#This Row],[Datum]],"tttt")</calculatedColumnFormula>
    </tableColumn>
    <tableColumn id="2" xr3:uid="{9B4B7EC6-7B5F-4666-AB41-C76798E61FEB}" name="Datum" dataDxfId="959"/>
    <tableColumn id="3" xr3:uid="{C7BF6026-624A-4AA6-ABDC-18B613033144}" name="Beginn" dataDxfId="958"/>
    <tableColumn id="4" xr3:uid="{C20C4D79-CD54-4FEF-A57D-E763EF284ACB}" name="Ende" dataDxfId="957">
      <calculatedColumnFormula>SUM(N385:N391)</calculatedColumnFormula>
    </tableColumn>
    <tableColumn id="5" xr3:uid="{632824D5-6305-459A-AD78-87DFA0DF2E5F}" name="Eintragung" dataDxfId="956"/>
    <tableColumn id="6" xr3:uid="{564DB27F-C395-4BBF-B8A0-4AF614A7C253}" name="Pause" dataDxfId="955"/>
    <tableColumn id="7" xr3:uid="{324E2386-EC7D-4779-8A86-64E5A883FB57}" name="Homeoffice/Zusatz" dataDxfId="954">
      <calculatedColumnFormula>SUM(Q385:Q391)</calculatedColumnFormula>
    </tableColumn>
    <tableColumn id="8" xr3:uid="{8E2E4767-C1AA-4A67-8F5B-B9B8F32B2607}" name="Summe Tagesarbeitszeit" dataDxfId="95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952" dataDxfId="950" headerRowBorderDxfId="951" tableBorderDxfId="949">
  <tableColumns count="8">
    <tableColumn id="1" xr3:uid="{A9864898-EA7C-4DAA-857B-702CE021F4EE}" name="Tag" dataDxfId="948">
      <calculatedColumnFormula>TEXT(Tabelle1217303029720833992[[#This Row],[Datum]],"tttt")</calculatedColumnFormula>
    </tableColumn>
    <tableColumn id="2" xr3:uid="{36F4CB32-74C8-4EE0-B57B-28331ABCE15C}" name="Datum" dataDxfId="947"/>
    <tableColumn id="3" xr3:uid="{2A8F4D28-2F92-4A8F-9488-B98F43A56E4A}" name="Beginn" dataDxfId="946"/>
    <tableColumn id="4" xr3:uid="{61118535-DE30-403D-8D29-FBEDDE4C2E52}" name="Ende" dataDxfId="945">
      <calculatedColumnFormula>SUM(N395:N401)</calculatedColumnFormula>
    </tableColumn>
    <tableColumn id="5" xr3:uid="{E93C8AC9-4071-4FA0-A5F6-EF4D9B76D3D5}" name="Eintragung" dataDxfId="944"/>
    <tableColumn id="6" xr3:uid="{41BA6810-920C-45A8-BBAD-14C343EB0ACA}" name="Pause" dataDxfId="943"/>
    <tableColumn id="7" xr3:uid="{E8C5DC92-48C2-41B4-B21F-C6B3DA54B432}" name="Homeoffice/Zusatz" dataDxfId="942">
      <calculatedColumnFormula>SUM(Q395:Q401)</calculatedColumnFormula>
    </tableColumn>
    <tableColumn id="8" xr3:uid="{836B2CBD-2FAF-4708-8E55-ED9CA1CBAB41}" name="Summe Tagesarbeitszeit" dataDxfId="94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940" dataDxfId="938" headerRowBorderDxfId="939" tableBorderDxfId="937">
  <tableColumns count="8">
    <tableColumn id="1" xr3:uid="{02760543-B538-44AF-9484-9D66E23524C6}" name="Tag" dataDxfId="936">
      <calculatedColumnFormula>TEXT(Tabelle1217303029720844093[[#This Row],[Datum]],"tttt")</calculatedColumnFormula>
    </tableColumn>
    <tableColumn id="2" xr3:uid="{6DB7CD22-992C-4CCA-8C08-66E82AC80226}" name="Datum" dataDxfId="935"/>
    <tableColumn id="3" xr3:uid="{B4957EE6-F408-4091-AD5F-3444994B2DCC}" name="Beginn" dataDxfId="934"/>
    <tableColumn id="4" xr3:uid="{19182D8A-21E1-46EC-856A-5692ACD316AA}" name="Ende" dataDxfId="933">
      <calculatedColumnFormula>SUM(N405:N411)</calculatedColumnFormula>
    </tableColumn>
    <tableColumn id="5" xr3:uid="{EC6FBB7A-FE11-405D-963A-A2738AF3C09D}" name="Eintragung" dataDxfId="932"/>
    <tableColumn id="6" xr3:uid="{BD05260D-CB65-4345-8651-1F72519823AB}" name="Pause" dataDxfId="931"/>
    <tableColumn id="7" xr3:uid="{2C500A16-D673-46F5-BFE4-59F93F2B73BD}" name="Homeoffice/Zusatz" dataDxfId="930">
      <calculatedColumnFormula>SUM(Q405:Q411)</calculatedColumnFormula>
    </tableColumn>
    <tableColumn id="8" xr3:uid="{0E2A4C1C-C906-455C-B370-77268ACC0B40}" name="Summe Tagesarbeitszeit" dataDxfId="92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928" dataDxfId="926" headerRowBorderDxfId="927" tableBorderDxfId="925">
  <tableColumns count="8">
    <tableColumn id="1" xr3:uid="{39200F5A-2E99-4B62-9F01-106E51E57A7B}" name="Tag" dataDxfId="924">
      <calculatedColumnFormula>TEXT(Tabelle121730302972084194[[#This Row],[Datum]],"tttt")</calculatedColumnFormula>
    </tableColumn>
    <tableColumn id="2" xr3:uid="{10DB29AA-65DA-4B79-80FC-70D39641FF32}" name="Datum" dataDxfId="923"/>
    <tableColumn id="3" xr3:uid="{839F6AC1-F677-41C7-BD4B-0552031DBF2B}" name="Beginn" dataDxfId="922"/>
    <tableColumn id="4" xr3:uid="{AE5130AC-EE3E-470A-9411-0AE2042E4C77}" name="Ende" dataDxfId="921">
      <calculatedColumnFormula>SUM(N415:N421)</calculatedColumnFormula>
    </tableColumn>
    <tableColumn id="5" xr3:uid="{E2B40B88-7A57-47A0-BCC4-AA214490F2A7}" name="Eintragung" dataDxfId="920"/>
    <tableColumn id="6" xr3:uid="{E9C6381C-4DB6-4478-B976-55EE8D50CC7E}" name="Pause" dataDxfId="919"/>
    <tableColumn id="7" xr3:uid="{462E9967-E249-473C-9588-6B965A91DCE5}" name="Homeoffice/Zusatz" dataDxfId="918">
      <calculatedColumnFormula>SUM(Q415:Q421)</calculatedColumnFormula>
    </tableColumn>
    <tableColumn id="8" xr3:uid="{0BD116B2-0ABE-4AC4-A7E5-F5D1A78B361B}" name="Summe Tagesarbeitszeit" dataDxfId="91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916" dataDxfId="914" headerRowBorderDxfId="915" tableBorderDxfId="913">
  <tableColumns count="8">
    <tableColumn id="1" xr3:uid="{DEA0A7CF-F9D1-4853-8030-97DEBFEE7CCF}" name="Tag" dataDxfId="912">
      <calculatedColumnFormula>TEXT(Tabelle1217303029720834295[[#This Row],[Datum]],"tttt")</calculatedColumnFormula>
    </tableColumn>
    <tableColumn id="2" xr3:uid="{68A5AD9F-19BD-4AF4-BEE5-372C3E708156}" name="Datum" dataDxfId="911"/>
    <tableColumn id="3" xr3:uid="{6253BFB1-5074-4A0D-8D0F-9897213A805C}" name="Beginn" dataDxfId="910"/>
    <tableColumn id="4" xr3:uid="{0235F1D6-5C2A-4354-9D22-90655AEEA239}" name="Ende" dataDxfId="909">
      <calculatedColumnFormula>SUM(N425:N431)</calculatedColumnFormula>
    </tableColumn>
    <tableColumn id="5" xr3:uid="{3B5FD729-DCB5-4E41-9E55-0F4B755569D0}" name="Eintragung" dataDxfId="908"/>
    <tableColumn id="6" xr3:uid="{BCAAF081-1E5D-45AF-821F-C3E7D43C3617}" name="Pause" dataDxfId="907"/>
    <tableColumn id="7" xr3:uid="{1AA73DB7-1369-4B1E-BA5F-C3F9EBECFC6F}" name="Homeoffice/Zusatz" dataDxfId="906">
      <calculatedColumnFormula>SUM(Q425:Q431)</calculatedColumnFormula>
    </tableColumn>
    <tableColumn id="8" xr3:uid="{E3843797-CB7C-43A7-8423-BC1091F5253F}" name="Summe Tagesarbeitszeit" dataDxfId="90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904" dataDxfId="902" headerRowBorderDxfId="903" tableBorderDxfId="901">
  <tableColumns count="8">
    <tableColumn id="1" xr3:uid="{B0285D01-1531-436E-9FC1-619C119D7571}" name="Tag" dataDxfId="900">
      <calculatedColumnFormula>TEXT(Tabelle1217303029720844396[[#This Row],[Datum]],"tttt")</calculatedColumnFormula>
    </tableColumn>
    <tableColumn id="2" xr3:uid="{9DFF2C3D-9273-47DA-BBB0-9408769C025B}" name="Datum" dataDxfId="899"/>
    <tableColumn id="3" xr3:uid="{2BF3F077-FFC1-478F-B0E9-B735DA62E85D}" name="Beginn" dataDxfId="898"/>
    <tableColumn id="4" xr3:uid="{C3DB7522-A2E1-43C5-A186-0619C9A16FA4}" name="Ende" dataDxfId="897">
      <calculatedColumnFormula>SUM(N435:N441)</calculatedColumnFormula>
    </tableColumn>
    <tableColumn id="5" xr3:uid="{EC8C7B01-F5AB-47DF-A6DF-EDB4F258322D}" name="Eintragung" dataDxfId="896"/>
    <tableColumn id="6" xr3:uid="{0BEC4463-91DE-49F9-BFC9-71A585188C4F}" name="Pause" dataDxfId="895"/>
    <tableColumn id="7" xr3:uid="{13C48BE5-6FA1-46CF-8FDB-403A69F0F27B}" name="Homeoffice/Zusatz" dataDxfId="894">
      <calculatedColumnFormula>SUM(Q435:Q441)</calculatedColumnFormula>
    </tableColumn>
    <tableColumn id="8" xr3:uid="{C92FF08B-D6B1-4235-9F2F-1D05374ABCD7}" name="Summe Tagesarbeitszeit" dataDxfId="89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892" dataDxfId="890" headerRowBorderDxfId="891" tableBorderDxfId="889">
  <tableColumns count="8">
    <tableColumn id="1" xr3:uid="{1450B984-EB34-483D-84B3-ED1639C1D880}" name="Tag" dataDxfId="888">
      <calculatedColumnFormula>TEXT(Tabelle121730302972084498[[#This Row],[Datum]],"tttt")</calculatedColumnFormula>
    </tableColumn>
    <tableColumn id="2" xr3:uid="{F88B9BE4-AD04-4E80-AD49-A0180215B06C}" name="Datum" dataDxfId="887"/>
    <tableColumn id="3" xr3:uid="{00D2FF5E-4A1B-46DB-864A-A99D0EE29F7D}" name="Beginn" dataDxfId="886"/>
    <tableColumn id="4" xr3:uid="{34FCC671-7285-4F18-8D8C-FBBC8DE8DE1A}" name="Ende" dataDxfId="885">
      <calculatedColumnFormula>SUM(N445:N451)</calculatedColumnFormula>
    </tableColumn>
    <tableColumn id="5" xr3:uid="{8E78B844-4F75-468D-9A89-4CFEC10BB6B4}" name="Eintragung" dataDxfId="884"/>
    <tableColumn id="6" xr3:uid="{34B10647-A3E9-4F42-95E5-C737C9C329AB}" name="Pause" dataDxfId="883"/>
    <tableColumn id="7" xr3:uid="{8F992476-A7CA-4EEE-B106-D424A2ED9AEC}" name="Homeoffice/Zusatz" dataDxfId="882">
      <calculatedColumnFormula>SUM(Q445:Q451)</calculatedColumnFormula>
    </tableColumn>
    <tableColumn id="8" xr3:uid="{C5D9B50B-BE06-4B30-A2CF-B66BBBBD850D}" name="Summe Tagesarbeitszeit" dataDxfId="88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880" dataDxfId="878" headerRowBorderDxfId="879" tableBorderDxfId="877">
  <tableColumns count="8">
    <tableColumn id="1" xr3:uid="{67EF8791-35CD-4931-A76B-DE050A9AF17C}" name="Tag" dataDxfId="876">
      <calculatedColumnFormula>TEXT(Tabelle1217303029720834599[[#This Row],[Datum]],"tttt")</calculatedColumnFormula>
    </tableColumn>
    <tableColumn id="2" xr3:uid="{2DE055A5-05CA-4345-9C52-8206BAD821AF}" name="Datum" dataDxfId="875"/>
    <tableColumn id="3" xr3:uid="{5357C9BE-9F71-4436-A8B8-3B134D21C239}" name="Beginn" dataDxfId="874"/>
    <tableColumn id="4" xr3:uid="{7ABEC382-4EA1-4585-99F4-F99E576827D0}" name="Ende" dataDxfId="873">
      <calculatedColumnFormula>SUM(N455:N461)</calculatedColumnFormula>
    </tableColumn>
    <tableColumn id="5" xr3:uid="{230C6B02-50B9-4B8D-A292-9060B6F1DAEF}" name="Eintragung" dataDxfId="872"/>
    <tableColumn id="6" xr3:uid="{9D348CDB-604A-4C5B-81C7-70C96EEC87CE}" name="Pause" dataDxfId="871"/>
    <tableColumn id="7" xr3:uid="{FE86F5E3-DCDE-4F7E-A0BE-D5779F25D07C}" name="Homeoffice/Zusatz" dataDxfId="870">
      <calculatedColumnFormula>SUM(Q455:Q461)</calculatedColumnFormula>
    </tableColumn>
    <tableColumn id="8" xr3:uid="{EE14D8AC-79F0-4F10-AFFF-4BE2097897F3}" name="Summe Tagesarbeitszeit" dataDxfId="86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868" dataDxfId="866" headerRowBorderDxfId="867" tableBorderDxfId="865">
  <tableColumns count="8">
    <tableColumn id="1" xr3:uid="{0A855E32-83CF-4417-B9E4-1D663C3CB360}" name="Tag" dataDxfId="864">
      <calculatedColumnFormula>TEXT(Tabelle1217303029720847100[[#This Row],[Datum]],"tttt")</calculatedColumnFormula>
    </tableColumn>
    <tableColumn id="2" xr3:uid="{4602C0B2-EE7F-45A7-BC28-91A101B4B0DB}" name="Datum" dataDxfId="863"/>
    <tableColumn id="3" xr3:uid="{CCFAE04B-5C5C-4ED2-855A-41F98190C4EE}" name="Beginn" dataDxfId="862"/>
    <tableColumn id="4" xr3:uid="{532395F0-99E7-4DCD-8C3A-27F4ABC998B3}" name="Ende" dataDxfId="861">
      <calculatedColumnFormula>SUM(N465:N471)</calculatedColumnFormula>
    </tableColumn>
    <tableColumn id="5" xr3:uid="{DC548281-0C44-4EE1-BE4A-FEA147BE5357}" name="Eintragung" dataDxfId="860"/>
    <tableColumn id="6" xr3:uid="{1EB0E15C-C21C-46FB-BC54-64168A5018C2}" name="Pause" dataDxfId="859"/>
    <tableColumn id="7" xr3:uid="{35F6FC6E-0C2E-4FF4-A95D-8FDEEFA8C66B}" name="Homeoffice/Zusatz" dataDxfId="858">
      <calculatedColumnFormula>SUM(Q465:Q471)</calculatedColumnFormula>
    </tableColumn>
    <tableColumn id="8" xr3:uid="{8F363608-8F33-45FB-BC77-B7A3F8B79759}" name="Summe Tagesarbeitszeit" dataDxfId="85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856" dataDxfId="854" headerRowBorderDxfId="855" tableBorderDxfId="853">
  <tableColumns count="8">
    <tableColumn id="1" xr3:uid="{714A39ED-7726-4877-AE5C-0F47394FD1FF}" name="Tag" dataDxfId="852">
      <calculatedColumnFormula>TEXT(Tabelle12173030297208348101[[#This Row],[Datum]],"tttt")</calculatedColumnFormula>
    </tableColumn>
    <tableColumn id="2" xr3:uid="{CA0FB773-C756-4A40-96B0-7993462F93E6}" name="Datum" dataDxfId="851"/>
    <tableColumn id="3" xr3:uid="{7FA1C527-D53F-49DC-9808-A62F4043130C}" name="Beginn" dataDxfId="850"/>
    <tableColumn id="4" xr3:uid="{774909F3-09B2-4AEF-AC97-A6E124E88E5C}" name="Ende" dataDxfId="849">
      <calculatedColumnFormula>SUM(N475:N481)</calculatedColumnFormula>
    </tableColumn>
    <tableColumn id="5" xr3:uid="{CC9A81ED-D134-4F10-A0E0-6559509652BA}" name="Eintragung" dataDxfId="848"/>
    <tableColumn id="6" xr3:uid="{6425418B-FA90-41F7-A2D8-A41F7E681533}" name="Pause" dataDxfId="847"/>
    <tableColumn id="7" xr3:uid="{B1F71275-AACB-4F9F-A9AF-CD637AE6F72D}" name="Homeoffice/Zusatz" dataDxfId="846">
      <calculatedColumnFormula>SUM(Q475:Q481)</calculatedColumnFormula>
    </tableColumn>
    <tableColumn id="8" xr3:uid="{E64E28ED-5F2F-4BCC-ABC2-F9D669CF4F46}" name="Summe Tagesarbeitszeit" dataDxfId="84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844" dataDxfId="842" headerRowBorderDxfId="843" tableBorderDxfId="841">
  <tableColumns count="8">
    <tableColumn id="1" xr3:uid="{2651DC8A-E6E8-4D9C-ABA6-44A997EA27F0}" name="Tag" dataDxfId="840">
      <calculatedColumnFormula>TEXT(Tabelle12173030297208449102[[#This Row],[Datum]],"tttt")</calculatedColumnFormula>
    </tableColumn>
    <tableColumn id="2" xr3:uid="{FFD61EA2-CA4C-4568-8972-6EF3F80AF2BB}" name="Datum" dataDxfId="839"/>
    <tableColumn id="3" xr3:uid="{AC62592C-7E59-46B8-B1D9-8FDD47C66DA6}" name="Beginn" dataDxfId="838"/>
    <tableColumn id="4" xr3:uid="{2C531E1B-1BFA-40E3-BD65-3128BADBF69B}" name="Ende" dataDxfId="837">
      <calculatedColumnFormula>SUM(N485:N491)</calculatedColumnFormula>
    </tableColumn>
    <tableColumn id="5" xr3:uid="{022E4ED1-042C-4CB8-8144-2CC5102E3F45}" name="Eintragung" dataDxfId="836"/>
    <tableColumn id="6" xr3:uid="{36CAA8A3-B997-4F2D-97C0-FAED9918AA0D}" name="Pause" dataDxfId="835"/>
    <tableColumn id="7" xr3:uid="{E5852FC3-21B5-4FC1-96CD-E6CAD562B382}" name="Homeoffice/Zusatz" dataDxfId="834">
      <calculatedColumnFormula>SUM(Q485:Q491)</calculatedColumnFormula>
    </tableColumn>
    <tableColumn id="8" xr3:uid="{414D40EF-F11F-401B-A2D7-7827845D32D4}" name="Summe Tagesarbeitszeit" dataDxfId="83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832" dataDxfId="830" headerRowBorderDxfId="831" tableBorderDxfId="829">
  <tableColumns count="8">
    <tableColumn id="1" xr3:uid="{4B5FD56E-8004-4B3B-8597-0F1645A7B478}" name="Tag" dataDxfId="828">
      <calculatedColumnFormula>TEXT(Tabelle1217303029720850103[[#This Row],[Datum]],"tttt")</calculatedColumnFormula>
    </tableColumn>
    <tableColumn id="2" xr3:uid="{9C676FE2-2656-4926-9817-53C2DD658056}" name="Datum" dataDxfId="827"/>
    <tableColumn id="3" xr3:uid="{021486BC-ECA5-473C-82F7-B46BBF63A107}" name="Beginn" dataDxfId="826"/>
    <tableColumn id="4" xr3:uid="{962D29E2-4699-457F-8E32-E42380554C59}" name="Ende" dataDxfId="825">
      <calculatedColumnFormula>SUM(N495:N501)</calculatedColumnFormula>
    </tableColumn>
    <tableColumn id="5" xr3:uid="{76408667-83B3-43E0-B5ED-B02A538AD306}" name="Eintragung" dataDxfId="824"/>
    <tableColumn id="6" xr3:uid="{3B6FA22B-163B-467A-9C13-6D1B954FA47C}" name="Pause" dataDxfId="823"/>
    <tableColumn id="7" xr3:uid="{565CFBD0-3329-41D0-98A4-B7A7E71CC624}" name="Homeoffice/Zusatz" dataDxfId="822">
      <calculatedColumnFormula>SUM(Q495:Q501)</calculatedColumnFormula>
    </tableColumn>
    <tableColumn id="8" xr3:uid="{3E7A76D4-3339-483E-89C3-7870D9FE0672}" name="Summe Tagesarbeitszeit" dataDxfId="82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820" dataDxfId="818" headerRowBorderDxfId="819" tableBorderDxfId="817">
  <tableColumns count="8">
    <tableColumn id="1" xr3:uid="{ED2AC71C-85F2-4DC3-AFCB-34B7F516A6C0}" name="Tag" dataDxfId="816">
      <calculatedColumnFormula>TEXT(Tabelle12173030297208351104[[#This Row],[Datum]],"tttt")</calculatedColumnFormula>
    </tableColumn>
    <tableColumn id="2" xr3:uid="{710BA173-848F-4695-A040-0F016DE398ED}" name="Datum" dataDxfId="815"/>
    <tableColumn id="3" xr3:uid="{5967D3C4-2C74-4F45-9BBF-6D78F7DA0FCF}" name="Beginn" dataDxfId="814"/>
    <tableColumn id="4" xr3:uid="{A07B6E23-F688-4F78-B140-9A901511A6F9}" name="Ende" dataDxfId="813">
      <calculatedColumnFormula>SUM(N505:N511)</calculatedColumnFormula>
    </tableColumn>
    <tableColumn id="5" xr3:uid="{0345E0CB-5095-4CEA-8839-C2B7B70CE925}" name="Eintragung" dataDxfId="812"/>
    <tableColumn id="6" xr3:uid="{271EDE66-1E6D-4C7B-A418-64E570B7BDFA}" name="Pause" dataDxfId="811"/>
    <tableColumn id="7" xr3:uid="{D8892F07-336D-4631-B581-90CCFF8A7236}" name="Homeoffice/Zusatz" dataDxfId="810">
      <calculatedColumnFormula>SUM(Q505:Q511)</calculatedColumnFormula>
    </tableColumn>
    <tableColumn id="8" xr3:uid="{7A3FA112-1B55-4FAB-8387-AA3A0D7106B9}" name="Summe Tagesarbeitszeit" dataDxfId="80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808" dataDxfId="806" headerRowBorderDxfId="807" tableBorderDxfId="805">
  <tableColumns count="8">
    <tableColumn id="1" xr3:uid="{1DD3624C-CBC7-43F6-9CEB-8A1AE2522028}" name="Tag" dataDxfId="804">
      <calculatedColumnFormula>TEXT(Tabelle12173030297208452105[[#This Row],[Datum]],"tttt")</calculatedColumnFormula>
    </tableColumn>
    <tableColumn id="2" xr3:uid="{F8B477AA-DE44-4C9B-9CB5-31B3657E37A5}" name="Datum" dataDxfId="803"/>
    <tableColumn id="3" xr3:uid="{DC129AB5-9FD8-4F74-8B9F-07133D0B23ED}" name="Beginn" dataDxfId="802"/>
    <tableColumn id="4" xr3:uid="{6BE5A758-8C3B-4AAD-8095-CF3A4210D2B3}" name="Ende" dataDxfId="801">
      <calculatedColumnFormula>SUM(N515:N521)</calculatedColumnFormula>
    </tableColumn>
    <tableColumn id="5" xr3:uid="{F3E97932-3907-4A7B-B494-4F0BECC2A043}" name="Eintragung" dataDxfId="800"/>
    <tableColumn id="6" xr3:uid="{0055D913-4576-4C0D-9E85-3B6E35AC6931}" name="Pause" dataDxfId="799"/>
    <tableColumn id="7" xr3:uid="{1B51760A-384D-403A-8825-DF62E6E932D0}" name="Homeoffice/Zusatz" dataDxfId="798">
      <calculatedColumnFormula>SUM(Q515:Q521)</calculatedColumnFormula>
    </tableColumn>
    <tableColumn id="8" xr3:uid="{C43C06AD-CA7B-41CD-A600-13353C9DE983}" name="Summe Tagesarbeitszeit" dataDxfId="79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796" dataDxfId="794" headerRowBorderDxfId="795" tableBorderDxfId="793">
  <tableColumns count="8">
    <tableColumn id="1" xr3:uid="{F973B90E-9F28-4900-BF63-283C49EABAD5}" name="Tag" dataDxfId="792">
      <calculatedColumnFormula>TEXT(Tabelle1217303029720835153106[[#This Row],[Datum]],"tttt")</calculatedColumnFormula>
    </tableColumn>
    <tableColumn id="2" xr3:uid="{AC751F08-746A-4CBC-9C70-841D58B161D8}" name="Datum" dataDxfId="791"/>
    <tableColumn id="3" xr3:uid="{A9227328-7B96-4EBF-9524-AEDE75CD73A4}" name="Beginn" dataDxfId="790"/>
    <tableColumn id="4" xr3:uid="{226C2493-1748-4E2A-A8EC-16EE01564D99}" name="Ende" dataDxfId="789">
      <calculatedColumnFormula>SUM(N525:N531)</calculatedColumnFormula>
    </tableColumn>
    <tableColumn id="5" xr3:uid="{B962EF9C-D138-4D17-91C0-343614A2D953}" name="Eintragung" dataDxfId="788"/>
    <tableColumn id="6" xr3:uid="{7E647080-1FFE-4890-91D3-87414CE01BBC}" name="Pause" dataDxfId="787"/>
    <tableColumn id="7" xr3:uid="{D143BF6F-7E58-47F1-B052-07A975D59CCB}" name="Homeoffice/Zusatz" dataDxfId="786">
      <calculatedColumnFormula>SUM(Q525:Q531)</calculatedColumnFormula>
    </tableColumn>
    <tableColumn id="8" xr3:uid="{97098B75-0A93-490B-B58B-57C304A1F2F4}" name="Summe Tagesarbeitszeit" dataDxfId="78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784" dataDxfId="782" headerRowBorderDxfId="783" tableBorderDxfId="781">
  <tableColumns count="8">
    <tableColumn id="1" xr3:uid="{D1077043-FF3D-4371-BEA8-0E876C1FA5BB}" name="Tag" dataDxfId="780">
      <calculatedColumnFormula>TEXT(Tabelle1217303029720845254107[[#This Row],[Datum]],"tttt")</calculatedColumnFormula>
    </tableColumn>
    <tableColumn id="2" xr3:uid="{428DAB2A-35A4-4D3C-9004-9617CF5082B0}" name="Datum" dataDxfId="779"/>
    <tableColumn id="3" xr3:uid="{193DCD93-951D-4338-84E5-949A1C7B6694}" name="Beginn" dataDxfId="778"/>
    <tableColumn id="4" xr3:uid="{2FA738E7-BF33-437A-BBAF-77C0B5CBAD3D}" name="Ende" dataDxfId="777">
      <calculatedColumnFormula>SUM(N535:N541)</calculatedColumnFormula>
    </tableColumn>
    <tableColumn id="5" xr3:uid="{FC6128A9-476E-475B-B58F-48B63DBA5E78}" name="Eintragung" dataDxfId="776"/>
    <tableColumn id="6" xr3:uid="{D56C4685-98A1-4B12-AF2A-1283D04369AC}" name="Pause" dataDxfId="775"/>
    <tableColumn id="7" xr3:uid="{20459E86-7932-429D-B54F-40670B93EEA2}" name="Homeoffice/Zusatz" dataDxfId="774">
      <calculatedColumnFormula>SUM(Q535:Q541)</calculatedColumnFormula>
    </tableColumn>
    <tableColumn id="8" xr3:uid="{728FD576-C11F-414F-A67B-0100CF387D2E}" name="Summe Tagesarbeitszeit" dataDxfId="77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772" dataDxfId="770" headerRowBorderDxfId="771" tableBorderDxfId="769">
  <tableColumns count="8">
    <tableColumn id="1" xr3:uid="{30FA235C-8F03-4189-AF58-12425EC46262}" name="Tag" dataDxfId="768">
      <calculatedColumnFormula>TEXT(Tabelle12173030297208552[[#This Row],[Datum]],"tttt")</calculatedColumnFormula>
    </tableColumn>
    <tableColumn id="2" xr3:uid="{3085D3AB-C203-48FC-9B41-8718067BE95D}" name="Datum" dataDxfId="767"/>
    <tableColumn id="3" xr3:uid="{A451B68C-39CC-415E-B76B-56F6922FFF31}" name="Beginn" dataDxfId="766"/>
    <tableColumn id="4" xr3:uid="{C016952B-1BBD-44B9-8DDC-E7C42C426924}" name="Ende" dataDxfId="765">
      <calculatedColumnFormula>SUM(N45:N51)</calculatedColumnFormula>
    </tableColumn>
    <tableColumn id="5" xr3:uid="{3B3E1010-4343-4477-ADC8-949B00AEE9B3}" name="Eintragung" dataDxfId="764"/>
    <tableColumn id="6" xr3:uid="{D56AB55A-68AA-43CE-B9AC-BDE3924FD1E8}" name="Pause" dataDxfId="763"/>
    <tableColumn id="7" xr3:uid="{6A13A461-74A5-4AA1-99CE-7D369C98A35E}" name="Homeoffice/Zusatz" dataDxfId="762">
      <calculatedColumnFormula>SUM(Q45:Q51)</calculatedColumnFormula>
    </tableColumn>
    <tableColumn id="8" xr3:uid="{7ACD4952-7EE9-436F-A6E8-05E66FEE3EC7}" name="Summe Tagesarbeitszeit" dataDxfId="76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dimension ref="A1:AC562"/>
  <sheetViews>
    <sheetView tabSelected="1" topLeftCell="A16" zoomScaleNormal="100" workbookViewId="0">
      <selection activeCell="I24" sqref="I24"/>
    </sheetView>
  </sheetViews>
  <sheetFormatPr baseColWidth="10" defaultRowHeight="15.6" outlineLevelCol="1" x14ac:dyDescent="0.3"/>
  <cols>
    <col min="1" max="1" width="11.5546875" style="40"/>
    <col min="2" max="2" width="13.109375" style="30" bestFit="1" customWidth="1"/>
    <col min="3" max="3" width="11.5546875" style="29" bestFit="1" customWidth="1"/>
    <col min="4" max="4" width="9.21875" style="29" customWidth="1"/>
    <col min="5" max="5" width="7.5546875" style="29" customWidth="1"/>
    <col min="6" max="6" width="12.88671875" style="29" customWidth="1"/>
    <col min="7" max="7" width="8.5546875" style="29" customWidth="1"/>
    <col min="8" max="8" width="20.5546875" style="29" customWidth="1"/>
    <col min="9" max="9" width="25.33203125" style="29" customWidth="1"/>
    <col min="10" max="10" width="11.5546875" style="40"/>
    <col min="11" max="11" width="11.6640625" style="29" bestFit="1" customWidth="1"/>
    <col min="12" max="12" width="11" style="29" bestFit="1" customWidth="1"/>
    <col min="13" max="13" width="9.21875" style="29" customWidth="1"/>
    <col min="14" max="14" width="7.5546875" style="29" customWidth="1"/>
    <col min="15" max="15" width="12.77734375" style="29" customWidth="1"/>
    <col min="16" max="16" width="8.5546875" style="29" customWidth="1"/>
    <col min="17" max="17" width="20.33203125" style="29" customWidth="1"/>
    <col min="18" max="18" width="25.33203125" style="29" customWidth="1"/>
    <col min="19" max="19" width="11.5546875" style="40"/>
    <col min="20" max="20" width="13.33203125" style="29" customWidth="1"/>
    <col min="21" max="21" width="14.33203125" style="29" customWidth="1"/>
    <col min="22" max="22" width="11.5546875" style="42"/>
    <col min="23" max="23" width="23.6640625" style="42" bestFit="1" customWidth="1"/>
    <col min="24" max="24" width="11.5546875" style="45"/>
    <col min="25" max="25" width="11.5546875" style="40"/>
    <col min="26" max="26" width="22.21875" style="40" hidden="1" customWidth="1" outlineLevel="1"/>
    <col min="27" max="27" width="25.21875" style="40" hidden="1" customWidth="1" outlineLevel="1" collapsed="1"/>
    <col min="28" max="28" width="11" style="41" hidden="1" customWidth="1" outlineLevel="1"/>
    <col min="29" max="29" width="11.5546875" style="40" collapsed="1"/>
    <col min="30" max="16384" width="11.5546875" style="29"/>
  </cols>
  <sheetData>
    <row r="1" spans="1:28" x14ac:dyDescent="0.3">
      <c r="A1" s="44" t="s">
        <v>0</v>
      </c>
      <c r="B1" s="28">
        <v>2025</v>
      </c>
      <c r="C1" s="48">
        <f>DATE($B$1,1,1)</f>
        <v>44196</v>
      </c>
      <c r="D1" s="40"/>
      <c r="E1" s="40"/>
      <c r="F1" s="40"/>
      <c r="G1" s="40"/>
      <c r="H1" s="40"/>
      <c r="I1" s="40"/>
      <c r="J1" s="44"/>
      <c r="K1" s="40"/>
      <c r="L1" s="40"/>
      <c r="M1" s="40"/>
      <c r="N1" s="40"/>
      <c r="O1" s="40"/>
      <c r="P1" s="40"/>
      <c r="Q1" s="40"/>
      <c r="R1" s="40"/>
      <c r="T1" s="40"/>
      <c r="U1" s="40"/>
      <c r="W1" s="12" t="s">
        <v>12</v>
      </c>
      <c r="X1" s="14" t="s">
        <v>13</v>
      </c>
      <c r="Z1" s="16" t="s">
        <v>34</v>
      </c>
      <c r="AA1" s="86" t="s">
        <v>36</v>
      </c>
      <c r="AB1" s="87"/>
    </row>
    <row r="2" spans="1:28" x14ac:dyDescent="0.3">
      <c r="B2" s="43"/>
      <c r="C2" s="40"/>
      <c r="D2" s="40"/>
      <c r="E2" s="40"/>
      <c r="F2" s="40"/>
      <c r="G2" s="40"/>
      <c r="H2" s="40"/>
      <c r="I2" s="40"/>
      <c r="K2" s="40"/>
      <c r="L2" s="40"/>
      <c r="M2" s="40"/>
      <c r="N2" s="40"/>
      <c r="O2" s="40"/>
      <c r="P2" s="40"/>
      <c r="Q2" s="40"/>
      <c r="R2" s="40"/>
      <c r="T2" s="40"/>
      <c r="U2" s="40"/>
      <c r="W2" s="17" t="s">
        <v>14</v>
      </c>
      <c r="X2" s="18">
        <f>COUNTIF(O:O,"K")</f>
        <v>0</v>
      </c>
      <c r="AA2" s="19" t="s">
        <v>37</v>
      </c>
      <c r="AB2" s="78">
        <f>DATE($B$1,1,1)</f>
        <v>44196</v>
      </c>
    </row>
    <row r="3" spans="1:28" x14ac:dyDescent="0.3">
      <c r="B3" s="83" t="s">
        <v>61</v>
      </c>
      <c r="C3" s="84"/>
      <c r="K3" s="83" t="s">
        <v>62</v>
      </c>
      <c r="L3" s="84"/>
      <c r="T3" s="40"/>
      <c r="U3" s="40"/>
      <c r="W3" s="17" t="s">
        <v>15</v>
      </c>
      <c r="X3" s="18">
        <f>COUNTIF(O:O,"U")</f>
        <v>0</v>
      </c>
      <c r="AA3" s="19" t="s">
        <v>39</v>
      </c>
      <c r="AB3" s="78">
        <f>DATE($B$1,1,6)</f>
        <v>44201</v>
      </c>
    </row>
    <row r="4" spans="1:28" x14ac:dyDescent="0.3">
      <c r="K4" s="30"/>
      <c r="T4" s="40"/>
      <c r="U4" s="40"/>
      <c r="W4" s="20" t="s">
        <v>23</v>
      </c>
      <c r="X4" s="21">
        <f>COUNTIF(O:O,"S")</f>
        <v>0</v>
      </c>
      <c r="AA4" s="22" t="s">
        <v>40</v>
      </c>
      <c r="AB4" s="79">
        <f>DATE($B$1,5,1)</f>
        <v>44316</v>
      </c>
    </row>
    <row r="5" spans="1:28" x14ac:dyDescent="0.3">
      <c r="C5" s="76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30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40"/>
      <c r="U5" s="40"/>
      <c r="AA5" s="22" t="s">
        <v>41</v>
      </c>
      <c r="AB5" s="79">
        <f>DATE($B$1,8,8)</f>
        <v>44415</v>
      </c>
    </row>
    <row r="6" spans="1:28" x14ac:dyDescent="0.3">
      <c r="C6" s="74" t="s">
        <v>24</v>
      </c>
      <c r="D6" s="32"/>
      <c r="E6" s="32"/>
      <c r="F6" s="32"/>
      <c r="G6" s="32"/>
      <c r="H6" s="32"/>
      <c r="I6" s="75" t="str">
        <f>IF(OR(D6="",D6="0:00"),"0:00",SUM(E6-D6-G6+H6))</f>
        <v>0:00</v>
      </c>
      <c r="K6" s="30"/>
      <c r="L6" s="61" t="s">
        <v>24</v>
      </c>
      <c r="M6" s="2"/>
      <c r="N6" s="2"/>
      <c r="O6" s="2"/>
      <c r="P6" s="2"/>
      <c r="Q6" s="2"/>
      <c r="R6" s="63" t="str">
        <f>IF(OR(M6="",M6="0:00"),"0:00",SUM(N6-M6-P6+Q6))</f>
        <v>0:00</v>
      </c>
      <c r="T6" s="40"/>
      <c r="U6" s="40"/>
      <c r="W6" s="20" t="s">
        <v>32</v>
      </c>
      <c r="X6" s="24" cm="1">
        <f t="array" ref="X6">SUM(IF(MOD(ROW(X34:X554)-(ROW($X$34)-1),10)=1,X34:X554,0))</f>
        <v>0</v>
      </c>
      <c r="Y6" s="44" t="s">
        <v>35</v>
      </c>
      <c r="Z6" s="25">
        <f>Z554</f>
        <v>0</v>
      </c>
      <c r="AA6" s="22" t="s">
        <v>42</v>
      </c>
      <c r="AB6" s="79">
        <f>DATE($B$1,8,15)</f>
        <v>44422</v>
      </c>
    </row>
    <row r="7" spans="1:28" x14ac:dyDescent="0.3">
      <c r="C7" s="62" t="s">
        <v>25</v>
      </c>
      <c r="D7" s="31"/>
      <c r="E7" s="31"/>
      <c r="F7" s="31"/>
      <c r="G7" s="31"/>
      <c r="H7" s="31"/>
      <c r="I7" s="64" t="str">
        <f t="shared" ref="I7:I12" si="0">IF(OR(D7="",D7="0:00"),"0:00",SUM(E7-D7-G7+H7))</f>
        <v>0:00</v>
      </c>
      <c r="K7" s="30"/>
      <c r="L7" s="62" t="s">
        <v>25</v>
      </c>
      <c r="M7" s="31"/>
      <c r="N7" s="31"/>
      <c r="O7" s="31"/>
      <c r="P7" s="31"/>
      <c r="Q7" s="31"/>
      <c r="R7" s="64" t="str">
        <f t="shared" ref="R7:R12" si="1">IF(OR(M7="",M7="0:00"),"0:00",SUM(N7-M7-P7+Q7))</f>
        <v>0:00</v>
      </c>
      <c r="T7" s="40"/>
      <c r="U7" s="40"/>
      <c r="AA7" s="22" t="s">
        <v>44</v>
      </c>
      <c r="AB7" s="79">
        <f>DATE($B$1,10,3)</f>
        <v>44471</v>
      </c>
    </row>
    <row r="8" spans="1:28" x14ac:dyDescent="0.3">
      <c r="C8" s="62" t="s">
        <v>26</v>
      </c>
      <c r="D8" s="32"/>
      <c r="E8" s="32"/>
      <c r="F8" s="32"/>
      <c r="G8" s="32"/>
      <c r="H8" s="32"/>
      <c r="I8" s="64" t="str">
        <f t="shared" si="0"/>
        <v>0:00</v>
      </c>
      <c r="K8" s="30"/>
      <c r="L8" s="62" t="s">
        <v>26</v>
      </c>
      <c r="M8" s="77"/>
      <c r="N8" s="77"/>
      <c r="O8" s="77"/>
      <c r="P8" s="77"/>
      <c r="Q8" s="77"/>
      <c r="R8" s="64" t="str">
        <f t="shared" si="1"/>
        <v>0:00</v>
      </c>
      <c r="T8" s="40"/>
      <c r="U8" s="40"/>
      <c r="W8" s="17" t="s">
        <v>16</v>
      </c>
      <c r="X8" s="18">
        <f>COUNTIF(O:O,"Ü")</f>
        <v>0</v>
      </c>
      <c r="AA8" s="22" t="s">
        <v>46</v>
      </c>
      <c r="AB8" s="79">
        <f>DATE($B$1,11,1)</f>
        <v>44500</v>
      </c>
    </row>
    <row r="9" spans="1:28" x14ac:dyDescent="0.3">
      <c r="C9" s="62" t="s">
        <v>27</v>
      </c>
      <c r="D9" s="31"/>
      <c r="E9" s="31"/>
      <c r="F9" s="31"/>
      <c r="G9" s="31"/>
      <c r="H9" s="31"/>
      <c r="I9" s="64" t="str">
        <f t="shared" si="0"/>
        <v>0:00</v>
      </c>
      <c r="K9" s="30"/>
      <c r="L9" s="62" t="s">
        <v>27</v>
      </c>
      <c r="M9" s="31"/>
      <c r="N9" s="31"/>
      <c r="O9" s="31"/>
      <c r="P9" s="31"/>
      <c r="Q9" s="31"/>
      <c r="R9" s="64" t="str">
        <f t="shared" si="1"/>
        <v>0:00</v>
      </c>
      <c r="T9" s="40"/>
      <c r="U9" s="40"/>
      <c r="W9" s="20" t="s">
        <v>22</v>
      </c>
      <c r="X9" s="21">
        <f>COUNTIF(O:O,"UÜ")</f>
        <v>0</v>
      </c>
      <c r="AA9" s="22" t="s">
        <v>48</v>
      </c>
      <c r="AB9" s="79">
        <f>DATE($B$1,12,25)</f>
        <v>44554</v>
      </c>
    </row>
    <row r="10" spans="1:28" x14ac:dyDescent="0.3">
      <c r="C10" s="62" t="s">
        <v>28</v>
      </c>
      <c r="D10" s="32"/>
      <c r="E10" s="32"/>
      <c r="F10" s="32"/>
      <c r="G10" s="32"/>
      <c r="H10" s="32"/>
      <c r="I10" s="64" t="str">
        <f t="shared" si="0"/>
        <v>0:00</v>
      </c>
      <c r="K10" s="30"/>
      <c r="L10" s="62" t="s">
        <v>28</v>
      </c>
      <c r="M10" s="77"/>
      <c r="N10" s="77"/>
      <c r="O10" s="77"/>
      <c r="P10" s="77"/>
      <c r="Q10" s="77"/>
      <c r="R10" s="64" t="str">
        <f t="shared" si="1"/>
        <v>0:00</v>
      </c>
      <c r="T10" s="40"/>
      <c r="U10" s="40"/>
      <c r="AA10" s="22" t="s">
        <v>49</v>
      </c>
      <c r="AB10" s="79">
        <f>DATE($B$1,12,26)</f>
        <v>44555</v>
      </c>
    </row>
    <row r="11" spans="1:28" x14ac:dyDescent="0.3">
      <c r="C11" s="71" t="s">
        <v>29</v>
      </c>
      <c r="D11" s="73"/>
      <c r="E11" s="73"/>
      <c r="G11" s="73"/>
      <c r="I11" s="64" t="str">
        <f t="shared" si="0"/>
        <v>0:00</v>
      </c>
      <c r="K11" s="30"/>
      <c r="L11" s="71" t="s">
        <v>29</v>
      </c>
      <c r="M11" s="73"/>
      <c r="N11" s="73"/>
      <c r="P11" s="73"/>
      <c r="R11" s="64" t="str">
        <f t="shared" si="1"/>
        <v>0:00</v>
      </c>
      <c r="T11" s="40"/>
      <c r="U11" s="40"/>
      <c r="AA11" s="22" t="s">
        <v>51</v>
      </c>
      <c r="AB11" s="79">
        <f>7*ROUND((4&amp;-$B$1)/7+MOD(19*MOD($B$1,19)-7,30)*0.14,)-5</f>
        <v>44305</v>
      </c>
    </row>
    <row r="12" spans="1:28" x14ac:dyDescent="0.3">
      <c r="C12" s="71" t="s">
        <v>30</v>
      </c>
      <c r="D12" s="33"/>
      <c r="E12" s="33"/>
      <c r="F12" s="33"/>
      <c r="G12" s="33"/>
      <c r="H12" s="33"/>
      <c r="I12" s="64" t="str">
        <f t="shared" si="0"/>
        <v>0:00</v>
      </c>
      <c r="L12" s="72" t="s">
        <v>30</v>
      </c>
      <c r="M12" s="33"/>
      <c r="N12" s="33"/>
      <c r="O12" s="33"/>
      <c r="P12" s="33"/>
      <c r="Q12" s="33"/>
      <c r="R12" s="65" t="str">
        <f t="shared" si="1"/>
        <v>0:00</v>
      </c>
      <c r="T12" s="40"/>
      <c r="U12" s="40"/>
      <c r="AA12" s="22" t="s">
        <v>52</v>
      </c>
      <c r="AB12" s="79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</v>
      </c>
      <c r="H13" s="9">
        <f>SUM(H6:H12)</f>
        <v>0</v>
      </c>
      <c r="I13" s="9">
        <f>SUBTOTAL(109,I6:I12)</f>
        <v>0</v>
      </c>
      <c r="L13" s="11"/>
      <c r="M13" s="9"/>
      <c r="N13" s="9"/>
      <c r="O13" s="9"/>
      <c r="P13" s="9">
        <f>SUM(P6:P12)</f>
        <v>0</v>
      </c>
      <c r="Q13" s="9">
        <f>SUM(Q6:Q12)</f>
        <v>0</v>
      </c>
      <c r="R13" s="9">
        <f>SUBTOTAL(109,R6:R12)</f>
        <v>0</v>
      </c>
      <c r="T13" s="40"/>
      <c r="U13" s="40"/>
      <c r="AA13" s="22" t="s">
        <v>53</v>
      </c>
      <c r="AB13" s="79">
        <f>AB11+1</f>
        <v>44306</v>
      </c>
    </row>
    <row r="14" spans="1:28" x14ac:dyDescent="0.3">
      <c r="B14" s="43"/>
      <c r="C14" s="40"/>
      <c r="D14" s="40"/>
      <c r="E14" s="40"/>
      <c r="F14" s="40"/>
      <c r="G14" s="40"/>
      <c r="H14" s="40"/>
      <c r="I14" s="40"/>
      <c r="K14" s="40"/>
      <c r="L14" s="40"/>
      <c r="M14" s="40"/>
      <c r="N14" s="40"/>
      <c r="O14" s="40"/>
      <c r="P14" s="40"/>
      <c r="Q14" s="40"/>
      <c r="R14" s="40"/>
      <c r="T14" s="40"/>
      <c r="U14" s="40"/>
      <c r="AA14" s="22" t="s">
        <v>54</v>
      </c>
      <c r="AB14" s="79">
        <f>AB11+39</f>
        <v>44344</v>
      </c>
    </row>
    <row r="15" spans="1:28" x14ac:dyDescent="0.3">
      <c r="B15" s="83" t="s">
        <v>64</v>
      </c>
      <c r="C15" s="84"/>
      <c r="K15" s="83" t="s">
        <v>63</v>
      </c>
      <c r="L15" s="84"/>
      <c r="T15" s="40"/>
      <c r="U15" s="40"/>
      <c r="AA15" s="22" t="s">
        <v>55</v>
      </c>
      <c r="AB15" s="79">
        <f>AB11+49</f>
        <v>44354</v>
      </c>
    </row>
    <row r="16" spans="1:28" x14ac:dyDescent="0.3">
      <c r="K16" s="30"/>
      <c r="T16" s="40"/>
      <c r="U16" s="40"/>
      <c r="AA16" s="22" t="s">
        <v>56</v>
      </c>
      <c r="AB16" s="79">
        <f>AB11+50</f>
        <v>44355</v>
      </c>
    </row>
    <row r="17" spans="1:28" x14ac:dyDescent="0.3">
      <c r="C17" s="76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30"/>
      <c r="L17" s="76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40"/>
      <c r="U17" s="40"/>
      <c r="AA17" s="22" t="s">
        <v>57</v>
      </c>
      <c r="AB17" s="79">
        <f>AB11+60</f>
        <v>44365</v>
      </c>
    </row>
    <row r="18" spans="1:28" s="40" customFormat="1" x14ac:dyDescent="0.3">
      <c r="B18" s="30"/>
      <c r="C18" s="74" t="s">
        <v>24</v>
      </c>
      <c r="D18" s="32"/>
      <c r="E18" s="32"/>
      <c r="F18" s="32"/>
      <c r="G18" s="32"/>
      <c r="H18" s="32"/>
      <c r="I18" s="75" t="str">
        <f>IF(OR(D18="",D18="0:00"),"0:00",SUM(E18-D18-G18+H18))</f>
        <v>0:00</v>
      </c>
      <c r="K18" s="30"/>
      <c r="L18" s="61" t="s">
        <v>24</v>
      </c>
      <c r="M18" s="95"/>
      <c r="N18" s="95"/>
      <c r="O18" s="95"/>
      <c r="P18" s="95"/>
      <c r="Q18" s="95"/>
      <c r="R18" s="90" t="str">
        <f>IF(OR(M18="",M18="0:00"),"0:00",SUM(N18-M18-P18+Q18))</f>
        <v>0:00</v>
      </c>
      <c r="AA18" s="22" t="s">
        <v>58</v>
      </c>
      <c r="AB18" s="79">
        <f>MROUND(DATE($B$1,11,22),7)-2</f>
        <v>44518</v>
      </c>
    </row>
    <row r="19" spans="1:28" x14ac:dyDescent="0.3">
      <c r="C19" s="62" t="s">
        <v>25</v>
      </c>
      <c r="D19" s="31"/>
      <c r="E19" s="31"/>
      <c r="F19" s="31"/>
      <c r="G19" s="31"/>
      <c r="H19" s="31"/>
      <c r="I19" s="64" t="str">
        <f t="shared" ref="I19:I24" si="2">IF(OR(D19="",D19="0:00"),"0:00",SUM(E19-D19-G19+H19))</f>
        <v>0:00</v>
      </c>
      <c r="K19" s="30"/>
      <c r="L19" s="62" t="s">
        <v>25</v>
      </c>
      <c r="M19" s="92"/>
      <c r="N19" s="92"/>
      <c r="O19" s="92"/>
      <c r="P19" s="92"/>
      <c r="Q19" s="92"/>
      <c r="R19" s="91" t="str">
        <f t="shared" ref="R19:R24" si="3">IF(OR(M19="",M19="0:00"),"0:00",SUM(N19-M19-P19+Q19))</f>
        <v>0:00</v>
      </c>
      <c r="T19" s="40"/>
      <c r="U19" s="40"/>
    </row>
    <row r="20" spans="1:28" x14ac:dyDescent="0.3">
      <c r="C20" s="62" t="s">
        <v>26</v>
      </c>
      <c r="D20" s="32"/>
      <c r="E20" s="32"/>
      <c r="F20" s="32"/>
      <c r="G20" s="32"/>
      <c r="H20" s="32"/>
      <c r="I20" s="64" t="str">
        <f t="shared" si="2"/>
        <v>0:00</v>
      </c>
      <c r="K20" s="30"/>
      <c r="L20" s="62" t="s">
        <v>26</v>
      </c>
      <c r="M20" s="95"/>
      <c r="N20" s="95"/>
      <c r="O20" s="95"/>
      <c r="P20" s="95"/>
      <c r="Q20" s="95"/>
      <c r="R20" s="91" t="str">
        <f t="shared" si="3"/>
        <v>0:00</v>
      </c>
      <c r="T20" s="40"/>
      <c r="U20" s="40"/>
    </row>
    <row r="21" spans="1:28" x14ac:dyDescent="0.3">
      <c r="C21" s="62" t="s">
        <v>27</v>
      </c>
      <c r="D21" s="31"/>
      <c r="E21" s="31"/>
      <c r="F21" s="31"/>
      <c r="G21" s="31"/>
      <c r="H21" s="31"/>
      <c r="I21" s="64" t="str">
        <f t="shared" si="2"/>
        <v>0:00</v>
      </c>
      <c r="K21" s="30"/>
      <c r="L21" s="62" t="s">
        <v>27</v>
      </c>
      <c r="M21" s="92"/>
      <c r="N21" s="92"/>
      <c r="O21" s="92"/>
      <c r="P21" s="92"/>
      <c r="Q21" s="92"/>
      <c r="R21" s="91" t="str">
        <f>IF(OR(M21="",M21="0:00"),"0:00",SUM(N21-M21-P21+Q21))</f>
        <v>0:00</v>
      </c>
      <c r="T21" s="40"/>
      <c r="U21" s="40"/>
      <c r="AA21" s="86" t="s">
        <v>59</v>
      </c>
      <c r="AB21" s="87"/>
    </row>
    <row r="22" spans="1:28" x14ac:dyDescent="0.3">
      <c r="C22" s="62" t="s">
        <v>28</v>
      </c>
      <c r="D22" s="32"/>
      <c r="E22" s="32"/>
      <c r="F22" s="32"/>
      <c r="G22" s="32"/>
      <c r="H22" s="32"/>
      <c r="I22" s="64" t="str">
        <f t="shared" si="2"/>
        <v>0:00</v>
      </c>
      <c r="K22" s="30"/>
      <c r="L22" s="62" t="s">
        <v>28</v>
      </c>
      <c r="M22" s="95"/>
      <c r="N22" s="95"/>
      <c r="O22" s="95"/>
      <c r="P22" s="95"/>
      <c r="Q22" s="95"/>
      <c r="R22" s="91" t="str">
        <f t="shared" si="3"/>
        <v>0:00</v>
      </c>
      <c r="T22" s="40"/>
      <c r="U22" s="40"/>
      <c r="AA22" s="22" t="s">
        <v>47</v>
      </c>
      <c r="AB22" s="80">
        <f>DATE($B$1,12,24)</f>
        <v>44553</v>
      </c>
    </row>
    <row r="23" spans="1:28" x14ac:dyDescent="0.3">
      <c r="C23" s="71" t="s">
        <v>29</v>
      </c>
      <c r="D23" s="73"/>
      <c r="E23" s="73"/>
      <c r="G23" s="73"/>
      <c r="I23" s="64" t="str">
        <f t="shared" si="2"/>
        <v>0:00</v>
      </c>
      <c r="K23" s="30"/>
      <c r="L23" s="71" t="s">
        <v>29</v>
      </c>
      <c r="M23" s="93"/>
      <c r="N23" s="93"/>
      <c r="O23" s="94"/>
      <c r="P23" s="93"/>
      <c r="Q23" s="94"/>
      <c r="R23" s="91" t="str">
        <f t="shared" si="3"/>
        <v>0:00</v>
      </c>
      <c r="T23" s="40"/>
      <c r="U23" s="40"/>
      <c r="AA23" s="22" t="s">
        <v>50</v>
      </c>
      <c r="AB23" s="80">
        <f>DATE($B$1,12,31)</f>
        <v>44560</v>
      </c>
    </row>
    <row r="24" spans="1:28" x14ac:dyDescent="0.3">
      <c r="C24" s="71" t="s">
        <v>30</v>
      </c>
      <c r="D24" s="33"/>
      <c r="E24" s="33"/>
      <c r="F24" s="33"/>
      <c r="G24" s="33"/>
      <c r="H24" s="33"/>
      <c r="I24" s="64" t="str">
        <f t="shared" si="2"/>
        <v>0:00</v>
      </c>
      <c r="K24" s="30"/>
      <c r="L24" s="72" t="s">
        <v>30</v>
      </c>
      <c r="M24" s="96"/>
      <c r="N24" s="96"/>
      <c r="O24" s="96"/>
      <c r="P24" s="96"/>
      <c r="Q24" s="96"/>
      <c r="R24" s="91" t="str">
        <f t="shared" si="3"/>
        <v>0:00</v>
      </c>
      <c r="T24" s="40"/>
      <c r="U24" s="40"/>
    </row>
    <row r="25" spans="1:28" x14ac:dyDescent="0.3">
      <c r="C25" s="11"/>
      <c r="D25" s="9"/>
      <c r="E25" s="9"/>
      <c r="F25" s="9"/>
      <c r="G25" s="9">
        <f>SUM(G18:G24)</f>
        <v>0</v>
      </c>
      <c r="H25" s="9">
        <f>SUM(H18:H24)</f>
        <v>0</v>
      </c>
      <c r="I25" s="9">
        <f>SUBTOTAL(109,I18:I24)</f>
        <v>0</v>
      </c>
      <c r="K25" s="30"/>
      <c r="L25" s="11"/>
      <c r="M25" s="9"/>
      <c r="N25" s="9"/>
      <c r="O25" s="9"/>
      <c r="P25" s="9">
        <f>SUM(P18:P24)</f>
        <v>0</v>
      </c>
      <c r="Q25" s="9">
        <f>SUM(Q18:Q24)</f>
        <v>0</v>
      </c>
      <c r="R25" s="9">
        <f>SUBTOTAL(109,R18:R24)</f>
        <v>0</v>
      </c>
      <c r="T25" s="40"/>
      <c r="U25" s="40"/>
    </row>
    <row r="26" spans="1:28" s="40" customFormat="1" x14ac:dyDescent="0.3">
      <c r="B26" s="43"/>
      <c r="V26" s="42"/>
      <c r="W26" s="42"/>
      <c r="X26" s="45"/>
      <c r="AA26" s="86" t="s">
        <v>60</v>
      </c>
      <c r="AB26" s="87"/>
    </row>
    <row r="27" spans="1:28" s="40" customFormat="1" x14ac:dyDescent="0.3">
      <c r="B27" s="43"/>
      <c r="V27" s="42"/>
      <c r="W27" s="42"/>
      <c r="X27" s="45"/>
      <c r="AA27" s="22" t="s">
        <v>38</v>
      </c>
      <c r="AB27" s="23">
        <f>DATE($B$1,3,8)</f>
        <v>44262</v>
      </c>
    </row>
    <row r="28" spans="1:28" s="40" customFormat="1" x14ac:dyDescent="0.3">
      <c r="B28" s="43"/>
      <c r="V28" s="42"/>
      <c r="W28" s="42"/>
      <c r="X28" s="45"/>
      <c r="AA28" s="22" t="s">
        <v>43</v>
      </c>
      <c r="AB28" s="23">
        <f>DATE($B$1,9,20)</f>
        <v>44458</v>
      </c>
    </row>
    <row r="29" spans="1:28" x14ac:dyDescent="0.3">
      <c r="B29" s="88" t="s">
        <v>1</v>
      </c>
      <c r="C29" s="88"/>
      <c r="D29" s="40"/>
      <c r="E29" s="40"/>
      <c r="F29" s="40"/>
      <c r="G29" s="40"/>
      <c r="H29" s="40"/>
      <c r="I29" s="40"/>
      <c r="K29" s="89" t="s">
        <v>10</v>
      </c>
      <c r="L29" s="89"/>
      <c r="M29" s="40"/>
      <c r="N29" s="40"/>
      <c r="O29" s="40"/>
      <c r="P29" s="40"/>
      <c r="Q29" s="40"/>
      <c r="R29" s="40"/>
      <c r="T29" s="40"/>
      <c r="U29" s="40"/>
      <c r="AA29" s="22" t="s">
        <v>45</v>
      </c>
      <c r="AB29" s="23">
        <f>DATE($B$1,10,31)</f>
        <v>44499</v>
      </c>
    </row>
    <row r="30" spans="1:28" x14ac:dyDescent="0.3">
      <c r="B30" s="43"/>
      <c r="C30" s="40"/>
      <c r="D30" s="40"/>
      <c r="E30" s="40"/>
      <c r="F30" s="40"/>
      <c r="G30" s="40"/>
      <c r="H30" s="40"/>
      <c r="I30" s="40"/>
      <c r="K30" s="40"/>
      <c r="L30" s="40"/>
      <c r="M30" s="40"/>
      <c r="N30" s="40"/>
      <c r="O30" s="40"/>
      <c r="P30" s="40"/>
      <c r="Q30" s="40"/>
      <c r="R30" s="40"/>
      <c r="T30" s="40"/>
      <c r="U30" s="40"/>
    </row>
    <row r="31" spans="1:28" x14ac:dyDescent="0.3">
      <c r="A31" s="44" t="s">
        <v>33</v>
      </c>
      <c r="B31" s="6" t="s">
        <v>2</v>
      </c>
      <c r="C31" s="7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4" t="s">
        <v>33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81" t="s">
        <v>11</v>
      </c>
      <c r="U31" s="81"/>
      <c r="W31" s="46" t="s">
        <v>21</v>
      </c>
      <c r="X31" s="47" t="s">
        <v>17</v>
      </c>
    </row>
    <row r="32" spans="1:28" x14ac:dyDescent="0.3">
      <c r="A32" s="44">
        <v>1</v>
      </c>
      <c r="B32" s="34"/>
      <c r="C32" s="54"/>
      <c r="D32" s="31"/>
      <c r="E32" s="31"/>
      <c r="F32" s="31"/>
      <c r="G32" s="31"/>
      <c r="H32" s="31"/>
      <c r="I32" s="49"/>
      <c r="J32" s="44">
        <f>A32</f>
        <v>1</v>
      </c>
      <c r="K32" s="34"/>
      <c r="L32" s="54"/>
      <c r="M32" s="31"/>
      <c r="N32" s="31"/>
      <c r="O32" s="31"/>
      <c r="P32" s="31"/>
      <c r="Q32" s="31"/>
      <c r="R32" s="49"/>
      <c r="T32" s="81"/>
      <c r="U32" s="81"/>
      <c r="W32" s="17" t="s">
        <v>18</v>
      </c>
      <c r="X32" s="26">
        <f>I39</f>
        <v>0</v>
      </c>
    </row>
    <row r="33" spans="1:28" x14ac:dyDescent="0.3">
      <c r="B33" s="34"/>
      <c r="C33" s="55"/>
      <c r="D33" s="31"/>
      <c r="E33" s="31"/>
      <c r="F33" s="31"/>
      <c r="G33" s="31"/>
      <c r="H33" s="31"/>
      <c r="I33" s="50"/>
      <c r="K33" s="34"/>
      <c r="L33" s="55"/>
      <c r="M33" s="31"/>
      <c r="N33" s="31"/>
      <c r="O33" s="31"/>
      <c r="P33" s="31"/>
      <c r="Q33" s="31"/>
      <c r="R33" s="50"/>
      <c r="T33" s="81"/>
      <c r="U33" s="81"/>
      <c r="W33" s="17" t="s">
        <v>19</v>
      </c>
      <c r="X33" s="26">
        <f>R39</f>
        <v>0</v>
      </c>
    </row>
    <row r="34" spans="1:28" x14ac:dyDescent="0.3">
      <c r="B34" s="35" t="str">
        <f>TEXT(Tabelle121730[[#This Row],[Datum]],"tttt")</f>
        <v>Mittwoch</v>
      </c>
      <c r="C34" s="56">
        <f>$C$1</f>
        <v>44196</v>
      </c>
      <c r="D34" s="32"/>
      <c r="E34" s="32"/>
      <c r="F34" s="32"/>
      <c r="G34" s="32"/>
      <c r="H34" s="32"/>
      <c r="I34" s="51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4" s="35" t="str">
        <f>TEXT(Tabelle121730301[[#This Row],[Datum]],"tttt")</f>
        <v>Mittwoch</v>
      </c>
      <c r="L34" s="56">
        <f>$C$1</f>
        <v>44196</v>
      </c>
      <c r="M34" s="32"/>
      <c r="N34" s="32"/>
      <c r="O34" s="32"/>
      <c r="P34" s="32"/>
      <c r="Q34" s="32"/>
      <c r="R34" s="51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4" s="81">
        <f>R34-I34</f>
        <v>0</v>
      </c>
      <c r="U34" s="81"/>
      <c r="W34" s="20" t="s">
        <v>20</v>
      </c>
      <c r="X34" s="27">
        <f>X33-X32</f>
        <v>0</v>
      </c>
    </row>
    <row r="35" spans="1:28" x14ac:dyDescent="0.3">
      <c r="B35" s="34" t="str">
        <f>TEXT(Tabelle121730[[#This Row],[Datum]],"tttt")</f>
        <v>Donnerstag</v>
      </c>
      <c r="C35" s="56">
        <f>C34+1</f>
        <v>44197</v>
      </c>
      <c r="D35" s="31"/>
      <c r="E35" s="31"/>
      <c r="F35" s="31"/>
      <c r="G35" s="31"/>
      <c r="H35" s="31"/>
      <c r="I35" s="50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5" s="34" t="str">
        <f>TEXT(Tabelle121730301[[#This Row],[Datum]],"tttt")</f>
        <v>Donnerstag</v>
      </c>
      <c r="L35" s="56">
        <f>L34+1</f>
        <v>44197</v>
      </c>
      <c r="M35" s="31"/>
      <c r="N35" s="31"/>
      <c r="O35" s="31"/>
      <c r="P35" s="31"/>
      <c r="Q35" s="31"/>
      <c r="R35" s="50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5" s="81">
        <f>R35-I35</f>
        <v>0</v>
      </c>
      <c r="U35" s="81"/>
    </row>
    <row r="36" spans="1:28" x14ac:dyDescent="0.3">
      <c r="B36" s="36" t="str">
        <f>TEXT(Tabelle121730[[#This Row],[Datum]],"tttt")</f>
        <v>Freitag</v>
      </c>
      <c r="C36" s="56">
        <f>C35+1</f>
        <v>44198</v>
      </c>
      <c r="D36" s="32"/>
      <c r="E36" s="32"/>
      <c r="F36" s="32"/>
      <c r="G36" s="32"/>
      <c r="H36" s="32"/>
      <c r="I36" s="52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6" s="36" t="str">
        <f>TEXT(Tabelle121730301[[#This Row],[Datum]],"tttt")</f>
        <v>Freitag</v>
      </c>
      <c r="L36" s="56">
        <f>L35+1</f>
        <v>44198</v>
      </c>
      <c r="M36" s="32"/>
      <c r="N36" s="32"/>
      <c r="O36" s="32"/>
      <c r="P36" s="32"/>
      <c r="Q36" s="32"/>
      <c r="R36" s="52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6" s="81">
        <f>R36-I36</f>
        <v>0</v>
      </c>
      <c r="U36" s="81"/>
    </row>
    <row r="37" spans="1:28" x14ac:dyDescent="0.3">
      <c r="B37" s="34" t="str">
        <f>TEXT(Tabelle121730[[#This Row],[Datum]],"tttt")</f>
        <v>Samstag</v>
      </c>
      <c r="C37" s="56">
        <f>C36+1</f>
        <v>44199</v>
      </c>
      <c r="D37" s="31"/>
      <c r="E37" s="31"/>
      <c r="F37" s="31"/>
      <c r="G37" s="31"/>
      <c r="H37" s="31"/>
      <c r="I37" s="50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7" s="34" t="str">
        <f>TEXT(Tabelle121730301[[#This Row],[Datum]],"tttt")</f>
        <v>Samstag</v>
      </c>
      <c r="L37" s="56">
        <f>L36+1</f>
        <v>44199</v>
      </c>
      <c r="M37" s="31"/>
      <c r="N37" s="31"/>
      <c r="O37" s="31"/>
      <c r="P37" s="31"/>
      <c r="Q37" s="31"/>
      <c r="R37" s="50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7" s="81">
        <f t="shared" ref="T37:T38" si="4">R37-I37</f>
        <v>0</v>
      </c>
      <c r="U37" s="81"/>
    </row>
    <row r="38" spans="1:28" s="40" customFormat="1" x14ac:dyDescent="0.3">
      <c r="B38" s="36" t="str">
        <f>TEXT(Tabelle121730[[#This Row],[Datum]],"tttt")</f>
        <v>Sonntag</v>
      </c>
      <c r="C38" s="57">
        <f>C37+1</f>
        <v>44200</v>
      </c>
      <c r="D38" s="32"/>
      <c r="E38" s="32"/>
      <c r="F38" s="32"/>
      <c r="G38" s="32"/>
      <c r="H38" s="32"/>
      <c r="I38" s="53" t="str">
        <f>IF(OR(Tabelle121730[[#This Row],[Beginn]]="",Tabelle121730[[#This Row],[Beginn]]="0:00"),"0:00",SUM(Tabelle121730[[#This Row],[Ende]]-Tabelle121730[[#This Row],[Beginn]]-Tabelle121730[[#This Row],[Pause]]+Tabelle121730[[#This Row],[Homeoffice/Zusatz]]))</f>
        <v>0:00</v>
      </c>
      <c r="K38" s="36" t="str">
        <f>TEXT(Tabelle121730301[[#This Row],[Datum]],"tttt")</f>
        <v>Sonntag</v>
      </c>
      <c r="L38" s="57">
        <f>L37+1</f>
        <v>44200</v>
      </c>
      <c r="M38" s="32"/>
      <c r="N38" s="32"/>
      <c r="O38" s="32"/>
      <c r="P38" s="32"/>
      <c r="Q38" s="32"/>
      <c r="R38" s="53" t="str">
        <f>IF(OR(Tabelle121730301[[#This Row],[Beginn]]="",Tabelle121730301[[#This Row],[Beginn]]="0:00"),"0:00",SUM(Tabelle121730301[[#This Row],[Ende]]-Tabelle121730301[[#This Row],[Beginn]]-Tabelle121730301[[#This Row],[Pause]]+Tabelle121730301[[#This Row],[Homeoffice/Zusatz]]))</f>
        <v>0:00</v>
      </c>
      <c r="T38" s="81">
        <f t="shared" si="4"/>
        <v>0</v>
      </c>
      <c r="U38" s="81"/>
      <c r="V38" s="42"/>
      <c r="W38" s="42"/>
      <c r="X38" s="45"/>
      <c r="AB38" s="41"/>
    </row>
    <row r="39" spans="1:28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28" x14ac:dyDescent="0.3">
      <c r="B40" s="43"/>
      <c r="C40" s="40"/>
      <c r="D40" s="40"/>
      <c r="E40" s="40"/>
      <c r="F40" s="40"/>
      <c r="G40" s="40"/>
      <c r="H40" s="40"/>
      <c r="I40" s="40"/>
      <c r="K40" s="40"/>
      <c r="L40" s="40"/>
      <c r="M40" s="40"/>
      <c r="N40" s="40"/>
      <c r="O40" s="40"/>
      <c r="P40" s="40"/>
      <c r="Q40" s="40"/>
      <c r="R40" s="40"/>
      <c r="T40" s="40"/>
      <c r="U40" s="40"/>
    </row>
    <row r="41" spans="1:28" x14ac:dyDescent="0.3">
      <c r="A41" s="44" t="s">
        <v>33</v>
      </c>
      <c r="B41" s="6" t="s">
        <v>2</v>
      </c>
      <c r="C41" s="7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4" t="s">
        <v>33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81" t="s">
        <v>11</v>
      </c>
      <c r="U41" s="81"/>
      <c r="W41" s="70" t="s">
        <v>21</v>
      </c>
      <c r="X41" s="15" t="s">
        <v>17</v>
      </c>
    </row>
    <row r="42" spans="1:28" x14ac:dyDescent="0.3">
      <c r="A42" s="44">
        <f>A32+1</f>
        <v>2</v>
      </c>
      <c r="B42" s="34" t="str">
        <f>TEXT(Tabelle12173030297208[[#This Row],[Datum]],"tttt")</f>
        <v>Montag</v>
      </c>
      <c r="C42" s="58">
        <f>C38+1</f>
        <v>44201</v>
      </c>
      <c r="D42" s="31"/>
      <c r="E42" s="31"/>
      <c r="F42" s="31"/>
      <c r="G42" s="31"/>
      <c r="H42" s="31"/>
      <c r="I42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4">
        <f>J32+1</f>
        <v>2</v>
      </c>
      <c r="K42" s="34" t="str">
        <f>TEXT(Tabelle1217303029720855[[#This Row],[Datum]],"tttt")</f>
        <v>Montag</v>
      </c>
      <c r="L42" s="58">
        <f>L38+1</f>
        <v>44201</v>
      </c>
      <c r="M42" s="31"/>
      <c r="N42" s="31"/>
      <c r="O42" s="31"/>
      <c r="P42" s="31"/>
      <c r="Q42" s="31"/>
      <c r="R42" s="49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2" s="81">
        <f t="shared" ref="T42:T43" si="6">R42-I42</f>
        <v>0</v>
      </c>
      <c r="U42" s="81"/>
      <c r="W42" s="17" t="s">
        <v>18</v>
      </c>
      <c r="X42" s="26">
        <f>I49</f>
        <v>0</v>
      </c>
    </row>
    <row r="43" spans="1:28" x14ac:dyDescent="0.3">
      <c r="B43" s="34" t="str">
        <f>TEXT(Tabelle12173030297208[[#This Row],[Datum]],"tttt")</f>
        <v>Dienstag</v>
      </c>
      <c r="C43" s="56">
        <f>C42+1</f>
        <v>44202</v>
      </c>
      <c r="D43" s="31"/>
      <c r="E43" s="31"/>
      <c r="F43" s="31"/>
      <c r="G43" s="31"/>
      <c r="H43" s="31"/>
      <c r="I43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4" t="str">
        <f>TEXT(Tabelle1217303029720855[[#This Row],[Datum]],"tttt")</f>
        <v>Dienstag</v>
      </c>
      <c r="L43" s="56">
        <f>L42+1</f>
        <v>44202</v>
      </c>
      <c r="M43" s="31"/>
      <c r="N43" s="31"/>
      <c r="O43" s="31"/>
      <c r="P43" s="31"/>
      <c r="Q43" s="31"/>
      <c r="R43" s="50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3" s="81">
        <f t="shared" si="6"/>
        <v>0</v>
      </c>
      <c r="U43" s="81"/>
      <c r="W43" s="17" t="s">
        <v>19</v>
      </c>
      <c r="X43" s="26">
        <f>R49</f>
        <v>0</v>
      </c>
    </row>
    <row r="44" spans="1:28" x14ac:dyDescent="0.3">
      <c r="B44" s="35" t="str">
        <f>TEXT(Tabelle12173030297208[[#This Row],[Datum]],"tttt")</f>
        <v>Mittwoch</v>
      </c>
      <c r="C44" s="56">
        <f t="shared" ref="C44:C48" si="7">C43+1</f>
        <v>44203</v>
      </c>
      <c r="D44" s="32"/>
      <c r="E44" s="32"/>
      <c r="F44" s="32"/>
      <c r="G44" s="32"/>
      <c r="H44" s="32"/>
      <c r="I44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5" t="str">
        <f>TEXT(Tabelle1217303029720855[[#This Row],[Datum]],"tttt")</f>
        <v>Mittwoch</v>
      </c>
      <c r="L44" s="56">
        <f t="shared" ref="L44:L48" si="8">L43+1</f>
        <v>44203</v>
      </c>
      <c r="M44" s="32"/>
      <c r="N44" s="32"/>
      <c r="O44" s="32"/>
      <c r="P44" s="32"/>
      <c r="Q44" s="32"/>
      <c r="R44" s="51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4" s="81">
        <f>R44-I44</f>
        <v>0</v>
      </c>
      <c r="U44" s="81"/>
      <c r="W44" s="20" t="s">
        <v>20</v>
      </c>
      <c r="X44" s="27">
        <f>X43-X42</f>
        <v>0</v>
      </c>
      <c r="Z44" s="66">
        <f>X34+X44</f>
        <v>0</v>
      </c>
    </row>
    <row r="45" spans="1:28" x14ac:dyDescent="0.3">
      <c r="B45" s="34" t="str">
        <f>TEXT(Tabelle12173030297208[[#This Row],[Datum]],"tttt")</f>
        <v>Donnerstag</v>
      </c>
      <c r="C45" s="56">
        <f t="shared" si="7"/>
        <v>44204</v>
      </c>
      <c r="D45" s="31"/>
      <c r="E45" s="31"/>
      <c r="F45" s="31"/>
      <c r="G45" s="31"/>
      <c r="H45" s="31"/>
      <c r="I45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4" t="str">
        <f>TEXT(Tabelle1217303029720855[[#This Row],[Datum]],"tttt")</f>
        <v>Donnerstag</v>
      </c>
      <c r="L45" s="56">
        <f t="shared" si="8"/>
        <v>44204</v>
      </c>
      <c r="M45" s="31"/>
      <c r="N45" s="31"/>
      <c r="O45" s="31"/>
      <c r="P45" s="31"/>
      <c r="Q45" s="31"/>
      <c r="R45" s="50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5" s="81">
        <f>R45-I45</f>
        <v>0</v>
      </c>
      <c r="U45" s="81"/>
    </row>
    <row r="46" spans="1:28" x14ac:dyDescent="0.3">
      <c r="B46" s="36" t="str">
        <f>TEXT(Tabelle12173030297208[[#This Row],[Datum]],"tttt")</f>
        <v>Freitag</v>
      </c>
      <c r="C46" s="56">
        <f t="shared" si="7"/>
        <v>44205</v>
      </c>
      <c r="D46" s="32"/>
      <c r="E46" s="32"/>
      <c r="F46" s="32"/>
      <c r="G46" s="32"/>
      <c r="H46" s="32"/>
      <c r="I46" s="52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6" t="str">
        <f>TEXT(Tabelle1217303029720855[[#This Row],[Datum]],"tttt")</f>
        <v>Freitag</v>
      </c>
      <c r="L46" s="56">
        <f t="shared" si="8"/>
        <v>44205</v>
      </c>
      <c r="M46" s="32"/>
      <c r="N46" s="32"/>
      <c r="O46" s="32"/>
      <c r="P46" s="32"/>
      <c r="Q46" s="32"/>
      <c r="R46" s="52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6" s="81">
        <f>R46-I46</f>
        <v>0</v>
      </c>
      <c r="U46" s="81"/>
    </row>
    <row r="47" spans="1:28" x14ac:dyDescent="0.3">
      <c r="B47" s="34" t="str">
        <f>TEXT(Tabelle12173030297208[[#This Row],[Datum]],"tttt")</f>
        <v>Samstag</v>
      </c>
      <c r="C47" s="56">
        <f t="shared" si="7"/>
        <v>44206</v>
      </c>
      <c r="D47" s="31"/>
      <c r="E47" s="31"/>
      <c r="F47" s="31"/>
      <c r="G47" s="31"/>
      <c r="H47" s="31"/>
      <c r="I47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4" t="str">
        <f>TEXT(Tabelle1217303029720855[[#This Row],[Datum]],"tttt")</f>
        <v>Samstag</v>
      </c>
      <c r="L47" s="56">
        <f t="shared" si="8"/>
        <v>44206</v>
      </c>
      <c r="M47" s="31"/>
      <c r="N47" s="31"/>
      <c r="O47" s="31"/>
      <c r="P47" s="31"/>
      <c r="Q47" s="31"/>
      <c r="R47" s="50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7" s="81">
        <f t="shared" ref="T47:T48" si="9">R47-I47</f>
        <v>0</v>
      </c>
      <c r="U47" s="81"/>
    </row>
    <row r="48" spans="1:28" s="40" customFormat="1" x14ac:dyDescent="0.3">
      <c r="B48" s="36" t="str">
        <f>TEXT(Tabelle12173030297208[[#This Row],[Datum]],"tttt")</f>
        <v>Sonntag</v>
      </c>
      <c r="C48" s="57">
        <f t="shared" si="7"/>
        <v>44207</v>
      </c>
      <c r="D48" s="32"/>
      <c r="E48" s="32"/>
      <c r="F48" s="32"/>
      <c r="G48" s="32"/>
      <c r="H48" s="32"/>
      <c r="I48" s="53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6" t="str">
        <f>TEXT(Tabelle1217303029720855[[#This Row],[Datum]],"tttt")</f>
        <v>Sonntag</v>
      </c>
      <c r="L48" s="57">
        <f t="shared" si="8"/>
        <v>44207</v>
      </c>
      <c r="M48" s="32"/>
      <c r="N48" s="32"/>
      <c r="O48" s="32"/>
      <c r="P48" s="32"/>
      <c r="Q48" s="32"/>
      <c r="R48" s="53" t="str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0:00</v>
      </c>
      <c r="T48" s="81">
        <f t="shared" si="9"/>
        <v>0</v>
      </c>
      <c r="U48" s="81"/>
      <c r="V48" s="42"/>
      <c r="W48" s="42"/>
      <c r="X48" s="45"/>
      <c r="AB48" s="41"/>
    </row>
    <row r="49" spans="1:28" x14ac:dyDescent="0.3">
      <c r="B49" s="5"/>
      <c r="C49" s="3"/>
      <c r="D49" s="1"/>
      <c r="E49" s="1"/>
      <c r="F49" s="1"/>
      <c r="G49" s="1">
        <f t="shared" ref="G49:H49" si="10">SUM(G42:G48)</f>
        <v>0</v>
      </c>
      <c r="H49" s="1">
        <f t="shared" si="10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1">SUM(P42:P48)</f>
        <v>0</v>
      </c>
      <c r="Q49" s="1">
        <f t="shared" si="11"/>
        <v>0</v>
      </c>
      <c r="R49" s="1">
        <f>SUBTOTAL(109,R42:R48)</f>
        <v>0</v>
      </c>
    </row>
    <row r="50" spans="1:28" x14ac:dyDescent="0.3">
      <c r="A50" s="37"/>
      <c r="B50" s="38"/>
      <c r="C50" s="37"/>
      <c r="D50" s="37"/>
      <c r="E50" s="37"/>
      <c r="F50" s="37"/>
      <c r="G50" s="37"/>
      <c r="H50" s="37"/>
      <c r="I50" s="38"/>
      <c r="J50" s="37"/>
      <c r="K50" s="38"/>
      <c r="L50" s="37"/>
      <c r="M50" s="37"/>
      <c r="N50" s="37"/>
      <c r="O50" s="37"/>
      <c r="P50" s="37"/>
      <c r="Q50" s="37"/>
      <c r="R50" s="38"/>
      <c r="S50" s="37"/>
      <c r="T50" s="82"/>
      <c r="U50" s="82"/>
      <c r="V50" s="37"/>
      <c r="W50" s="37"/>
      <c r="X50" s="39"/>
    </row>
    <row r="51" spans="1:28" x14ac:dyDescent="0.3">
      <c r="A51" s="44" t="s">
        <v>33</v>
      </c>
      <c r="B51" s="6" t="s">
        <v>2</v>
      </c>
      <c r="C51" s="7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4" t="s">
        <v>33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81" t="s">
        <v>11</v>
      </c>
      <c r="U51" s="81"/>
      <c r="W51" s="70" t="s">
        <v>21</v>
      </c>
      <c r="X51" s="15" t="s">
        <v>17</v>
      </c>
      <c r="Y51" s="37"/>
    </row>
    <row r="52" spans="1:28" x14ac:dyDescent="0.3">
      <c r="A52" s="44">
        <f>A42+1</f>
        <v>3</v>
      </c>
      <c r="B52" s="34" t="str">
        <f>TEXT(Tabelle121730302972083[[#This Row],[Datum]],"tttt")</f>
        <v>Montag</v>
      </c>
      <c r="C52" s="58">
        <f>C48+1</f>
        <v>44208</v>
      </c>
      <c r="D52" s="31"/>
      <c r="E52" s="31"/>
      <c r="F52" s="31"/>
      <c r="G52" s="31"/>
      <c r="H52" s="31"/>
      <c r="I52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4">
        <f>J42+1</f>
        <v>3</v>
      </c>
      <c r="K52" s="34" t="str">
        <f>TEXT(Tabelle12173030297208552[[#This Row],[Datum]],"tttt")</f>
        <v>Montag</v>
      </c>
      <c r="L52" s="58">
        <f>L48+1</f>
        <v>44208</v>
      </c>
      <c r="M52" s="31"/>
      <c r="N52" s="31"/>
      <c r="O52" s="31"/>
      <c r="P52" s="31"/>
      <c r="Q52" s="31"/>
      <c r="R52" s="49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2" s="81">
        <f t="shared" ref="T52:T53" si="12">R52-I52</f>
        <v>0</v>
      </c>
      <c r="U52" s="81"/>
      <c r="W52" s="17" t="s">
        <v>18</v>
      </c>
      <c r="X52" s="26">
        <f>I59</f>
        <v>0</v>
      </c>
      <c r="Y52" s="37"/>
    </row>
    <row r="53" spans="1:28" x14ac:dyDescent="0.3">
      <c r="B53" s="34" t="str">
        <f>TEXT(Tabelle121730302972083[[#This Row],[Datum]],"tttt")</f>
        <v>Dienstag</v>
      </c>
      <c r="C53" s="56">
        <f>C52+1</f>
        <v>44209</v>
      </c>
      <c r="D53" s="31"/>
      <c r="E53" s="31"/>
      <c r="F53" s="31"/>
      <c r="G53" s="31"/>
      <c r="H53" s="31"/>
      <c r="I53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4" t="str">
        <f>TEXT(Tabelle12173030297208552[[#This Row],[Datum]],"tttt")</f>
        <v>Dienstag</v>
      </c>
      <c r="L53" s="56">
        <f>L52+1</f>
        <v>44209</v>
      </c>
      <c r="M53" s="31"/>
      <c r="N53" s="31"/>
      <c r="O53" s="31"/>
      <c r="P53" s="31"/>
      <c r="Q53" s="31"/>
      <c r="R53" s="50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3" s="81">
        <f t="shared" si="12"/>
        <v>0</v>
      </c>
      <c r="U53" s="81"/>
      <c r="W53" s="17" t="s">
        <v>19</v>
      </c>
      <c r="X53" s="26">
        <f>R59</f>
        <v>0</v>
      </c>
      <c r="Y53" s="37"/>
    </row>
    <row r="54" spans="1:28" x14ac:dyDescent="0.3">
      <c r="B54" s="35" t="str">
        <f>TEXT(Tabelle121730302972083[[#This Row],[Datum]],"tttt")</f>
        <v>Mittwoch</v>
      </c>
      <c r="C54" s="56">
        <f t="shared" ref="C54:C58" si="13">C53+1</f>
        <v>44210</v>
      </c>
      <c r="D54" s="32"/>
      <c r="E54" s="32"/>
      <c r="F54" s="32"/>
      <c r="G54" s="32"/>
      <c r="H54" s="32"/>
      <c r="I54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5" t="str">
        <f>TEXT(Tabelle12173030297208552[[#This Row],[Datum]],"tttt")</f>
        <v>Mittwoch</v>
      </c>
      <c r="L54" s="56">
        <f t="shared" ref="L54:L58" si="14">L53+1</f>
        <v>44210</v>
      </c>
      <c r="M54" s="32"/>
      <c r="N54" s="32"/>
      <c r="O54" s="32"/>
      <c r="P54" s="32"/>
      <c r="Q54" s="32"/>
      <c r="R54" s="51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4" s="81">
        <f>R54-I54</f>
        <v>0</v>
      </c>
      <c r="U54" s="81"/>
      <c r="W54" s="20" t="s">
        <v>20</v>
      </c>
      <c r="X54" s="27">
        <f>X53-X52</f>
        <v>0</v>
      </c>
      <c r="Y54" s="37"/>
      <c r="Z54" s="66">
        <f>Z44+X54</f>
        <v>0</v>
      </c>
    </row>
    <row r="55" spans="1:28" x14ac:dyDescent="0.3">
      <c r="B55" s="34" t="str">
        <f>TEXT(Tabelle121730302972083[[#This Row],[Datum]],"tttt")</f>
        <v>Donnerstag</v>
      </c>
      <c r="C55" s="56">
        <f t="shared" si="13"/>
        <v>44211</v>
      </c>
      <c r="D55" s="31"/>
      <c r="E55" s="31"/>
      <c r="F55" s="31"/>
      <c r="G55" s="31"/>
      <c r="H55" s="31"/>
      <c r="I55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4" t="str">
        <f>TEXT(Tabelle12173030297208552[[#This Row],[Datum]],"tttt")</f>
        <v>Donnerstag</v>
      </c>
      <c r="L55" s="56">
        <f t="shared" si="14"/>
        <v>44211</v>
      </c>
      <c r="M55" s="31"/>
      <c r="N55" s="31"/>
      <c r="O55" s="31"/>
      <c r="P55" s="31"/>
      <c r="Q55" s="31"/>
      <c r="R55" s="50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5" s="81">
        <f>R55-I55</f>
        <v>0</v>
      </c>
      <c r="U55" s="81"/>
      <c r="Y55" s="37"/>
    </row>
    <row r="56" spans="1:28" x14ac:dyDescent="0.3">
      <c r="B56" s="36" t="str">
        <f>TEXT(Tabelle121730302972083[[#This Row],[Datum]],"tttt")</f>
        <v>Freitag</v>
      </c>
      <c r="C56" s="56">
        <f t="shared" si="13"/>
        <v>44212</v>
      </c>
      <c r="D56" s="32"/>
      <c r="E56" s="32"/>
      <c r="F56" s="32"/>
      <c r="G56" s="32"/>
      <c r="H56" s="32"/>
      <c r="I56" s="52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6" t="str">
        <f>TEXT(Tabelle12173030297208552[[#This Row],[Datum]],"tttt")</f>
        <v>Freitag</v>
      </c>
      <c r="L56" s="56">
        <f t="shared" si="14"/>
        <v>44212</v>
      </c>
      <c r="M56" s="32"/>
      <c r="N56" s="32"/>
      <c r="O56" s="32"/>
      <c r="P56" s="32"/>
      <c r="Q56" s="32"/>
      <c r="R56" s="52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6" s="81">
        <f>R56-I56</f>
        <v>0</v>
      </c>
      <c r="U56" s="81"/>
      <c r="Y56" s="37"/>
    </row>
    <row r="57" spans="1:28" x14ac:dyDescent="0.3">
      <c r="B57" s="34" t="str">
        <f>TEXT(Tabelle121730302972083[[#This Row],[Datum]],"tttt")</f>
        <v>Samstag</v>
      </c>
      <c r="C57" s="56">
        <f t="shared" si="13"/>
        <v>44213</v>
      </c>
      <c r="D57" s="31"/>
      <c r="E57" s="31"/>
      <c r="F57" s="31"/>
      <c r="G57" s="31"/>
      <c r="H57" s="31"/>
      <c r="I57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4" t="str">
        <f>TEXT(Tabelle12173030297208552[[#This Row],[Datum]],"tttt")</f>
        <v>Samstag</v>
      </c>
      <c r="L57" s="56">
        <f t="shared" si="14"/>
        <v>44213</v>
      </c>
      <c r="M57" s="31"/>
      <c r="N57" s="31"/>
      <c r="O57" s="31"/>
      <c r="P57" s="31"/>
      <c r="Q57" s="31"/>
      <c r="R57" s="50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7" s="81">
        <f t="shared" ref="T57:T58" si="15">R57-I57</f>
        <v>0</v>
      </c>
      <c r="U57" s="81"/>
      <c r="Y57" s="37"/>
    </row>
    <row r="58" spans="1:28" s="40" customFormat="1" x14ac:dyDescent="0.3">
      <c r="B58" s="36" t="str">
        <f>TEXT(Tabelle121730302972083[[#This Row],[Datum]],"tttt")</f>
        <v>Sonntag</v>
      </c>
      <c r="C58" s="57">
        <f t="shared" si="13"/>
        <v>44214</v>
      </c>
      <c r="D58" s="32"/>
      <c r="E58" s="32"/>
      <c r="F58" s="32"/>
      <c r="G58" s="32"/>
      <c r="H58" s="32"/>
      <c r="I58" s="53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6" t="str">
        <f>TEXT(Tabelle12173030297208552[[#This Row],[Datum]],"tttt")</f>
        <v>Sonntag</v>
      </c>
      <c r="L58" s="57">
        <f t="shared" si="14"/>
        <v>44214</v>
      </c>
      <c r="M58" s="32"/>
      <c r="N58" s="32"/>
      <c r="O58" s="32"/>
      <c r="P58" s="32"/>
      <c r="Q58" s="32"/>
      <c r="R58" s="53" t="str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0:00</v>
      </c>
      <c r="T58" s="81">
        <f t="shared" si="15"/>
        <v>0</v>
      </c>
      <c r="U58" s="81"/>
      <c r="V58" s="42"/>
      <c r="W58" s="42"/>
      <c r="X58" s="45"/>
      <c r="Y58" s="37"/>
      <c r="AB58" s="41"/>
    </row>
    <row r="59" spans="1:28" x14ac:dyDescent="0.3">
      <c r="B59" s="5"/>
      <c r="C59" s="3"/>
      <c r="D59" s="1"/>
      <c r="E59" s="1"/>
      <c r="F59" s="1"/>
      <c r="G59" s="1">
        <f t="shared" ref="G59:H59" si="16">SUM(G52:G58)</f>
        <v>0</v>
      </c>
      <c r="H59" s="1">
        <f t="shared" si="16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17">SUM(P52:P58)</f>
        <v>0</v>
      </c>
      <c r="Q59" s="1">
        <f t="shared" si="17"/>
        <v>0</v>
      </c>
      <c r="R59" s="1">
        <f>SUBTOTAL(109,R52:R58)</f>
        <v>0</v>
      </c>
      <c r="Y59" s="37"/>
    </row>
    <row r="60" spans="1:28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9"/>
      <c r="Y60" s="37"/>
    </row>
    <row r="61" spans="1:28" x14ac:dyDescent="0.3">
      <c r="A61" s="44" t="s">
        <v>33</v>
      </c>
      <c r="B61" s="6" t="s">
        <v>2</v>
      </c>
      <c r="C61" s="7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4" t="s">
        <v>33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81" t="s">
        <v>11</v>
      </c>
      <c r="U61" s="81"/>
      <c r="W61" s="13" t="s">
        <v>21</v>
      </c>
      <c r="X61" s="15" t="s">
        <v>17</v>
      </c>
      <c r="Y61" s="37"/>
    </row>
    <row r="62" spans="1:28" x14ac:dyDescent="0.3">
      <c r="A62" s="44">
        <f>A52+1</f>
        <v>4</v>
      </c>
      <c r="B62" s="34" t="str">
        <f>TEXT(Tabelle121730302972084[[#This Row],[Datum]],"tttt")</f>
        <v>Montag</v>
      </c>
      <c r="C62" s="58">
        <f>C58+1</f>
        <v>44215</v>
      </c>
      <c r="D62" s="31"/>
      <c r="E62" s="31"/>
      <c r="F62" s="31"/>
      <c r="G62" s="31"/>
      <c r="H62" s="31"/>
      <c r="I62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4">
        <f>J52+1</f>
        <v>4</v>
      </c>
      <c r="K62" s="34" t="str">
        <f>TEXT(Tabelle12173030297208458[[#This Row],[Datum]],"tttt")</f>
        <v>Montag</v>
      </c>
      <c r="L62" s="58">
        <f>L58+1</f>
        <v>44215</v>
      </c>
      <c r="M62" s="31"/>
      <c r="N62" s="31"/>
      <c r="O62" s="31"/>
      <c r="P62" s="31"/>
      <c r="Q62" s="31"/>
      <c r="R62" s="49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2" s="81">
        <f t="shared" ref="T62:T63" si="18">R62-I62</f>
        <v>0</v>
      </c>
      <c r="U62" s="81"/>
      <c r="W62" s="17" t="s">
        <v>18</v>
      </c>
      <c r="X62" s="26">
        <f>I69</f>
        <v>0</v>
      </c>
      <c r="Y62" s="37"/>
    </row>
    <row r="63" spans="1:28" x14ac:dyDescent="0.3">
      <c r="B63" s="34" t="str">
        <f>TEXT(Tabelle121730302972084[[#This Row],[Datum]],"tttt")</f>
        <v>Dienstag</v>
      </c>
      <c r="C63" s="56">
        <f>C62+1</f>
        <v>44216</v>
      </c>
      <c r="D63" s="31"/>
      <c r="E63" s="31"/>
      <c r="F63" s="31"/>
      <c r="G63" s="31"/>
      <c r="H63" s="31"/>
      <c r="I63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4" t="str">
        <f>TEXT(Tabelle12173030297208458[[#This Row],[Datum]],"tttt")</f>
        <v>Dienstag</v>
      </c>
      <c r="L63" s="56">
        <f>L62+1</f>
        <v>44216</v>
      </c>
      <c r="M63" s="31"/>
      <c r="N63" s="31"/>
      <c r="O63" s="31"/>
      <c r="P63" s="31"/>
      <c r="Q63" s="31"/>
      <c r="R63" s="50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3" s="81">
        <f t="shared" si="18"/>
        <v>0</v>
      </c>
      <c r="U63" s="81"/>
      <c r="W63" s="17" t="s">
        <v>19</v>
      </c>
      <c r="X63" s="26">
        <f>R69</f>
        <v>0</v>
      </c>
      <c r="Y63" s="37"/>
    </row>
    <row r="64" spans="1:28" x14ac:dyDescent="0.3">
      <c r="B64" s="35" t="str">
        <f>TEXT(Tabelle121730302972084[[#This Row],[Datum]],"tttt")</f>
        <v>Mittwoch</v>
      </c>
      <c r="C64" s="56">
        <f t="shared" ref="C64:C68" si="19">C63+1</f>
        <v>44217</v>
      </c>
      <c r="D64" s="32"/>
      <c r="E64" s="32"/>
      <c r="F64" s="32"/>
      <c r="G64" s="32"/>
      <c r="H64" s="32"/>
      <c r="I64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5" t="str">
        <f>TEXT(Tabelle12173030297208458[[#This Row],[Datum]],"tttt")</f>
        <v>Mittwoch</v>
      </c>
      <c r="L64" s="56">
        <f t="shared" ref="L64:L68" si="20">L63+1</f>
        <v>44217</v>
      </c>
      <c r="M64" s="32"/>
      <c r="N64" s="32"/>
      <c r="O64" s="32"/>
      <c r="P64" s="32"/>
      <c r="Q64" s="32"/>
      <c r="R64" s="51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4" s="81">
        <f>R64-I64</f>
        <v>0</v>
      </c>
      <c r="U64" s="81"/>
      <c r="W64" s="20" t="s">
        <v>20</v>
      </c>
      <c r="X64" s="27">
        <f>X63-X62</f>
        <v>0</v>
      </c>
      <c r="Y64" s="37"/>
      <c r="Z64" s="66">
        <f>Z54+X64</f>
        <v>0</v>
      </c>
    </row>
    <row r="65" spans="1:28" x14ac:dyDescent="0.3">
      <c r="B65" s="34" t="str">
        <f>TEXT(Tabelle121730302972084[[#This Row],[Datum]],"tttt")</f>
        <v>Donnerstag</v>
      </c>
      <c r="C65" s="56">
        <f t="shared" si="19"/>
        <v>44218</v>
      </c>
      <c r="D65" s="31"/>
      <c r="E65" s="31"/>
      <c r="F65" s="31"/>
      <c r="G65" s="31"/>
      <c r="H65" s="31"/>
      <c r="I65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4" t="str">
        <f>TEXT(Tabelle12173030297208458[[#This Row],[Datum]],"tttt")</f>
        <v>Donnerstag</v>
      </c>
      <c r="L65" s="56">
        <f t="shared" si="20"/>
        <v>44218</v>
      </c>
      <c r="M65" s="31"/>
      <c r="N65" s="31"/>
      <c r="O65" s="31"/>
      <c r="P65" s="31"/>
      <c r="Q65" s="31"/>
      <c r="R65" s="50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5" s="81">
        <f>R65-I65</f>
        <v>0</v>
      </c>
      <c r="U65" s="81"/>
      <c r="Y65" s="37"/>
    </row>
    <row r="66" spans="1:28" x14ac:dyDescent="0.3">
      <c r="B66" s="36" t="str">
        <f>TEXT(Tabelle121730302972084[[#This Row],[Datum]],"tttt")</f>
        <v>Freitag</v>
      </c>
      <c r="C66" s="56">
        <f t="shared" si="19"/>
        <v>44219</v>
      </c>
      <c r="D66" s="32"/>
      <c r="E66" s="32"/>
      <c r="F66" s="32"/>
      <c r="G66" s="32"/>
      <c r="H66" s="32"/>
      <c r="I66" s="52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6" t="str">
        <f>TEXT(Tabelle12173030297208458[[#This Row],[Datum]],"tttt")</f>
        <v>Freitag</v>
      </c>
      <c r="L66" s="56">
        <f t="shared" si="20"/>
        <v>44219</v>
      </c>
      <c r="M66" s="32"/>
      <c r="N66" s="32"/>
      <c r="O66" s="32"/>
      <c r="P66" s="32"/>
      <c r="Q66" s="32"/>
      <c r="R66" s="52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6" s="81">
        <f>R66-I66</f>
        <v>0</v>
      </c>
      <c r="U66" s="81"/>
      <c r="Y66" s="37"/>
    </row>
    <row r="67" spans="1:28" x14ac:dyDescent="0.3">
      <c r="B67" s="34" t="str">
        <f>TEXT(Tabelle121730302972084[[#This Row],[Datum]],"tttt")</f>
        <v>Samstag</v>
      </c>
      <c r="C67" s="56">
        <f t="shared" si="19"/>
        <v>44220</v>
      </c>
      <c r="D67" s="31"/>
      <c r="E67" s="31"/>
      <c r="F67" s="31"/>
      <c r="G67" s="31"/>
      <c r="H67" s="31"/>
      <c r="I67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4" t="str">
        <f>TEXT(Tabelle12173030297208458[[#This Row],[Datum]],"tttt")</f>
        <v>Samstag</v>
      </c>
      <c r="L67" s="56">
        <f t="shared" si="20"/>
        <v>44220</v>
      </c>
      <c r="M67" s="31"/>
      <c r="N67" s="31"/>
      <c r="O67" s="31"/>
      <c r="P67" s="31"/>
      <c r="Q67" s="31"/>
      <c r="R67" s="50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7" s="81">
        <f t="shared" ref="T67:T68" si="21">R67-I67</f>
        <v>0</v>
      </c>
      <c r="U67" s="81"/>
      <c r="Y67" s="37"/>
    </row>
    <row r="68" spans="1:28" s="40" customFormat="1" x14ac:dyDescent="0.3">
      <c r="B68" s="36" t="str">
        <f>TEXT(Tabelle121730302972084[[#This Row],[Datum]],"tttt")</f>
        <v>Sonntag</v>
      </c>
      <c r="C68" s="57">
        <f t="shared" si="19"/>
        <v>44221</v>
      </c>
      <c r="D68" s="32"/>
      <c r="E68" s="32"/>
      <c r="F68" s="32"/>
      <c r="G68" s="32"/>
      <c r="H68" s="32"/>
      <c r="I68" s="53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6" t="str">
        <f>TEXT(Tabelle12173030297208458[[#This Row],[Datum]],"tttt")</f>
        <v>Sonntag</v>
      </c>
      <c r="L68" s="57">
        <f t="shared" si="20"/>
        <v>44221</v>
      </c>
      <c r="M68" s="32"/>
      <c r="N68" s="32"/>
      <c r="O68" s="32"/>
      <c r="P68" s="32"/>
      <c r="Q68" s="32"/>
      <c r="R68" s="53" t="str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0:00</v>
      </c>
      <c r="T68" s="81">
        <f t="shared" si="21"/>
        <v>0</v>
      </c>
      <c r="U68" s="81"/>
      <c r="V68" s="42"/>
      <c r="W68" s="42"/>
      <c r="X68" s="45"/>
      <c r="Y68" s="37"/>
      <c r="AB68" s="41"/>
    </row>
    <row r="69" spans="1:28" x14ac:dyDescent="0.3">
      <c r="B69" s="5"/>
      <c r="C69" s="3"/>
      <c r="D69" s="1"/>
      <c r="E69" s="1"/>
      <c r="F69" s="1"/>
      <c r="G69" s="1">
        <f t="shared" ref="G69:H69" si="22">SUM(G62:G68)</f>
        <v>0</v>
      </c>
      <c r="H69" s="1">
        <f t="shared" si="22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23">SUM(P62:P68)</f>
        <v>0</v>
      </c>
      <c r="Q69" s="1">
        <f t="shared" si="23"/>
        <v>0</v>
      </c>
      <c r="R69" s="1">
        <f>SUBTOTAL(109,R62:R68)</f>
        <v>0</v>
      </c>
      <c r="Y69" s="37"/>
    </row>
    <row r="70" spans="1:28" x14ac:dyDescent="0.3">
      <c r="A70" s="37"/>
      <c r="B70" s="38"/>
      <c r="C70" s="37"/>
      <c r="D70" s="37"/>
      <c r="E70" s="37"/>
      <c r="F70" s="37"/>
      <c r="G70" s="37"/>
      <c r="H70" s="37"/>
      <c r="I70" s="38"/>
      <c r="J70" s="37"/>
      <c r="K70" s="38"/>
      <c r="L70" s="37"/>
      <c r="M70" s="37"/>
      <c r="N70" s="37"/>
      <c r="O70" s="37"/>
      <c r="P70" s="37"/>
      <c r="Q70" s="37"/>
      <c r="R70" s="38"/>
      <c r="S70" s="37"/>
      <c r="T70" s="82"/>
      <c r="U70" s="82"/>
      <c r="V70" s="37"/>
      <c r="W70" s="37"/>
      <c r="X70" s="39"/>
      <c r="Y70" s="37"/>
    </row>
    <row r="71" spans="1:28" x14ac:dyDescent="0.3">
      <c r="A71" s="44" t="s">
        <v>33</v>
      </c>
      <c r="B71" s="6" t="s">
        <v>2</v>
      </c>
      <c r="C71" s="7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44" t="s">
        <v>33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81" t="s">
        <v>11</v>
      </c>
      <c r="U71" s="81"/>
      <c r="W71" s="13" t="s">
        <v>21</v>
      </c>
      <c r="X71" s="15" t="s">
        <v>17</v>
      </c>
      <c r="Y71" s="37"/>
    </row>
    <row r="72" spans="1:28" x14ac:dyDescent="0.3">
      <c r="A72" s="44">
        <f>A62+1</f>
        <v>5</v>
      </c>
      <c r="B72" s="34" t="str">
        <f>TEXT(Tabelle121730302972085[[#This Row],[Datum]],"tttt")</f>
        <v>Montag</v>
      </c>
      <c r="C72" s="58">
        <f>C68+1</f>
        <v>44222</v>
      </c>
      <c r="D72" s="31"/>
      <c r="E72" s="31"/>
      <c r="F72" s="31"/>
      <c r="G72" s="31"/>
      <c r="H72" s="31"/>
      <c r="I72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4">
        <f>J62+1</f>
        <v>5</v>
      </c>
      <c r="K72" s="34" t="str">
        <f>TEXT(Tabelle12173030297208559[[#This Row],[Datum]],"tttt")</f>
        <v>Montag</v>
      </c>
      <c r="L72" s="58">
        <f>L68+1</f>
        <v>44222</v>
      </c>
      <c r="M72" s="31"/>
      <c r="N72" s="31"/>
      <c r="O72" s="31"/>
      <c r="P72" s="31"/>
      <c r="Q72" s="31"/>
      <c r="R72" s="49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2" s="81">
        <f t="shared" ref="T72:T73" si="24">R72-I72</f>
        <v>0</v>
      </c>
      <c r="U72" s="81"/>
      <c r="W72" s="17" t="s">
        <v>18</v>
      </c>
      <c r="X72" s="26">
        <f>I79</f>
        <v>0</v>
      </c>
      <c r="Y72" s="37"/>
    </row>
    <row r="73" spans="1:28" x14ac:dyDescent="0.3">
      <c r="B73" s="34" t="str">
        <f>TEXT(Tabelle121730302972085[[#This Row],[Datum]],"tttt")</f>
        <v>Dienstag</v>
      </c>
      <c r="C73" s="56">
        <f>C72+1</f>
        <v>44223</v>
      </c>
      <c r="D73" s="31"/>
      <c r="E73" s="31"/>
      <c r="F73" s="31"/>
      <c r="G73" s="31"/>
      <c r="H73" s="31"/>
      <c r="I73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4" t="str">
        <f>TEXT(Tabelle12173030297208559[[#This Row],[Datum]],"tttt")</f>
        <v>Dienstag</v>
      </c>
      <c r="L73" s="56">
        <f>L72+1</f>
        <v>44223</v>
      </c>
      <c r="M73" s="31"/>
      <c r="N73" s="31"/>
      <c r="O73" s="31"/>
      <c r="P73" s="31"/>
      <c r="Q73" s="31"/>
      <c r="R73" s="50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3" s="81">
        <f t="shared" si="24"/>
        <v>0</v>
      </c>
      <c r="U73" s="81"/>
      <c r="W73" s="17" t="s">
        <v>19</v>
      </c>
      <c r="X73" s="26">
        <f>R79</f>
        <v>0</v>
      </c>
      <c r="Y73" s="37"/>
    </row>
    <row r="74" spans="1:28" x14ac:dyDescent="0.3">
      <c r="B74" s="35" t="str">
        <f>TEXT(Tabelle121730302972085[[#This Row],[Datum]],"tttt")</f>
        <v>Mittwoch</v>
      </c>
      <c r="C74" s="56">
        <f t="shared" ref="C74:C78" si="25">C73+1</f>
        <v>44224</v>
      </c>
      <c r="D74" s="32"/>
      <c r="E74" s="32"/>
      <c r="F74" s="32"/>
      <c r="G74" s="32"/>
      <c r="H74" s="32"/>
      <c r="I74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5" t="str">
        <f>TEXT(Tabelle12173030297208559[[#This Row],[Datum]],"tttt")</f>
        <v>Mittwoch</v>
      </c>
      <c r="L74" s="56">
        <f t="shared" ref="L74:L78" si="26">L73+1</f>
        <v>44224</v>
      </c>
      <c r="M74" s="32"/>
      <c r="N74" s="32"/>
      <c r="O74" s="32"/>
      <c r="P74" s="32"/>
      <c r="Q74" s="32"/>
      <c r="R74" s="51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4" s="81">
        <f>R74-I74</f>
        <v>0</v>
      </c>
      <c r="U74" s="81"/>
      <c r="W74" s="20" t="s">
        <v>20</v>
      </c>
      <c r="X74" s="27">
        <f>X73-X72</f>
        <v>0</v>
      </c>
      <c r="Y74" s="37"/>
      <c r="Z74" s="66">
        <f>Z64+X74</f>
        <v>0</v>
      </c>
    </row>
    <row r="75" spans="1:28" x14ac:dyDescent="0.3">
      <c r="B75" s="34" t="str">
        <f>TEXT(Tabelle121730302972085[[#This Row],[Datum]],"tttt")</f>
        <v>Donnerstag</v>
      </c>
      <c r="C75" s="56">
        <f t="shared" si="25"/>
        <v>44225</v>
      </c>
      <c r="D75" s="31"/>
      <c r="E75" s="31"/>
      <c r="F75" s="31"/>
      <c r="G75" s="31"/>
      <c r="H75" s="31"/>
      <c r="I75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4" t="str">
        <f>TEXT(Tabelle12173030297208559[[#This Row],[Datum]],"tttt")</f>
        <v>Donnerstag</v>
      </c>
      <c r="L75" s="56">
        <f t="shared" si="26"/>
        <v>44225</v>
      </c>
      <c r="M75" s="31"/>
      <c r="N75" s="31"/>
      <c r="O75" s="31"/>
      <c r="P75" s="31"/>
      <c r="Q75" s="31"/>
      <c r="R75" s="50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5" s="81">
        <f>R75-I75</f>
        <v>0</v>
      </c>
      <c r="U75" s="81"/>
      <c r="Y75" s="37"/>
    </row>
    <row r="76" spans="1:28" x14ac:dyDescent="0.3">
      <c r="B76" s="36" t="str">
        <f>TEXT(Tabelle121730302972085[[#This Row],[Datum]],"tttt")</f>
        <v>Freitag</v>
      </c>
      <c r="C76" s="56">
        <f t="shared" si="25"/>
        <v>44226</v>
      </c>
      <c r="D76" s="32"/>
      <c r="E76" s="32"/>
      <c r="F76" s="32"/>
      <c r="G76" s="32"/>
      <c r="H76" s="32"/>
      <c r="I76" s="52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6" t="str">
        <f>TEXT(Tabelle12173030297208559[[#This Row],[Datum]],"tttt")</f>
        <v>Freitag</v>
      </c>
      <c r="L76" s="56">
        <f t="shared" si="26"/>
        <v>44226</v>
      </c>
      <c r="M76" s="32"/>
      <c r="N76" s="32"/>
      <c r="O76" s="32"/>
      <c r="P76" s="32"/>
      <c r="Q76" s="32"/>
      <c r="R76" s="52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6" s="81">
        <f>R76-I76</f>
        <v>0</v>
      </c>
      <c r="U76" s="81"/>
      <c r="Y76" s="37"/>
    </row>
    <row r="77" spans="1:28" x14ac:dyDescent="0.3">
      <c r="B77" s="34" t="str">
        <f>TEXT(Tabelle121730302972085[[#This Row],[Datum]],"tttt")</f>
        <v>Samstag</v>
      </c>
      <c r="C77" s="56">
        <f t="shared" si="25"/>
        <v>44227</v>
      </c>
      <c r="D77" s="31"/>
      <c r="E77" s="31"/>
      <c r="F77" s="31"/>
      <c r="G77" s="31"/>
      <c r="H77" s="31"/>
      <c r="I77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4" t="str">
        <f>TEXT(Tabelle12173030297208559[[#This Row],[Datum]],"tttt")</f>
        <v>Samstag</v>
      </c>
      <c r="L77" s="56">
        <f t="shared" si="26"/>
        <v>44227</v>
      </c>
      <c r="M77" s="31"/>
      <c r="N77" s="31"/>
      <c r="O77" s="31"/>
      <c r="P77" s="31"/>
      <c r="Q77" s="31"/>
      <c r="R77" s="50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7" s="81">
        <f t="shared" ref="T77:T78" si="27">R77-I77</f>
        <v>0</v>
      </c>
      <c r="U77" s="81"/>
      <c r="Y77" s="37"/>
    </row>
    <row r="78" spans="1:28" s="40" customFormat="1" x14ac:dyDescent="0.3">
      <c r="B78" s="36" t="str">
        <f>TEXT(Tabelle121730302972085[[#This Row],[Datum]],"tttt")</f>
        <v>Sonntag</v>
      </c>
      <c r="C78" s="57">
        <f t="shared" si="25"/>
        <v>44228</v>
      </c>
      <c r="D78" s="32"/>
      <c r="E78" s="32"/>
      <c r="F78" s="32"/>
      <c r="G78" s="32"/>
      <c r="H78" s="32"/>
      <c r="I78" s="53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6" t="str">
        <f>TEXT(Tabelle12173030297208559[[#This Row],[Datum]],"tttt")</f>
        <v>Sonntag</v>
      </c>
      <c r="L78" s="57">
        <f t="shared" si="26"/>
        <v>44228</v>
      </c>
      <c r="M78" s="32"/>
      <c r="N78" s="32"/>
      <c r="O78" s="32"/>
      <c r="P78" s="32"/>
      <c r="Q78" s="32"/>
      <c r="R78" s="53" t="str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0:00</v>
      </c>
      <c r="T78" s="81">
        <f t="shared" si="27"/>
        <v>0</v>
      </c>
      <c r="U78" s="81"/>
      <c r="V78" s="42"/>
      <c r="W78" s="42"/>
      <c r="X78" s="45"/>
      <c r="Y78" s="37"/>
      <c r="AB78" s="41"/>
    </row>
    <row r="79" spans="1:28" x14ac:dyDescent="0.3">
      <c r="B79" s="5"/>
      <c r="C79" s="3"/>
      <c r="D79" s="1"/>
      <c r="E79" s="1"/>
      <c r="F79" s="1"/>
      <c r="G79" s="1">
        <f t="shared" ref="G79:H79" si="28">SUM(G72:G78)</f>
        <v>0</v>
      </c>
      <c r="H79" s="1">
        <f t="shared" si="28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29">SUM(P72:P78)</f>
        <v>0</v>
      </c>
      <c r="Q79" s="1">
        <f t="shared" si="29"/>
        <v>0</v>
      </c>
      <c r="R79" s="1">
        <f>SUBTOTAL(109,R72:R78)</f>
        <v>0</v>
      </c>
      <c r="Y79" s="37"/>
    </row>
    <row r="80" spans="1:28" x14ac:dyDescent="0.3">
      <c r="A80" s="37"/>
      <c r="B80" s="38"/>
      <c r="C80" s="37"/>
      <c r="D80" s="37"/>
      <c r="E80" s="37"/>
      <c r="F80" s="37"/>
      <c r="G80" s="37"/>
      <c r="H80" s="37"/>
      <c r="I80" s="38"/>
      <c r="J80" s="37"/>
      <c r="K80" s="38"/>
      <c r="L80" s="37"/>
      <c r="M80" s="37"/>
      <c r="N80" s="37"/>
      <c r="O80" s="37"/>
      <c r="P80" s="37"/>
      <c r="Q80" s="37"/>
      <c r="R80" s="38"/>
      <c r="S80" s="37"/>
      <c r="T80" s="82"/>
      <c r="U80" s="82"/>
      <c r="V80" s="37"/>
      <c r="W80" s="37"/>
      <c r="X80" s="39"/>
      <c r="Y80" s="37"/>
    </row>
    <row r="81" spans="1:28" x14ac:dyDescent="0.3">
      <c r="A81" s="44" t="s">
        <v>33</v>
      </c>
      <c r="B81" s="6" t="s">
        <v>2</v>
      </c>
      <c r="C81" s="7" t="s">
        <v>3</v>
      </c>
      <c r="D81" s="4" t="s">
        <v>4</v>
      </c>
      <c r="E81" s="4" t="s">
        <v>5</v>
      </c>
      <c r="F81" s="4" t="s">
        <v>6</v>
      </c>
      <c r="G81" s="4" t="s">
        <v>7</v>
      </c>
      <c r="H81" s="4" t="s">
        <v>8</v>
      </c>
      <c r="I81" s="4" t="s">
        <v>9</v>
      </c>
      <c r="J81" s="44" t="s">
        <v>33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81" t="s">
        <v>11</v>
      </c>
      <c r="U81" s="81"/>
      <c r="W81" s="13" t="s">
        <v>21</v>
      </c>
      <c r="X81" s="15" t="s">
        <v>17</v>
      </c>
      <c r="Y81" s="37"/>
    </row>
    <row r="82" spans="1:28" x14ac:dyDescent="0.3">
      <c r="A82" s="44">
        <f>A72+1</f>
        <v>6</v>
      </c>
      <c r="B82" s="34" t="str">
        <f>TEXT(Tabelle121730302972086[[#This Row],[Datum]],"tttt")</f>
        <v>Montag</v>
      </c>
      <c r="C82" s="58">
        <f>C78+1</f>
        <v>44229</v>
      </c>
      <c r="D82" s="31"/>
      <c r="E82" s="31"/>
      <c r="F82" s="31"/>
      <c r="G82" s="31"/>
      <c r="H82" s="31"/>
      <c r="I82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4">
        <f>J72+1</f>
        <v>6</v>
      </c>
      <c r="K82" s="34" t="str">
        <f>TEXT(Tabelle12173030297208660[[#This Row],[Datum]],"tttt")</f>
        <v>Montag</v>
      </c>
      <c r="L82" s="58">
        <f>L78+1</f>
        <v>44229</v>
      </c>
      <c r="M82" s="31"/>
      <c r="N82" s="31"/>
      <c r="O82" s="31"/>
      <c r="P82" s="31"/>
      <c r="Q82" s="31"/>
      <c r="R82" s="49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2" s="81">
        <f t="shared" ref="T82:T83" si="30">R82-I82</f>
        <v>0</v>
      </c>
      <c r="U82" s="81"/>
      <c r="W82" s="17" t="s">
        <v>18</v>
      </c>
      <c r="X82" s="26">
        <f>I89</f>
        <v>0</v>
      </c>
      <c r="Y82" s="37"/>
    </row>
    <row r="83" spans="1:28" x14ac:dyDescent="0.3">
      <c r="B83" s="34" t="str">
        <f>TEXT(Tabelle121730302972086[[#This Row],[Datum]],"tttt")</f>
        <v>Dienstag</v>
      </c>
      <c r="C83" s="56">
        <f>C82+1</f>
        <v>44230</v>
      </c>
      <c r="D83" s="31"/>
      <c r="E83" s="31"/>
      <c r="F83" s="31"/>
      <c r="G83" s="31"/>
      <c r="H83" s="31"/>
      <c r="I83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4" t="str">
        <f>TEXT(Tabelle12173030297208660[[#This Row],[Datum]],"tttt")</f>
        <v>Dienstag</v>
      </c>
      <c r="L83" s="56">
        <f>L82+1</f>
        <v>44230</v>
      </c>
      <c r="M83" s="31"/>
      <c r="N83" s="31"/>
      <c r="O83" s="31"/>
      <c r="P83" s="31"/>
      <c r="Q83" s="31"/>
      <c r="R83" s="50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3" s="81">
        <f t="shared" si="30"/>
        <v>0</v>
      </c>
      <c r="U83" s="81"/>
      <c r="W83" s="17" t="s">
        <v>19</v>
      </c>
      <c r="X83" s="26">
        <f>R89</f>
        <v>0</v>
      </c>
      <c r="Y83" s="37"/>
    </row>
    <row r="84" spans="1:28" x14ac:dyDescent="0.3">
      <c r="B84" s="35" t="str">
        <f>TEXT(Tabelle121730302972086[[#This Row],[Datum]],"tttt")</f>
        <v>Mittwoch</v>
      </c>
      <c r="C84" s="56">
        <f t="shared" ref="C84:C88" si="31">C83+1</f>
        <v>44231</v>
      </c>
      <c r="D84" s="32"/>
      <c r="E84" s="32"/>
      <c r="F84" s="32"/>
      <c r="G84" s="32"/>
      <c r="H84" s="32"/>
      <c r="I84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5" t="str">
        <f>TEXT(Tabelle12173030297208660[[#This Row],[Datum]],"tttt")</f>
        <v>Mittwoch</v>
      </c>
      <c r="L84" s="56">
        <f t="shared" ref="L84:L88" si="32">L83+1</f>
        <v>44231</v>
      </c>
      <c r="M84" s="32"/>
      <c r="N84" s="32"/>
      <c r="O84" s="32"/>
      <c r="P84" s="32"/>
      <c r="Q84" s="32"/>
      <c r="R84" s="51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4" s="81">
        <f>R84-I84</f>
        <v>0</v>
      </c>
      <c r="U84" s="81"/>
      <c r="W84" s="20" t="s">
        <v>20</v>
      </c>
      <c r="X84" s="27">
        <f>X83-X82</f>
        <v>0</v>
      </c>
      <c r="Y84" s="37"/>
      <c r="Z84" s="66">
        <f>Z74+X84</f>
        <v>0</v>
      </c>
    </row>
    <row r="85" spans="1:28" x14ac:dyDescent="0.3">
      <c r="B85" s="34" t="str">
        <f>TEXT(Tabelle121730302972086[[#This Row],[Datum]],"tttt")</f>
        <v>Donnerstag</v>
      </c>
      <c r="C85" s="56">
        <f t="shared" si="31"/>
        <v>44232</v>
      </c>
      <c r="D85" s="31"/>
      <c r="E85" s="31"/>
      <c r="F85" s="31"/>
      <c r="G85" s="31"/>
      <c r="H85" s="31"/>
      <c r="I85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4" t="str">
        <f>TEXT(Tabelle12173030297208660[[#This Row],[Datum]],"tttt")</f>
        <v>Donnerstag</v>
      </c>
      <c r="L85" s="56">
        <f t="shared" si="32"/>
        <v>44232</v>
      </c>
      <c r="M85" s="31"/>
      <c r="N85" s="31"/>
      <c r="O85" s="31"/>
      <c r="P85" s="31"/>
      <c r="Q85" s="31"/>
      <c r="R85" s="50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5" s="81">
        <f>R85-I85</f>
        <v>0</v>
      </c>
      <c r="U85" s="81"/>
      <c r="Y85" s="37"/>
    </row>
    <row r="86" spans="1:28" x14ac:dyDescent="0.3">
      <c r="B86" s="36" t="str">
        <f>TEXT(Tabelle121730302972086[[#This Row],[Datum]],"tttt")</f>
        <v>Freitag</v>
      </c>
      <c r="C86" s="56">
        <f t="shared" si="31"/>
        <v>44233</v>
      </c>
      <c r="D86" s="32"/>
      <c r="E86" s="32"/>
      <c r="F86" s="32"/>
      <c r="G86" s="32"/>
      <c r="H86" s="32"/>
      <c r="I86" s="52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6" t="str">
        <f>TEXT(Tabelle12173030297208660[[#This Row],[Datum]],"tttt")</f>
        <v>Freitag</v>
      </c>
      <c r="L86" s="56">
        <f t="shared" si="32"/>
        <v>44233</v>
      </c>
      <c r="M86" s="32"/>
      <c r="N86" s="32"/>
      <c r="O86" s="32"/>
      <c r="P86" s="32"/>
      <c r="Q86" s="32"/>
      <c r="R86" s="52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6" s="81">
        <f>R86-I86</f>
        <v>0</v>
      </c>
      <c r="U86" s="81"/>
      <c r="Y86" s="37"/>
    </row>
    <row r="87" spans="1:28" x14ac:dyDescent="0.3">
      <c r="B87" s="34" t="str">
        <f>TEXT(Tabelle121730302972086[[#This Row],[Datum]],"tttt")</f>
        <v>Samstag</v>
      </c>
      <c r="C87" s="56">
        <f t="shared" si="31"/>
        <v>44234</v>
      </c>
      <c r="D87" s="31"/>
      <c r="E87" s="31"/>
      <c r="F87" s="31"/>
      <c r="G87" s="31"/>
      <c r="H87" s="31"/>
      <c r="I87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4" t="str">
        <f>TEXT(Tabelle12173030297208660[[#This Row],[Datum]],"tttt")</f>
        <v>Samstag</v>
      </c>
      <c r="L87" s="56">
        <f t="shared" si="32"/>
        <v>44234</v>
      </c>
      <c r="M87" s="31"/>
      <c r="N87" s="31"/>
      <c r="O87" s="31"/>
      <c r="P87" s="31"/>
      <c r="Q87" s="31"/>
      <c r="R87" s="50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7" s="81">
        <f t="shared" ref="T87:T88" si="33">R87-I87</f>
        <v>0</v>
      </c>
      <c r="U87" s="81"/>
      <c r="Y87" s="37"/>
    </row>
    <row r="88" spans="1:28" s="40" customFormat="1" x14ac:dyDescent="0.3">
      <c r="B88" s="36" t="str">
        <f>TEXT(Tabelle121730302972086[[#This Row],[Datum]],"tttt")</f>
        <v>Sonntag</v>
      </c>
      <c r="C88" s="57">
        <f t="shared" si="31"/>
        <v>44235</v>
      </c>
      <c r="D88" s="32"/>
      <c r="E88" s="32"/>
      <c r="F88" s="32"/>
      <c r="G88" s="32"/>
      <c r="H88" s="32"/>
      <c r="I88" s="53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6" t="str">
        <f>TEXT(Tabelle12173030297208660[[#This Row],[Datum]],"tttt")</f>
        <v>Sonntag</v>
      </c>
      <c r="L88" s="57">
        <f t="shared" si="32"/>
        <v>44235</v>
      </c>
      <c r="M88" s="32"/>
      <c r="N88" s="32"/>
      <c r="O88" s="32"/>
      <c r="P88" s="32"/>
      <c r="Q88" s="32"/>
      <c r="R88" s="53" t="str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0:00</v>
      </c>
      <c r="T88" s="81">
        <f t="shared" si="33"/>
        <v>0</v>
      </c>
      <c r="U88" s="81"/>
      <c r="V88" s="42"/>
      <c r="W88" s="42"/>
      <c r="X88" s="45"/>
      <c r="Y88" s="37"/>
      <c r="AB88" s="41"/>
    </row>
    <row r="89" spans="1:28" x14ac:dyDescent="0.3">
      <c r="B89" s="5"/>
      <c r="C89" s="3"/>
      <c r="D89" s="1"/>
      <c r="E89" s="1"/>
      <c r="F89" s="1"/>
      <c r="G89" s="1">
        <f t="shared" ref="G89:H89" si="34">SUM(G82:G88)</f>
        <v>0</v>
      </c>
      <c r="H89" s="1">
        <f t="shared" si="3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35">SUM(P82:P88)</f>
        <v>0</v>
      </c>
      <c r="Q89" s="1">
        <f t="shared" si="35"/>
        <v>0</v>
      </c>
      <c r="R89" s="1">
        <f>SUBTOTAL(109,R82:R88)</f>
        <v>0</v>
      </c>
      <c r="Y89" s="37"/>
    </row>
    <row r="90" spans="1:28" x14ac:dyDescent="0.3">
      <c r="A90" s="37"/>
      <c r="B90" s="38"/>
      <c r="C90" s="37"/>
      <c r="D90" s="37"/>
      <c r="E90" s="37"/>
      <c r="F90" s="37"/>
      <c r="G90" s="37"/>
      <c r="H90" s="37"/>
      <c r="I90" s="38"/>
      <c r="J90" s="37"/>
      <c r="K90" s="38"/>
      <c r="L90" s="37"/>
      <c r="M90" s="37"/>
      <c r="N90" s="37"/>
      <c r="O90" s="37"/>
      <c r="P90" s="37"/>
      <c r="Q90" s="37"/>
      <c r="R90" s="38"/>
      <c r="S90" s="37"/>
      <c r="T90" s="82"/>
      <c r="U90" s="82"/>
      <c r="V90" s="37"/>
      <c r="W90" s="37"/>
      <c r="X90" s="39"/>
      <c r="Y90" s="37"/>
    </row>
    <row r="91" spans="1:28" x14ac:dyDescent="0.3">
      <c r="A91" s="44" t="s">
        <v>33</v>
      </c>
      <c r="B91" s="6" t="s">
        <v>2</v>
      </c>
      <c r="C91" s="7" t="s">
        <v>3</v>
      </c>
      <c r="D91" s="4" t="s">
        <v>4</v>
      </c>
      <c r="E91" s="4" t="s">
        <v>5</v>
      </c>
      <c r="F91" s="4" t="s">
        <v>6</v>
      </c>
      <c r="G91" s="4" t="s">
        <v>7</v>
      </c>
      <c r="H91" s="4" t="s">
        <v>8</v>
      </c>
      <c r="I91" s="4" t="s">
        <v>9</v>
      </c>
      <c r="J91" s="44" t="s">
        <v>33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81" t="s">
        <v>11</v>
      </c>
      <c r="U91" s="81"/>
      <c r="W91" s="13" t="s">
        <v>21</v>
      </c>
      <c r="X91" s="15" t="s">
        <v>17</v>
      </c>
      <c r="Y91" s="37"/>
    </row>
    <row r="92" spans="1:28" x14ac:dyDescent="0.3">
      <c r="A92" s="44">
        <f>A82+1</f>
        <v>7</v>
      </c>
      <c r="B92" s="34" t="str">
        <f>TEXT(Tabelle121730302972087[[#This Row],[Datum]],"tttt")</f>
        <v>Montag</v>
      </c>
      <c r="C92" s="58">
        <f>C88+1</f>
        <v>44236</v>
      </c>
      <c r="D92" s="31"/>
      <c r="E92" s="31"/>
      <c r="F92" s="31"/>
      <c r="G92" s="31"/>
      <c r="H92" s="31"/>
      <c r="I92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4">
        <f>J82+1</f>
        <v>7</v>
      </c>
      <c r="K92" s="34" t="str">
        <f>TEXT(Tabelle12173030297208761[[#This Row],[Datum]],"tttt")</f>
        <v>Montag</v>
      </c>
      <c r="L92" s="58">
        <f>L88+1</f>
        <v>44236</v>
      </c>
      <c r="M92" s="31"/>
      <c r="N92" s="31"/>
      <c r="O92" s="31"/>
      <c r="P92" s="31"/>
      <c r="Q92" s="31"/>
      <c r="R92" s="49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2" s="81">
        <f t="shared" ref="T92:T93" si="36">R92-I92</f>
        <v>0</v>
      </c>
      <c r="U92" s="81"/>
      <c r="W92" s="17" t="s">
        <v>18</v>
      </c>
      <c r="X92" s="26">
        <f>I99</f>
        <v>0</v>
      </c>
      <c r="Y92" s="37"/>
    </row>
    <row r="93" spans="1:28" x14ac:dyDescent="0.3">
      <c r="B93" s="34" t="str">
        <f>TEXT(Tabelle121730302972087[[#This Row],[Datum]],"tttt")</f>
        <v>Dienstag</v>
      </c>
      <c r="C93" s="56">
        <f>C92+1</f>
        <v>44237</v>
      </c>
      <c r="D93" s="31"/>
      <c r="E93" s="31"/>
      <c r="F93" s="31"/>
      <c r="G93" s="31"/>
      <c r="H93" s="31"/>
      <c r="I93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4" t="str">
        <f>TEXT(Tabelle12173030297208761[[#This Row],[Datum]],"tttt")</f>
        <v>Dienstag</v>
      </c>
      <c r="L93" s="56">
        <f>L92+1</f>
        <v>44237</v>
      </c>
      <c r="M93" s="31"/>
      <c r="N93" s="31"/>
      <c r="O93" s="31"/>
      <c r="P93" s="31"/>
      <c r="Q93" s="31"/>
      <c r="R93" s="50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3" s="81">
        <f t="shared" si="36"/>
        <v>0</v>
      </c>
      <c r="U93" s="81"/>
      <c r="W93" s="17" t="s">
        <v>19</v>
      </c>
      <c r="X93" s="26">
        <f>R99</f>
        <v>0</v>
      </c>
      <c r="Y93" s="37"/>
    </row>
    <row r="94" spans="1:28" x14ac:dyDescent="0.3">
      <c r="B94" s="35" t="str">
        <f>TEXT(Tabelle121730302972087[[#This Row],[Datum]],"tttt")</f>
        <v>Mittwoch</v>
      </c>
      <c r="C94" s="56">
        <f t="shared" ref="C94:C98" si="37">C93+1</f>
        <v>44238</v>
      </c>
      <c r="D94" s="32"/>
      <c r="E94" s="32"/>
      <c r="F94" s="32"/>
      <c r="G94" s="32"/>
      <c r="H94" s="32"/>
      <c r="I94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5" t="str">
        <f>TEXT(Tabelle12173030297208761[[#This Row],[Datum]],"tttt")</f>
        <v>Mittwoch</v>
      </c>
      <c r="L94" s="56">
        <f t="shared" ref="L94:L98" si="38">L93+1</f>
        <v>44238</v>
      </c>
      <c r="M94" s="32"/>
      <c r="N94" s="32"/>
      <c r="O94" s="32"/>
      <c r="P94" s="32"/>
      <c r="Q94" s="32"/>
      <c r="R94" s="51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4" s="81">
        <f>R94-I94</f>
        <v>0</v>
      </c>
      <c r="U94" s="81"/>
      <c r="W94" s="20" t="s">
        <v>20</v>
      </c>
      <c r="X94" s="27">
        <f>X93-X92</f>
        <v>0</v>
      </c>
      <c r="Y94" s="37"/>
      <c r="Z94" s="66">
        <f>Z84+X94</f>
        <v>0</v>
      </c>
    </row>
    <row r="95" spans="1:28" x14ac:dyDescent="0.3">
      <c r="B95" s="34" t="str">
        <f>TEXT(Tabelle121730302972087[[#This Row],[Datum]],"tttt")</f>
        <v>Donnerstag</v>
      </c>
      <c r="C95" s="56">
        <f t="shared" si="37"/>
        <v>44239</v>
      </c>
      <c r="D95" s="31"/>
      <c r="E95" s="31"/>
      <c r="F95" s="31"/>
      <c r="G95" s="31"/>
      <c r="H95" s="31"/>
      <c r="I95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4" t="str">
        <f>TEXT(Tabelle12173030297208761[[#This Row],[Datum]],"tttt")</f>
        <v>Donnerstag</v>
      </c>
      <c r="L95" s="56">
        <f t="shared" si="38"/>
        <v>44239</v>
      </c>
      <c r="M95" s="31"/>
      <c r="N95" s="31"/>
      <c r="O95" s="31"/>
      <c r="P95" s="31"/>
      <c r="Q95" s="31"/>
      <c r="R95" s="50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5" s="81">
        <f>R95-I95</f>
        <v>0</v>
      </c>
      <c r="U95" s="81"/>
      <c r="Y95" s="37"/>
    </row>
    <row r="96" spans="1:28" x14ac:dyDescent="0.3">
      <c r="B96" s="36" t="str">
        <f>TEXT(Tabelle121730302972087[[#This Row],[Datum]],"tttt")</f>
        <v>Freitag</v>
      </c>
      <c r="C96" s="56">
        <f t="shared" si="37"/>
        <v>44240</v>
      </c>
      <c r="D96" s="32"/>
      <c r="E96" s="32"/>
      <c r="F96" s="32"/>
      <c r="G96" s="32"/>
      <c r="H96" s="32"/>
      <c r="I96" s="52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6" t="str">
        <f>TEXT(Tabelle12173030297208761[[#This Row],[Datum]],"tttt")</f>
        <v>Freitag</v>
      </c>
      <c r="L96" s="56">
        <f t="shared" si="38"/>
        <v>44240</v>
      </c>
      <c r="M96" s="32"/>
      <c r="N96" s="32"/>
      <c r="O96" s="32"/>
      <c r="P96" s="32"/>
      <c r="Q96" s="32"/>
      <c r="R96" s="52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6" s="81">
        <f>R96-I96</f>
        <v>0</v>
      </c>
      <c r="U96" s="81"/>
      <c r="Y96" s="37"/>
    </row>
    <row r="97" spans="1:28" x14ac:dyDescent="0.3">
      <c r="B97" s="34" t="str">
        <f>TEXT(Tabelle121730302972087[[#This Row],[Datum]],"tttt")</f>
        <v>Samstag</v>
      </c>
      <c r="C97" s="56">
        <f t="shared" si="37"/>
        <v>44241</v>
      </c>
      <c r="D97" s="31"/>
      <c r="E97" s="31"/>
      <c r="F97" s="31"/>
      <c r="G97" s="31"/>
      <c r="H97" s="31"/>
      <c r="I97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4" t="str">
        <f>TEXT(Tabelle12173030297208761[[#This Row],[Datum]],"tttt")</f>
        <v>Samstag</v>
      </c>
      <c r="L97" s="56">
        <f t="shared" si="38"/>
        <v>44241</v>
      </c>
      <c r="M97" s="31"/>
      <c r="N97" s="31"/>
      <c r="O97" s="31"/>
      <c r="P97" s="31"/>
      <c r="Q97" s="31"/>
      <c r="R97" s="50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7" s="81">
        <f t="shared" ref="T97:T98" si="39">R97-I97</f>
        <v>0</v>
      </c>
      <c r="U97" s="81"/>
      <c r="Y97" s="37"/>
    </row>
    <row r="98" spans="1:28" s="40" customFormat="1" x14ac:dyDescent="0.3">
      <c r="B98" s="36" t="str">
        <f>TEXT(Tabelle121730302972087[[#This Row],[Datum]],"tttt")</f>
        <v>Sonntag</v>
      </c>
      <c r="C98" s="57">
        <f t="shared" si="37"/>
        <v>44242</v>
      </c>
      <c r="D98" s="32"/>
      <c r="E98" s="32"/>
      <c r="F98" s="32"/>
      <c r="G98" s="32"/>
      <c r="H98" s="32"/>
      <c r="I98" s="53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6" t="str">
        <f>TEXT(Tabelle12173030297208761[[#This Row],[Datum]],"tttt")</f>
        <v>Sonntag</v>
      </c>
      <c r="L98" s="57">
        <f t="shared" si="38"/>
        <v>44242</v>
      </c>
      <c r="M98" s="32"/>
      <c r="N98" s="32"/>
      <c r="O98" s="32"/>
      <c r="P98" s="32"/>
      <c r="Q98" s="32"/>
      <c r="R98" s="53" t="str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0:00</v>
      </c>
      <c r="T98" s="81">
        <f t="shared" si="39"/>
        <v>0</v>
      </c>
      <c r="U98" s="81"/>
      <c r="V98" s="42"/>
      <c r="W98" s="42"/>
      <c r="X98" s="45"/>
      <c r="Y98" s="37"/>
      <c r="AB98" s="41"/>
    </row>
    <row r="99" spans="1:28" x14ac:dyDescent="0.3">
      <c r="B99" s="5"/>
      <c r="C99" s="3"/>
      <c r="D99" s="1"/>
      <c r="E99" s="1"/>
      <c r="F99" s="1"/>
      <c r="G99" s="1">
        <f t="shared" ref="G99:H99" si="40">SUM(G92:G98)</f>
        <v>0</v>
      </c>
      <c r="H99" s="1">
        <f t="shared" si="40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41">SUM(P92:P98)</f>
        <v>0</v>
      </c>
      <c r="Q99" s="1">
        <f t="shared" si="41"/>
        <v>0</v>
      </c>
      <c r="R99" s="1">
        <f>SUBTOTAL(109,R92:R98)</f>
        <v>0</v>
      </c>
      <c r="Y99" s="37"/>
    </row>
    <row r="100" spans="1:28" x14ac:dyDescent="0.3">
      <c r="A100" s="37"/>
      <c r="B100" s="38"/>
      <c r="C100" s="37"/>
      <c r="D100" s="37"/>
      <c r="E100" s="37"/>
      <c r="F100" s="37"/>
      <c r="G100" s="37"/>
      <c r="H100" s="37"/>
      <c r="I100" s="38"/>
      <c r="J100" s="37"/>
      <c r="K100" s="38"/>
      <c r="L100" s="37"/>
      <c r="M100" s="37"/>
      <c r="N100" s="37"/>
      <c r="O100" s="37"/>
      <c r="P100" s="37"/>
      <c r="Q100" s="37"/>
      <c r="R100" s="38"/>
      <c r="S100" s="37"/>
      <c r="T100" s="82"/>
      <c r="U100" s="82"/>
      <c r="V100" s="37"/>
      <c r="W100" s="37"/>
      <c r="X100" s="39"/>
      <c r="Y100" s="37"/>
    </row>
    <row r="101" spans="1:28" x14ac:dyDescent="0.3">
      <c r="A101" s="44" t="s">
        <v>33</v>
      </c>
      <c r="B101" s="6" t="s">
        <v>2</v>
      </c>
      <c r="C101" s="7" t="s">
        <v>3</v>
      </c>
      <c r="D101" s="4" t="s">
        <v>4</v>
      </c>
      <c r="E101" s="4" t="s">
        <v>5</v>
      </c>
      <c r="F101" s="4" t="s">
        <v>6</v>
      </c>
      <c r="G101" s="4" t="s">
        <v>7</v>
      </c>
      <c r="H101" s="4" t="s">
        <v>8</v>
      </c>
      <c r="I101" s="4" t="s">
        <v>9</v>
      </c>
      <c r="J101" s="44" t="s">
        <v>33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81" t="s">
        <v>11</v>
      </c>
      <c r="U101" s="81"/>
      <c r="W101" s="13" t="s">
        <v>21</v>
      </c>
      <c r="X101" s="15" t="s">
        <v>17</v>
      </c>
      <c r="Y101" s="37"/>
    </row>
    <row r="102" spans="1:28" x14ac:dyDescent="0.3">
      <c r="A102" s="44">
        <f>A92+1</f>
        <v>8</v>
      </c>
      <c r="B102" s="34" t="str">
        <f>TEXT(Tabelle1217303029720838[[#This Row],[Datum]],"tttt")</f>
        <v>Montag</v>
      </c>
      <c r="C102" s="58">
        <f>C98+1</f>
        <v>44243</v>
      </c>
      <c r="D102" s="31"/>
      <c r="E102" s="31"/>
      <c r="F102" s="31"/>
      <c r="G102" s="31"/>
      <c r="H102" s="31"/>
      <c r="I102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4">
        <f>J92+1</f>
        <v>8</v>
      </c>
      <c r="K102" s="34" t="str">
        <f>TEXT(Tabelle121730302972083862[[#This Row],[Datum]],"tttt")</f>
        <v>Montag</v>
      </c>
      <c r="L102" s="58">
        <f>L98+1</f>
        <v>44243</v>
      </c>
      <c r="M102" s="31"/>
      <c r="N102" s="31"/>
      <c r="O102" s="31"/>
      <c r="P102" s="31"/>
      <c r="Q102" s="31"/>
      <c r="R102" s="49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2" s="81">
        <f t="shared" ref="T102:T103" si="42">R102-I102</f>
        <v>0</v>
      </c>
      <c r="U102" s="81"/>
      <c r="W102" s="17" t="s">
        <v>18</v>
      </c>
      <c r="X102" s="26">
        <f>I109</f>
        <v>0</v>
      </c>
      <c r="Y102" s="37"/>
    </row>
    <row r="103" spans="1:28" x14ac:dyDescent="0.3">
      <c r="B103" s="34" t="str">
        <f>TEXT(Tabelle1217303029720838[[#This Row],[Datum]],"tttt")</f>
        <v>Dienstag</v>
      </c>
      <c r="C103" s="56">
        <f>C102+1</f>
        <v>44244</v>
      </c>
      <c r="D103" s="31"/>
      <c r="E103" s="31"/>
      <c r="F103" s="31"/>
      <c r="G103" s="31"/>
      <c r="H103" s="31"/>
      <c r="I103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4" t="str">
        <f>TEXT(Tabelle121730302972083862[[#This Row],[Datum]],"tttt")</f>
        <v>Dienstag</v>
      </c>
      <c r="L103" s="56">
        <f>L102+1</f>
        <v>44244</v>
      </c>
      <c r="M103" s="31"/>
      <c r="N103" s="31"/>
      <c r="O103" s="31"/>
      <c r="P103" s="31"/>
      <c r="Q103" s="31"/>
      <c r="R103" s="50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3" s="81">
        <f t="shared" si="42"/>
        <v>0</v>
      </c>
      <c r="U103" s="81"/>
      <c r="W103" s="17" t="s">
        <v>19</v>
      </c>
      <c r="X103" s="26">
        <f>R109</f>
        <v>0</v>
      </c>
      <c r="Y103" s="37"/>
    </row>
    <row r="104" spans="1:28" x14ac:dyDescent="0.3">
      <c r="B104" s="35" t="str">
        <f>TEXT(Tabelle1217303029720838[[#This Row],[Datum]],"tttt")</f>
        <v>Mittwoch</v>
      </c>
      <c r="C104" s="56">
        <f t="shared" ref="C104:C108" si="43">C103+1</f>
        <v>44245</v>
      </c>
      <c r="D104" s="32"/>
      <c r="E104" s="32"/>
      <c r="F104" s="32"/>
      <c r="G104" s="32"/>
      <c r="H104" s="32"/>
      <c r="I104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5" t="str">
        <f>TEXT(Tabelle121730302972083862[[#This Row],[Datum]],"tttt")</f>
        <v>Mittwoch</v>
      </c>
      <c r="L104" s="56">
        <f t="shared" ref="L104:L108" si="44">L103+1</f>
        <v>44245</v>
      </c>
      <c r="M104" s="32"/>
      <c r="N104" s="32"/>
      <c r="O104" s="32"/>
      <c r="P104" s="32"/>
      <c r="Q104" s="32"/>
      <c r="R104" s="51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4" s="81">
        <f>R104-I104</f>
        <v>0</v>
      </c>
      <c r="U104" s="81"/>
      <c r="W104" s="20" t="s">
        <v>20</v>
      </c>
      <c r="X104" s="27">
        <f>X103-X102</f>
        <v>0</v>
      </c>
      <c r="Y104" s="37"/>
      <c r="Z104" s="66">
        <f>Z94+X104</f>
        <v>0</v>
      </c>
    </row>
    <row r="105" spans="1:28" x14ac:dyDescent="0.3">
      <c r="B105" s="34" t="str">
        <f>TEXT(Tabelle1217303029720838[[#This Row],[Datum]],"tttt")</f>
        <v>Donnerstag</v>
      </c>
      <c r="C105" s="56">
        <f t="shared" si="43"/>
        <v>44246</v>
      </c>
      <c r="D105" s="31"/>
      <c r="E105" s="31"/>
      <c r="F105" s="31"/>
      <c r="G105" s="31"/>
      <c r="H105" s="31"/>
      <c r="I105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4" t="str">
        <f>TEXT(Tabelle121730302972083862[[#This Row],[Datum]],"tttt")</f>
        <v>Donnerstag</v>
      </c>
      <c r="L105" s="56">
        <f t="shared" si="44"/>
        <v>44246</v>
      </c>
      <c r="M105" s="31"/>
      <c r="N105" s="31"/>
      <c r="O105" s="31"/>
      <c r="P105" s="31"/>
      <c r="Q105" s="31"/>
      <c r="R105" s="50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5" s="81">
        <f>R105-I105</f>
        <v>0</v>
      </c>
      <c r="U105" s="81"/>
      <c r="Y105" s="37"/>
    </row>
    <row r="106" spans="1:28" x14ac:dyDescent="0.3">
      <c r="B106" s="36" t="str">
        <f>TEXT(Tabelle1217303029720838[[#This Row],[Datum]],"tttt")</f>
        <v>Freitag</v>
      </c>
      <c r="C106" s="56">
        <f t="shared" si="43"/>
        <v>44247</v>
      </c>
      <c r="D106" s="32"/>
      <c r="E106" s="32"/>
      <c r="F106" s="32"/>
      <c r="G106" s="32"/>
      <c r="H106" s="32"/>
      <c r="I106" s="52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6" t="str">
        <f>TEXT(Tabelle121730302972083862[[#This Row],[Datum]],"tttt")</f>
        <v>Freitag</v>
      </c>
      <c r="L106" s="56">
        <f t="shared" si="44"/>
        <v>44247</v>
      </c>
      <c r="M106" s="32"/>
      <c r="N106" s="32"/>
      <c r="O106" s="32"/>
      <c r="P106" s="32"/>
      <c r="Q106" s="32"/>
      <c r="R106" s="52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6" s="81">
        <f>R106-I106</f>
        <v>0</v>
      </c>
      <c r="U106" s="81"/>
      <c r="Y106" s="37"/>
    </row>
    <row r="107" spans="1:28" x14ac:dyDescent="0.3">
      <c r="B107" s="34" t="str">
        <f>TEXT(Tabelle1217303029720838[[#This Row],[Datum]],"tttt")</f>
        <v>Samstag</v>
      </c>
      <c r="C107" s="56">
        <f t="shared" si="43"/>
        <v>44248</v>
      </c>
      <c r="D107" s="31"/>
      <c r="E107" s="31"/>
      <c r="F107" s="31"/>
      <c r="G107" s="31"/>
      <c r="H107" s="31"/>
      <c r="I107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4" t="str">
        <f>TEXT(Tabelle121730302972083862[[#This Row],[Datum]],"tttt")</f>
        <v>Samstag</v>
      </c>
      <c r="L107" s="56">
        <f t="shared" si="44"/>
        <v>44248</v>
      </c>
      <c r="M107" s="31"/>
      <c r="N107" s="31"/>
      <c r="O107" s="31"/>
      <c r="P107" s="31"/>
      <c r="Q107" s="31"/>
      <c r="R107" s="50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7" s="81">
        <f t="shared" ref="T107:T108" si="45">R107-I107</f>
        <v>0</v>
      </c>
      <c r="U107" s="81"/>
      <c r="Y107" s="37"/>
    </row>
    <row r="108" spans="1:28" s="40" customFormat="1" x14ac:dyDescent="0.3">
      <c r="B108" s="36" t="str">
        <f>TEXT(Tabelle1217303029720838[[#This Row],[Datum]],"tttt")</f>
        <v>Sonntag</v>
      </c>
      <c r="C108" s="57">
        <f t="shared" si="43"/>
        <v>44249</v>
      </c>
      <c r="D108" s="32"/>
      <c r="E108" s="32"/>
      <c r="F108" s="32"/>
      <c r="G108" s="32"/>
      <c r="H108" s="32"/>
      <c r="I108" s="53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6" t="str">
        <f>TEXT(Tabelle121730302972083862[[#This Row],[Datum]],"tttt")</f>
        <v>Sonntag</v>
      </c>
      <c r="L108" s="57">
        <f t="shared" si="44"/>
        <v>44249</v>
      </c>
      <c r="M108" s="32"/>
      <c r="N108" s="32"/>
      <c r="O108" s="32"/>
      <c r="P108" s="32"/>
      <c r="Q108" s="32"/>
      <c r="R108" s="53" t="str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0:00</v>
      </c>
      <c r="T108" s="81">
        <f t="shared" si="45"/>
        <v>0</v>
      </c>
      <c r="U108" s="81"/>
      <c r="V108" s="42"/>
      <c r="W108" s="42"/>
      <c r="X108" s="45"/>
      <c r="Y108" s="37"/>
      <c r="AB108" s="41"/>
    </row>
    <row r="109" spans="1:28" x14ac:dyDescent="0.3">
      <c r="B109" s="5"/>
      <c r="C109" s="3"/>
      <c r="D109" s="1"/>
      <c r="E109" s="1"/>
      <c r="F109" s="1"/>
      <c r="G109" s="1">
        <f t="shared" ref="G109:H109" si="46">SUM(G102:G108)</f>
        <v>0</v>
      </c>
      <c r="H109" s="1">
        <f t="shared" si="46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47">SUM(P102:P108)</f>
        <v>0</v>
      </c>
      <c r="Q109" s="1">
        <f t="shared" si="47"/>
        <v>0</v>
      </c>
      <c r="R109" s="1">
        <f>SUBTOTAL(109,R102:R108)</f>
        <v>0</v>
      </c>
      <c r="Y109" s="37"/>
    </row>
    <row r="110" spans="1:28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82"/>
      <c r="U110" s="82"/>
      <c r="V110" s="37"/>
      <c r="W110" s="37"/>
      <c r="X110" s="39"/>
      <c r="Y110" s="37"/>
    </row>
    <row r="111" spans="1:28" x14ac:dyDescent="0.3">
      <c r="A111" s="44" t="s">
        <v>33</v>
      </c>
      <c r="B111" s="6" t="s">
        <v>2</v>
      </c>
      <c r="C111" s="7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44" t="s">
        <v>33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81" t="s">
        <v>11</v>
      </c>
      <c r="U111" s="81"/>
      <c r="W111" s="13" t="s">
        <v>21</v>
      </c>
      <c r="X111" s="15" t="s">
        <v>17</v>
      </c>
      <c r="Y111" s="37"/>
    </row>
    <row r="112" spans="1:28" x14ac:dyDescent="0.3">
      <c r="A112" s="44">
        <f>A102+1</f>
        <v>9</v>
      </c>
      <c r="B112" s="34" t="str">
        <f>TEXT(Tabelle1217303029720849[[#This Row],[Datum]],"tttt")</f>
        <v>Montag</v>
      </c>
      <c r="C112" s="58">
        <f>C108+1</f>
        <v>44250</v>
      </c>
      <c r="D112" s="31"/>
      <c r="E112" s="31"/>
      <c r="F112" s="31"/>
      <c r="G112" s="31"/>
      <c r="H112" s="31"/>
      <c r="I112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4">
        <f>J102+1</f>
        <v>9</v>
      </c>
      <c r="K112" s="34" t="str">
        <f>TEXT(Tabelle121730302972084963[[#This Row],[Datum]],"tttt")</f>
        <v>Montag</v>
      </c>
      <c r="L112" s="58">
        <f>L108+1</f>
        <v>44250</v>
      </c>
      <c r="M112" s="31"/>
      <c r="N112" s="31"/>
      <c r="O112" s="31"/>
      <c r="P112" s="31"/>
      <c r="Q112" s="31"/>
      <c r="R112" s="49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2" s="81">
        <f t="shared" ref="T112:T113" si="48">R112-I112</f>
        <v>0</v>
      </c>
      <c r="U112" s="81"/>
      <c r="W112" s="17" t="s">
        <v>18</v>
      </c>
      <c r="X112" s="26">
        <f>I119</f>
        <v>0</v>
      </c>
      <c r="Y112" s="37"/>
    </row>
    <row r="113" spans="1:29" x14ac:dyDescent="0.3">
      <c r="B113" s="34" t="str">
        <f>TEXT(Tabelle1217303029720849[[#This Row],[Datum]],"tttt")</f>
        <v>Dienstag</v>
      </c>
      <c r="C113" s="56">
        <f>C112+1</f>
        <v>44251</v>
      </c>
      <c r="D113" s="31"/>
      <c r="E113" s="31"/>
      <c r="F113" s="31"/>
      <c r="G113" s="31"/>
      <c r="H113" s="31"/>
      <c r="I113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4" t="str">
        <f>TEXT(Tabelle121730302972084963[[#This Row],[Datum]],"tttt")</f>
        <v>Dienstag</v>
      </c>
      <c r="L113" s="56">
        <f>L112+1</f>
        <v>44251</v>
      </c>
      <c r="M113" s="31"/>
      <c r="N113" s="31"/>
      <c r="O113" s="31"/>
      <c r="P113" s="31"/>
      <c r="Q113" s="31"/>
      <c r="R113" s="50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3" s="81">
        <f t="shared" si="48"/>
        <v>0</v>
      </c>
      <c r="U113" s="81"/>
      <c r="W113" s="17" t="s">
        <v>19</v>
      </c>
      <c r="X113" s="26">
        <f>R119</f>
        <v>0</v>
      </c>
      <c r="Y113" s="37"/>
    </row>
    <row r="114" spans="1:29" x14ac:dyDescent="0.3">
      <c r="B114" s="35" t="str">
        <f>TEXT(Tabelle1217303029720849[[#This Row],[Datum]],"tttt")</f>
        <v>Mittwoch</v>
      </c>
      <c r="C114" s="56">
        <f t="shared" ref="C114:C118" si="49">C113+1</f>
        <v>44252</v>
      </c>
      <c r="D114" s="32"/>
      <c r="E114" s="32"/>
      <c r="F114" s="32"/>
      <c r="G114" s="32"/>
      <c r="H114" s="32"/>
      <c r="I114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5" t="str">
        <f>TEXT(Tabelle121730302972084963[[#This Row],[Datum]],"tttt")</f>
        <v>Mittwoch</v>
      </c>
      <c r="L114" s="56">
        <f t="shared" ref="L114:L118" si="50">L113+1</f>
        <v>44252</v>
      </c>
      <c r="M114" s="32"/>
      <c r="N114" s="32"/>
      <c r="O114" s="32"/>
      <c r="P114" s="32"/>
      <c r="Q114" s="32"/>
      <c r="R114" s="51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4" s="81">
        <f>R114-I114</f>
        <v>0</v>
      </c>
      <c r="U114" s="81"/>
      <c r="W114" s="20" t="s">
        <v>20</v>
      </c>
      <c r="X114" s="27">
        <f>X113-X112</f>
        <v>0</v>
      </c>
      <c r="Y114" s="37"/>
      <c r="Z114" s="66">
        <f>Z104+X114</f>
        <v>0</v>
      </c>
    </row>
    <row r="115" spans="1:29" x14ac:dyDescent="0.3">
      <c r="B115" s="34" t="str">
        <f>TEXT(Tabelle1217303029720849[[#This Row],[Datum]],"tttt")</f>
        <v>Donnerstag</v>
      </c>
      <c r="C115" s="56">
        <f t="shared" si="49"/>
        <v>44253</v>
      </c>
      <c r="D115" s="31"/>
      <c r="E115" s="31"/>
      <c r="F115" s="31"/>
      <c r="G115" s="31"/>
      <c r="H115" s="31"/>
      <c r="I115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4" t="str">
        <f>TEXT(Tabelle121730302972084963[[#This Row],[Datum]],"tttt")</f>
        <v>Donnerstag</v>
      </c>
      <c r="L115" s="56">
        <f t="shared" si="50"/>
        <v>44253</v>
      </c>
      <c r="M115" s="31"/>
      <c r="N115" s="31"/>
      <c r="O115" s="31"/>
      <c r="P115" s="31"/>
      <c r="Q115" s="31"/>
      <c r="R115" s="50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5" s="81">
        <f>R115-I115</f>
        <v>0</v>
      </c>
      <c r="U115" s="81"/>
      <c r="Y115" s="37"/>
    </row>
    <row r="116" spans="1:29" x14ac:dyDescent="0.3">
      <c r="B116" s="36" t="str">
        <f>TEXT(Tabelle1217303029720849[[#This Row],[Datum]],"tttt")</f>
        <v>Freitag</v>
      </c>
      <c r="C116" s="56">
        <f t="shared" si="49"/>
        <v>44254</v>
      </c>
      <c r="D116" s="32"/>
      <c r="E116" s="32"/>
      <c r="F116" s="32"/>
      <c r="G116" s="32"/>
      <c r="H116" s="32"/>
      <c r="I116" s="52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6" t="str">
        <f>TEXT(Tabelle121730302972084963[[#This Row],[Datum]],"tttt")</f>
        <v>Freitag</v>
      </c>
      <c r="L116" s="56">
        <f t="shared" si="50"/>
        <v>44254</v>
      </c>
      <c r="M116" s="32"/>
      <c r="N116" s="32"/>
      <c r="O116" s="32"/>
      <c r="P116" s="32"/>
      <c r="Q116" s="32"/>
      <c r="R116" s="52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6" s="81">
        <f>R116-I116</f>
        <v>0</v>
      </c>
      <c r="U116" s="81"/>
      <c r="Y116" s="37"/>
    </row>
    <row r="117" spans="1:29" x14ac:dyDescent="0.3">
      <c r="B117" s="34" t="str">
        <f>TEXT(Tabelle1217303029720849[[#This Row],[Datum]],"tttt")</f>
        <v>Samstag</v>
      </c>
      <c r="C117" s="56">
        <f t="shared" si="49"/>
        <v>44255</v>
      </c>
      <c r="D117" s="31"/>
      <c r="E117" s="31"/>
      <c r="F117" s="31"/>
      <c r="G117" s="31"/>
      <c r="H117" s="31"/>
      <c r="I117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4" t="str">
        <f>TEXT(Tabelle121730302972084963[[#This Row],[Datum]],"tttt")</f>
        <v>Samstag</v>
      </c>
      <c r="L117" s="56">
        <f t="shared" si="50"/>
        <v>44255</v>
      </c>
      <c r="M117" s="31"/>
      <c r="N117" s="31"/>
      <c r="O117" s="31"/>
      <c r="P117" s="31"/>
      <c r="Q117" s="31"/>
      <c r="R117" s="50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7" s="81">
        <f t="shared" ref="T117:T118" si="51">R117-I117</f>
        <v>0</v>
      </c>
      <c r="U117" s="81"/>
      <c r="Y117" s="37"/>
    </row>
    <row r="118" spans="1:29" s="40" customFormat="1" x14ac:dyDescent="0.3">
      <c r="B118" s="36" t="str">
        <f>TEXT(Tabelle1217303029720849[[#This Row],[Datum]],"tttt")</f>
        <v>Sonntag</v>
      </c>
      <c r="C118" s="57">
        <f t="shared" si="49"/>
        <v>44256</v>
      </c>
      <c r="D118" s="32"/>
      <c r="E118" s="32"/>
      <c r="F118" s="32"/>
      <c r="G118" s="32"/>
      <c r="H118" s="32"/>
      <c r="I118" s="53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6" t="str">
        <f>TEXT(Tabelle121730302972084963[[#This Row],[Datum]],"tttt")</f>
        <v>Sonntag</v>
      </c>
      <c r="L118" s="57">
        <f t="shared" si="50"/>
        <v>44256</v>
      </c>
      <c r="M118" s="32"/>
      <c r="N118" s="32"/>
      <c r="O118" s="32"/>
      <c r="P118" s="32"/>
      <c r="Q118" s="32"/>
      <c r="R118" s="53" t="str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0:00</v>
      </c>
      <c r="T118" s="81">
        <f t="shared" si="51"/>
        <v>0</v>
      </c>
      <c r="U118" s="81"/>
      <c r="V118" s="42"/>
      <c r="W118" s="42"/>
      <c r="X118" s="45"/>
      <c r="Y118" s="37"/>
      <c r="AB118" s="41"/>
    </row>
    <row r="119" spans="1:29" x14ac:dyDescent="0.3">
      <c r="B119" s="5"/>
      <c r="C119" s="3"/>
      <c r="D119" s="1"/>
      <c r="E119" s="1"/>
      <c r="F119" s="1"/>
      <c r="G119" s="1">
        <f t="shared" ref="G119:H119" si="52">SUM(G112:G118)</f>
        <v>0</v>
      </c>
      <c r="H119" s="1">
        <f t="shared" si="52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53">SUM(P112:P118)</f>
        <v>0</v>
      </c>
      <c r="Q119" s="1">
        <f t="shared" si="53"/>
        <v>0</v>
      </c>
      <c r="R119" s="1">
        <f>SUBTOTAL(109,R112:R118)</f>
        <v>0</v>
      </c>
      <c r="Y119" s="37"/>
    </row>
    <row r="120" spans="1:29" x14ac:dyDescent="0.3">
      <c r="A120" s="37"/>
      <c r="B120" s="38"/>
      <c r="C120" s="37"/>
      <c r="D120" s="37"/>
      <c r="E120" s="37"/>
      <c r="F120" s="37"/>
      <c r="G120" s="37"/>
      <c r="H120" s="37"/>
      <c r="I120" s="38"/>
      <c r="J120" s="37"/>
      <c r="K120" s="38"/>
      <c r="L120" s="37"/>
      <c r="M120" s="37"/>
      <c r="N120" s="37"/>
      <c r="O120" s="37"/>
      <c r="P120" s="37"/>
      <c r="Q120" s="37"/>
      <c r="R120" s="38"/>
      <c r="S120" s="37"/>
      <c r="T120" s="82"/>
      <c r="U120" s="82"/>
      <c r="V120" s="37"/>
      <c r="W120" s="37"/>
      <c r="X120" s="39"/>
      <c r="Y120" s="37"/>
    </row>
    <row r="121" spans="1:29" x14ac:dyDescent="0.3">
      <c r="A121" s="44" t="s">
        <v>33</v>
      </c>
      <c r="B121" s="6" t="s">
        <v>2</v>
      </c>
      <c r="C121" s="7" t="s">
        <v>3</v>
      </c>
      <c r="D121" s="4" t="s">
        <v>4</v>
      </c>
      <c r="E121" s="4" t="s">
        <v>5</v>
      </c>
      <c r="F121" s="4" t="s">
        <v>6</v>
      </c>
      <c r="G121" s="4" t="s">
        <v>7</v>
      </c>
      <c r="H121" s="4" t="s">
        <v>8</v>
      </c>
      <c r="I121" s="4" t="s">
        <v>9</v>
      </c>
      <c r="J121" s="44" t="s">
        <v>33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81" t="s">
        <v>11</v>
      </c>
      <c r="U121" s="81"/>
      <c r="W121" s="13" t="s">
        <v>21</v>
      </c>
      <c r="X121" s="15" t="s">
        <v>17</v>
      </c>
      <c r="Y121" s="37"/>
    </row>
    <row r="122" spans="1:29" x14ac:dyDescent="0.3">
      <c r="A122" s="44">
        <f>A112+1</f>
        <v>10</v>
      </c>
      <c r="B122" s="34" t="str">
        <f>TEXT(Tabelle1217303029720810[[#This Row],[Datum]],"tttt")</f>
        <v>Montag</v>
      </c>
      <c r="C122" s="58">
        <f>C118+1</f>
        <v>44257</v>
      </c>
      <c r="D122" s="31"/>
      <c r="E122" s="31"/>
      <c r="F122" s="31"/>
      <c r="G122" s="31"/>
      <c r="H122" s="31"/>
      <c r="I122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4">
        <f>J112+1</f>
        <v>10</v>
      </c>
      <c r="K122" s="34" t="str">
        <f>TEXT(Tabelle121730302972081064[[#This Row],[Datum]],"tttt")</f>
        <v>Montag</v>
      </c>
      <c r="L122" s="58">
        <f>L118+1</f>
        <v>44257</v>
      </c>
      <c r="M122" s="31"/>
      <c r="N122" s="31"/>
      <c r="O122" s="31"/>
      <c r="P122" s="31"/>
      <c r="Q122" s="31"/>
      <c r="R122" s="49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2" s="81">
        <f t="shared" ref="T122:T123" si="54">R122-I122</f>
        <v>0</v>
      </c>
      <c r="U122" s="81"/>
      <c r="W122" s="17" t="s">
        <v>18</v>
      </c>
      <c r="X122" s="26">
        <f>I129</f>
        <v>0</v>
      </c>
      <c r="Y122" s="37"/>
    </row>
    <row r="123" spans="1:29" x14ac:dyDescent="0.3">
      <c r="B123" s="34" t="str">
        <f>TEXT(Tabelle1217303029720810[[#This Row],[Datum]],"tttt")</f>
        <v>Dienstag</v>
      </c>
      <c r="C123" s="56">
        <f>C122+1</f>
        <v>44258</v>
      </c>
      <c r="D123" s="31"/>
      <c r="E123" s="31"/>
      <c r="F123" s="31"/>
      <c r="G123" s="31"/>
      <c r="H123" s="31"/>
      <c r="I123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4" t="str">
        <f>TEXT(Tabelle121730302972081064[[#This Row],[Datum]],"tttt")</f>
        <v>Dienstag</v>
      </c>
      <c r="L123" s="56">
        <f>L122+1</f>
        <v>44258</v>
      </c>
      <c r="M123" s="31"/>
      <c r="N123" s="31"/>
      <c r="O123" s="31"/>
      <c r="P123" s="31"/>
      <c r="Q123" s="31"/>
      <c r="R123" s="50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3" s="81">
        <f t="shared" si="54"/>
        <v>0</v>
      </c>
      <c r="U123" s="81"/>
      <c r="W123" s="17" t="s">
        <v>19</v>
      </c>
      <c r="X123" s="26">
        <f>R129</f>
        <v>0</v>
      </c>
      <c r="Y123" s="37"/>
    </row>
    <row r="124" spans="1:29" x14ac:dyDescent="0.3">
      <c r="B124" s="35" t="str">
        <f>TEXT(Tabelle1217303029720810[[#This Row],[Datum]],"tttt")</f>
        <v>Mittwoch</v>
      </c>
      <c r="C124" s="56">
        <f t="shared" ref="C124:C128" si="55">C123+1</f>
        <v>44259</v>
      </c>
      <c r="D124" s="32"/>
      <c r="E124" s="32"/>
      <c r="F124" s="32"/>
      <c r="G124" s="32"/>
      <c r="H124" s="32"/>
      <c r="I124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5" t="str">
        <f>TEXT(Tabelle121730302972081064[[#This Row],[Datum]],"tttt")</f>
        <v>Mittwoch</v>
      </c>
      <c r="L124" s="56">
        <f t="shared" ref="L124:L128" si="56">L123+1</f>
        <v>44259</v>
      </c>
      <c r="M124" s="32"/>
      <c r="N124" s="32"/>
      <c r="O124" s="32"/>
      <c r="P124" s="32"/>
      <c r="Q124" s="32"/>
      <c r="R124" s="51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4" s="81">
        <f>R124-I124</f>
        <v>0</v>
      </c>
      <c r="U124" s="81"/>
      <c r="W124" s="20" t="s">
        <v>20</v>
      </c>
      <c r="X124" s="27">
        <f>X123-X122</f>
        <v>0</v>
      </c>
      <c r="Y124" s="37"/>
      <c r="Z124" s="66">
        <f>Z114+X124</f>
        <v>0</v>
      </c>
    </row>
    <row r="125" spans="1:29" x14ac:dyDescent="0.3">
      <c r="B125" s="34" t="str">
        <f>TEXT(Tabelle1217303029720810[[#This Row],[Datum]],"tttt")</f>
        <v>Donnerstag</v>
      </c>
      <c r="C125" s="56">
        <f t="shared" si="55"/>
        <v>44260</v>
      </c>
      <c r="D125" s="31"/>
      <c r="E125" s="31"/>
      <c r="F125" s="31"/>
      <c r="G125" s="31"/>
      <c r="H125" s="31"/>
      <c r="I125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4" t="str">
        <f>TEXT(Tabelle121730302972081064[[#This Row],[Datum]],"tttt")</f>
        <v>Donnerstag</v>
      </c>
      <c r="L125" s="56">
        <f t="shared" si="56"/>
        <v>44260</v>
      </c>
      <c r="M125" s="31"/>
      <c r="N125" s="31"/>
      <c r="O125" s="31"/>
      <c r="P125" s="31"/>
      <c r="Q125" s="31"/>
      <c r="R125" s="50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5" s="81">
        <f>R125-I125</f>
        <v>0</v>
      </c>
      <c r="U125" s="81"/>
      <c r="Y125" s="37"/>
    </row>
    <row r="126" spans="1:29" x14ac:dyDescent="0.3">
      <c r="B126" s="36" t="str">
        <f>TEXT(Tabelle1217303029720810[[#This Row],[Datum]],"tttt")</f>
        <v>Freitag</v>
      </c>
      <c r="C126" s="56">
        <f t="shared" si="55"/>
        <v>44261</v>
      </c>
      <c r="D126" s="32"/>
      <c r="E126" s="32"/>
      <c r="F126" s="32"/>
      <c r="G126" s="32"/>
      <c r="H126" s="32"/>
      <c r="I126" s="52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6" t="str">
        <f>TEXT(Tabelle121730302972081064[[#This Row],[Datum]],"tttt")</f>
        <v>Freitag</v>
      </c>
      <c r="L126" s="56">
        <f t="shared" si="56"/>
        <v>44261</v>
      </c>
      <c r="M126" s="32"/>
      <c r="N126" s="32"/>
      <c r="O126" s="32"/>
      <c r="P126" s="32"/>
      <c r="Q126" s="32"/>
      <c r="R126" s="52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6" s="81">
        <f>R126-I126</f>
        <v>0</v>
      </c>
      <c r="U126" s="81"/>
      <c r="Y126" s="37"/>
    </row>
    <row r="127" spans="1:29" x14ac:dyDescent="0.3">
      <c r="B127" s="34" t="str">
        <f>TEXT(Tabelle1217303029720810[[#This Row],[Datum]],"tttt")</f>
        <v>Samstag</v>
      </c>
      <c r="C127" s="56">
        <f t="shared" si="55"/>
        <v>44262</v>
      </c>
      <c r="D127" s="31"/>
      <c r="E127" s="31"/>
      <c r="F127" s="31"/>
      <c r="G127" s="31"/>
      <c r="H127" s="31"/>
      <c r="I127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4" t="str">
        <f>TEXT(Tabelle121730302972081064[[#This Row],[Datum]],"tttt")</f>
        <v>Samstag</v>
      </c>
      <c r="L127" s="56">
        <f t="shared" si="56"/>
        <v>44262</v>
      </c>
      <c r="M127" s="31"/>
      <c r="N127" s="31"/>
      <c r="O127" s="31"/>
      <c r="P127" s="31"/>
      <c r="Q127" s="31"/>
      <c r="R127" s="50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T127" s="81">
        <f t="shared" ref="T127:T128" si="57">R127-I127</f>
        <v>0</v>
      </c>
      <c r="U127" s="81"/>
      <c r="Y127" s="37"/>
    </row>
    <row r="128" spans="1:29" s="60" customFormat="1" x14ac:dyDescent="0.3">
      <c r="A128" s="40"/>
      <c r="B128" s="36" t="str">
        <f>TEXT(Tabelle1217303029720810[[#This Row],[Datum]],"tttt")</f>
        <v>Sonntag</v>
      </c>
      <c r="C128" s="57">
        <f t="shared" si="55"/>
        <v>44263</v>
      </c>
      <c r="D128" s="32"/>
      <c r="E128" s="32"/>
      <c r="F128" s="32"/>
      <c r="G128" s="32"/>
      <c r="H128" s="32"/>
      <c r="I128" s="53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40"/>
      <c r="K128" s="36" t="str">
        <f>TEXT(Tabelle121730302972081064[[#This Row],[Datum]],"tttt")</f>
        <v>Sonntag</v>
      </c>
      <c r="L128" s="57">
        <f t="shared" si="56"/>
        <v>44263</v>
      </c>
      <c r="M128" s="32"/>
      <c r="N128" s="32"/>
      <c r="O128" s="32"/>
      <c r="P128" s="32"/>
      <c r="Q128" s="32"/>
      <c r="R128" s="53" t="str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0:00</v>
      </c>
      <c r="S128" s="40"/>
      <c r="T128" s="81">
        <f t="shared" si="57"/>
        <v>0</v>
      </c>
      <c r="U128" s="81"/>
      <c r="V128" s="42"/>
      <c r="W128" s="42"/>
      <c r="X128" s="45"/>
      <c r="Y128" s="37"/>
      <c r="Z128" s="40"/>
      <c r="AA128" s="67"/>
      <c r="AB128" s="68"/>
      <c r="AC128" s="67"/>
    </row>
    <row r="129" spans="1:28" x14ac:dyDescent="0.3">
      <c r="B129" s="5"/>
      <c r="C129" s="3"/>
      <c r="D129" s="1"/>
      <c r="E129" s="1"/>
      <c r="F129" s="1"/>
      <c r="G129" s="1">
        <f t="shared" ref="G129:H129" si="58">SUM(G122:G128)</f>
        <v>0</v>
      </c>
      <c r="H129" s="1">
        <f t="shared" si="58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59">SUM(P122:P128)</f>
        <v>0</v>
      </c>
      <c r="Q129" s="1">
        <f t="shared" si="59"/>
        <v>0</v>
      </c>
      <c r="R129" s="1">
        <f>SUBTOTAL(109,R122:R128)</f>
        <v>0</v>
      </c>
      <c r="Y129" s="37"/>
    </row>
    <row r="130" spans="1:28" x14ac:dyDescent="0.3">
      <c r="A130" s="37"/>
      <c r="B130" s="38"/>
      <c r="C130" s="37"/>
      <c r="D130" s="37"/>
      <c r="E130" s="37"/>
      <c r="F130" s="37"/>
      <c r="G130" s="37"/>
      <c r="H130" s="37"/>
      <c r="I130" s="38"/>
      <c r="J130" s="37"/>
      <c r="K130" s="38"/>
      <c r="L130" s="37"/>
      <c r="M130" s="37"/>
      <c r="N130" s="37"/>
      <c r="O130" s="37"/>
      <c r="P130" s="37"/>
      <c r="Q130" s="37"/>
      <c r="R130" s="38"/>
      <c r="S130" s="37"/>
      <c r="T130" s="82"/>
      <c r="U130" s="82"/>
      <c r="V130" s="37"/>
      <c r="W130" s="37"/>
      <c r="X130" s="39"/>
      <c r="Y130" s="37"/>
    </row>
    <row r="131" spans="1:28" x14ac:dyDescent="0.3">
      <c r="A131" s="44" t="s">
        <v>33</v>
      </c>
      <c r="B131" s="6" t="s">
        <v>2</v>
      </c>
      <c r="C131" s="7" t="s">
        <v>3</v>
      </c>
      <c r="D131" s="4" t="s">
        <v>4</v>
      </c>
      <c r="E131" s="4" t="s">
        <v>5</v>
      </c>
      <c r="F131" s="4" t="s">
        <v>6</v>
      </c>
      <c r="G131" s="4" t="s">
        <v>7</v>
      </c>
      <c r="H131" s="4" t="s">
        <v>8</v>
      </c>
      <c r="I131" s="4" t="s">
        <v>9</v>
      </c>
      <c r="J131" s="44" t="s">
        <v>33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81" t="s">
        <v>11</v>
      </c>
      <c r="U131" s="81"/>
      <c r="W131" s="13" t="s">
        <v>21</v>
      </c>
      <c r="X131" s="15" t="s">
        <v>17</v>
      </c>
      <c r="Y131" s="37"/>
    </row>
    <row r="132" spans="1:28" x14ac:dyDescent="0.3">
      <c r="A132" s="44">
        <f>A122+1</f>
        <v>11</v>
      </c>
      <c r="B132" s="34" t="str">
        <f>TEXT(Tabelle12173030297208311[[#This Row],[Datum]],"tttt")</f>
        <v>Montag</v>
      </c>
      <c r="C132" s="58">
        <f>C128+1</f>
        <v>44264</v>
      </c>
      <c r="D132" s="31"/>
      <c r="E132" s="31"/>
      <c r="F132" s="31"/>
      <c r="G132" s="31"/>
      <c r="H132" s="31"/>
      <c r="I132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4">
        <f>J122+1</f>
        <v>11</v>
      </c>
      <c r="K132" s="34" t="str">
        <f>TEXT(Tabelle1217303029720831165[[#This Row],[Datum]],"tttt")</f>
        <v>Montag</v>
      </c>
      <c r="L132" s="58">
        <f>L128+1</f>
        <v>44264</v>
      </c>
      <c r="M132" s="31"/>
      <c r="N132" s="31"/>
      <c r="O132" s="31"/>
      <c r="P132" s="31"/>
      <c r="Q132" s="31"/>
      <c r="R132" s="49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2" s="81">
        <f t="shared" ref="T132:T133" si="60">R132-I132</f>
        <v>0</v>
      </c>
      <c r="U132" s="81"/>
      <c r="W132" s="17" t="s">
        <v>18</v>
      </c>
      <c r="X132" s="26">
        <f>I139</f>
        <v>0</v>
      </c>
      <c r="Y132" s="37"/>
    </row>
    <row r="133" spans="1:28" x14ac:dyDescent="0.3">
      <c r="B133" s="34" t="str">
        <f>TEXT(Tabelle12173030297208311[[#This Row],[Datum]],"tttt")</f>
        <v>Dienstag</v>
      </c>
      <c r="C133" s="56">
        <f>C132+1</f>
        <v>44265</v>
      </c>
      <c r="D133" s="31"/>
      <c r="E133" s="31"/>
      <c r="F133" s="31"/>
      <c r="G133" s="31"/>
      <c r="H133" s="31"/>
      <c r="I133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4" t="str">
        <f>TEXT(Tabelle1217303029720831165[[#This Row],[Datum]],"tttt")</f>
        <v>Dienstag</v>
      </c>
      <c r="L133" s="56">
        <f>L132+1</f>
        <v>44265</v>
      </c>
      <c r="M133" s="31"/>
      <c r="N133" s="31"/>
      <c r="O133" s="31"/>
      <c r="P133" s="31"/>
      <c r="Q133" s="31"/>
      <c r="R133" s="50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3" s="81">
        <f t="shared" si="60"/>
        <v>0</v>
      </c>
      <c r="U133" s="81"/>
      <c r="W133" s="17" t="s">
        <v>19</v>
      </c>
      <c r="X133" s="26">
        <f>R139</f>
        <v>0</v>
      </c>
      <c r="Y133" s="37"/>
    </row>
    <row r="134" spans="1:28" x14ac:dyDescent="0.3">
      <c r="B134" s="35" t="str">
        <f>TEXT(Tabelle12173030297208311[[#This Row],[Datum]],"tttt")</f>
        <v>Mittwoch</v>
      </c>
      <c r="C134" s="56">
        <f t="shared" ref="C134:C138" si="61">C133+1</f>
        <v>44266</v>
      </c>
      <c r="D134" s="32"/>
      <c r="E134" s="32"/>
      <c r="F134" s="32"/>
      <c r="G134" s="32"/>
      <c r="H134" s="32"/>
      <c r="I134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5" t="str">
        <f>TEXT(Tabelle1217303029720831165[[#This Row],[Datum]],"tttt")</f>
        <v>Mittwoch</v>
      </c>
      <c r="L134" s="56">
        <f t="shared" ref="L134:L138" si="62">L133+1</f>
        <v>44266</v>
      </c>
      <c r="M134" s="32"/>
      <c r="N134" s="32"/>
      <c r="O134" s="32"/>
      <c r="P134" s="32"/>
      <c r="Q134" s="32"/>
      <c r="R134" s="51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4" s="81">
        <f>R134-I134</f>
        <v>0</v>
      </c>
      <c r="U134" s="81"/>
      <c r="W134" s="20" t="s">
        <v>20</v>
      </c>
      <c r="X134" s="27">
        <f>X133-X132</f>
        <v>0</v>
      </c>
      <c r="Y134" s="37"/>
      <c r="Z134" s="66">
        <f>Z124+X134</f>
        <v>0</v>
      </c>
    </row>
    <row r="135" spans="1:28" x14ac:dyDescent="0.3">
      <c r="B135" s="34" t="str">
        <f>TEXT(Tabelle12173030297208311[[#This Row],[Datum]],"tttt")</f>
        <v>Donnerstag</v>
      </c>
      <c r="C135" s="56">
        <f t="shared" si="61"/>
        <v>44267</v>
      </c>
      <c r="D135" s="31"/>
      <c r="E135" s="31"/>
      <c r="F135" s="31"/>
      <c r="G135" s="31"/>
      <c r="H135" s="31"/>
      <c r="I135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4" t="str">
        <f>TEXT(Tabelle1217303029720831165[[#This Row],[Datum]],"tttt")</f>
        <v>Donnerstag</v>
      </c>
      <c r="L135" s="56">
        <f t="shared" si="62"/>
        <v>44267</v>
      </c>
      <c r="M135" s="31"/>
      <c r="N135" s="31"/>
      <c r="O135" s="31"/>
      <c r="P135" s="31"/>
      <c r="Q135" s="31"/>
      <c r="R135" s="50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5" s="81">
        <f>R135-I135</f>
        <v>0</v>
      </c>
      <c r="U135" s="81"/>
      <c r="Y135" s="37"/>
    </row>
    <row r="136" spans="1:28" x14ac:dyDescent="0.3">
      <c r="B136" s="36" t="str">
        <f>TEXT(Tabelle12173030297208311[[#This Row],[Datum]],"tttt")</f>
        <v>Freitag</v>
      </c>
      <c r="C136" s="56">
        <f t="shared" si="61"/>
        <v>44268</v>
      </c>
      <c r="D136" s="32"/>
      <c r="E136" s="32"/>
      <c r="F136" s="32"/>
      <c r="G136" s="32"/>
      <c r="H136" s="32"/>
      <c r="I136" s="52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6" t="str">
        <f>TEXT(Tabelle1217303029720831165[[#This Row],[Datum]],"tttt")</f>
        <v>Freitag</v>
      </c>
      <c r="L136" s="56">
        <f t="shared" si="62"/>
        <v>44268</v>
      </c>
      <c r="M136" s="32"/>
      <c r="N136" s="32"/>
      <c r="O136" s="32"/>
      <c r="P136" s="32"/>
      <c r="Q136" s="32"/>
      <c r="R136" s="52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6" s="81">
        <f>R136-I136</f>
        <v>0</v>
      </c>
      <c r="U136" s="81"/>
      <c r="Y136" s="37"/>
    </row>
    <row r="137" spans="1:28" x14ac:dyDescent="0.3">
      <c r="B137" s="34" t="str">
        <f>TEXT(Tabelle12173030297208311[[#This Row],[Datum]],"tttt")</f>
        <v>Samstag</v>
      </c>
      <c r="C137" s="56">
        <f t="shared" si="61"/>
        <v>44269</v>
      </c>
      <c r="D137" s="31"/>
      <c r="E137" s="31"/>
      <c r="F137" s="31"/>
      <c r="G137" s="31"/>
      <c r="H137" s="31"/>
      <c r="I137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4" t="str">
        <f>TEXT(Tabelle1217303029720831165[[#This Row],[Datum]],"tttt")</f>
        <v>Samstag</v>
      </c>
      <c r="L137" s="56">
        <f t="shared" si="62"/>
        <v>44269</v>
      </c>
      <c r="M137" s="31"/>
      <c r="N137" s="31"/>
      <c r="O137" s="31"/>
      <c r="P137" s="31"/>
      <c r="Q137" s="31"/>
      <c r="R137" s="50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7" s="81">
        <f t="shared" ref="T137:T138" si="63">R137-I137</f>
        <v>0</v>
      </c>
      <c r="U137" s="81"/>
      <c r="Y137" s="37"/>
    </row>
    <row r="138" spans="1:28" s="40" customFormat="1" x14ac:dyDescent="0.3">
      <c r="B138" s="36" t="str">
        <f>TEXT(Tabelle12173030297208311[[#This Row],[Datum]],"tttt")</f>
        <v>Sonntag</v>
      </c>
      <c r="C138" s="57">
        <f t="shared" si="61"/>
        <v>44270</v>
      </c>
      <c r="D138" s="32"/>
      <c r="E138" s="32"/>
      <c r="F138" s="32"/>
      <c r="G138" s="32"/>
      <c r="H138" s="32"/>
      <c r="I138" s="53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6" t="str">
        <f>TEXT(Tabelle1217303029720831165[[#This Row],[Datum]],"tttt")</f>
        <v>Sonntag</v>
      </c>
      <c r="L138" s="57">
        <f t="shared" si="62"/>
        <v>44270</v>
      </c>
      <c r="M138" s="32"/>
      <c r="N138" s="32"/>
      <c r="O138" s="32"/>
      <c r="P138" s="32"/>
      <c r="Q138" s="32"/>
      <c r="R138" s="53" t="str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0:00</v>
      </c>
      <c r="T138" s="81">
        <f t="shared" si="63"/>
        <v>0</v>
      </c>
      <c r="U138" s="81"/>
      <c r="V138" s="42"/>
      <c r="W138" s="42"/>
      <c r="X138" s="45"/>
      <c r="Y138" s="37"/>
      <c r="AB138" s="41"/>
    </row>
    <row r="139" spans="1:28" x14ac:dyDescent="0.3">
      <c r="B139" s="5"/>
      <c r="C139" s="3"/>
      <c r="D139" s="1"/>
      <c r="E139" s="1"/>
      <c r="F139" s="1"/>
      <c r="G139" s="1">
        <f t="shared" ref="G139:H139" si="64">SUM(G132:G138)</f>
        <v>0</v>
      </c>
      <c r="H139" s="1">
        <f t="shared" si="6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65">SUM(P132:P138)</f>
        <v>0</v>
      </c>
      <c r="Q139" s="1">
        <f t="shared" si="65"/>
        <v>0</v>
      </c>
      <c r="R139" s="1">
        <f>SUBTOTAL(109,R132:R138)</f>
        <v>0</v>
      </c>
      <c r="Y139" s="37"/>
    </row>
    <row r="140" spans="1:28" x14ac:dyDescent="0.3">
      <c r="A140" s="59"/>
      <c r="B140" s="37"/>
      <c r="C140" s="37"/>
      <c r="D140" s="37"/>
      <c r="E140" s="37"/>
      <c r="F140" s="37"/>
      <c r="G140" s="37"/>
      <c r="H140" s="37"/>
      <c r="I140" s="37"/>
      <c r="J140" s="59"/>
      <c r="K140" s="37"/>
      <c r="L140" s="37"/>
      <c r="M140" s="37"/>
      <c r="N140" s="37"/>
      <c r="O140" s="37"/>
      <c r="P140" s="37"/>
      <c r="Q140" s="37"/>
      <c r="R140" s="37"/>
      <c r="S140" s="59"/>
      <c r="T140" s="85"/>
      <c r="U140" s="85"/>
      <c r="V140" s="59"/>
      <c r="W140" s="59"/>
      <c r="X140" s="69"/>
      <c r="Y140" s="59"/>
    </row>
    <row r="141" spans="1:28" x14ac:dyDescent="0.3">
      <c r="A141" s="44" t="s">
        <v>33</v>
      </c>
      <c r="B141" s="6" t="s">
        <v>2</v>
      </c>
      <c r="C141" s="7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  <c r="I141" s="4" t="s">
        <v>9</v>
      </c>
      <c r="J141" s="44" t="s">
        <v>33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81" t="s">
        <v>11</v>
      </c>
      <c r="U141" s="81"/>
      <c r="W141" s="13" t="s">
        <v>21</v>
      </c>
      <c r="X141" s="15" t="s">
        <v>17</v>
      </c>
      <c r="Y141" s="37"/>
    </row>
    <row r="142" spans="1:28" x14ac:dyDescent="0.3">
      <c r="A142" s="44">
        <f>A132+1</f>
        <v>12</v>
      </c>
      <c r="B142" s="34" t="str">
        <f>TEXT(Tabelle12173030297208412[[#This Row],[Datum]],"tttt")</f>
        <v>Montag</v>
      </c>
      <c r="C142" s="58">
        <f>C138+1</f>
        <v>44271</v>
      </c>
      <c r="D142" s="31"/>
      <c r="E142" s="31"/>
      <c r="F142" s="31"/>
      <c r="G142" s="31"/>
      <c r="H142" s="31"/>
      <c r="I142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4">
        <f>J132+1</f>
        <v>12</v>
      </c>
      <c r="K142" s="34" t="str">
        <f>TEXT(Tabelle1217303029720841266[[#This Row],[Datum]],"tttt")</f>
        <v>Montag</v>
      </c>
      <c r="L142" s="58">
        <f>L138+1</f>
        <v>44271</v>
      </c>
      <c r="M142" s="31"/>
      <c r="N142" s="31"/>
      <c r="O142" s="31"/>
      <c r="P142" s="31"/>
      <c r="Q142" s="31"/>
      <c r="R142" s="49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2" s="81">
        <f t="shared" ref="T142:T143" si="66">R142-I142</f>
        <v>0</v>
      </c>
      <c r="U142" s="81"/>
      <c r="W142" s="17" t="s">
        <v>18</v>
      </c>
      <c r="X142" s="26">
        <f>I149</f>
        <v>0</v>
      </c>
      <c r="Y142" s="37"/>
    </row>
    <row r="143" spans="1:28" x14ac:dyDescent="0.3">
      <c r="B143" s="34" t="str">
        <f>TEXT(Tabelle12173030297208412[[#This Row],[Datum]],"tttt")</f>
        <v>Dienstag</v>
      </c>
      <c r="C143" s="56">
        <f>C142+1</f>
        <v>44272</v>
      </c>
      <c r="D143" s="31"/>
      <c r="E143" s="31"/>
      <c r="F143" s="31"/>
      <c r="G143" s="31"/>
      <c r="H143" s="31"/>
      <c r="I143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4" t="str">
        <f>TEXT(Tabelle1217303029720841266[[#This Row],[Datum]],"tttt")</f>
        <v>Dienstag</v>
      </c>
      <c r="L143" s="56">
        <f>L142+1</f>
        <v>44272</v>
      </c>
      <c r="M143" s="31"/>
      <c r="N143" s="31"/>
      <c r="O143" s="31"/>
      <c r="P143" s="31"/>
      <c r="Q143" s="31"/>
      <c r="R143" s="50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3" s="81">
        <f t="shared" si="66"/>
        <v>0</v>
      </c>
      <c r="U143" s="81"/>
      <c r="W143" s="17" t="s">
        <v>19</v>
      </c>
      <c r="X143" s="26">
        <f>R149</f>
        <v>0</v>
      </c>
      <c r="Y143" s="37"/>
    </row>
    <row r="144" spans="1:28" x14ac:dyDescent="0.3">
      <c r="B144" s="35" t="str">
        <f>TEXT(Tabelle12173030297208412[[#This Row],[Datum]],"tttt")</f>
        <v>Mittwoch</v>
      </c>
      <c r="C144" s="56">
        <f t="shared" ref="C144:C148" si="67">C143+1</f>
        <v>44273</v>
      </c>
      <c r="D144" s="32"/>
      <c r="E144" s="32"/>
      <c r="F144" s="32"/>
      <c r="G144" s="32"/>
      <c r="H144" s="32"/>
      <c r="I144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5" t="str">
        <f>TEXT(Tabelle1217303029720841266[[#This Row],[Datum]],"tttt")</f>
        <v>Mittwoch</v>
      </c>
      <c r="L144" s="56">
        <f t="shared" ref="L144:L148" si="68">L143+1</f>
        <v>44273</v>
      </c>
      <c r="M144" s="32"/>
      <c r="N144" s="32"/>
      <c r="O144" s="32"/>
      <c r="P144" s="32"/>
      <c r="Q144" s="32"/>
      <c r="R144" s="51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4" s="81">
        <f>R144-I144</f>
        <v>0</v>
      </c>
      <c r="U144" s="81"/>
      <c r="W144" s="20" t="s">
        <v>20</v>
      </c>
      <c r="X144" s="27">
        <f>X143-X142</f>
        <v>0</v>
      </c>
      <c r="Y144" s="37"/>
      <c r="Z144" s="66">
        <f>Z134+X144</f>
        <v>0</v>
      </c>
    </row>
    <row r="145" spans="1:28" x14ac:dyDescent="0.3">
      <c r="B145" s="34" t="str">
        <f>TEXT(Tabelle12173030297208412[[#This Row],[Datum]],"tttt")</f>
        <v>Donnerstag</v>
      </c>
      <c r="C145" s="56">
        <f t="shared" si="67"/>
        <v>44274</v>
      </c>
      <c r="D145" s="31"/>
      <c r="E145" s="31"/>
      <c r="F145" s="31"/>
      <c r="G145" s="31"/>
      <c r="H145" s="31"/>
      <c r="I145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4" t="str">
        <f>TEXT(Tabelle1217303029720841266[[#This Row],[Datum]],"tttt")</f>
        <v>Donnerstag</v>
      </c>
      <c r="L145" s="56">
        <f t="shared" si="68"/>
        <v>44274</v>
      </c>
      <c r="M145" s="31"/>
      <c r="N145" s="31"/>
      <c r="O145" s="31"/>
      <c r="P145" s="31"/>
      <c r="Q145" s="31"/>
      <c r="R145" s="50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5" s="81">
        <f>R145-I145</f>
        <v>0</v>
      </c>
      <c r="U145" s="81"/>
      <c r="Y145" s="37"/>
    </row>
    <row r="146" spans="1:28" x14ac:dyDescent="0.3">
      <c r="B146" s="36" t="str">
        <f>TEXT(Tabelle12173030297208412[[#This Row],[Datum]],"tttt")</f>
        <v>Freitag</v>
      </c>
      <c r="C146" s="56">
        <f t="shared" si="67"/>
        <v>44275</v>
      </c>
      <c r="D146" s="32"/>
      <c r="E146" s="32"/>
      <c r="F146" s="32"/>
      <c r="G146" s="32"/>
      <c r="H146" s="32"/>
      <c r="I146" s="52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6" t="str">
        <f>TEXT(Tabelle1217303029720841266[[#This Row],[Datum]],"tttt")</f>
        <v>Freitag</v>
      </c>
      <c r="L146" s="56">
        <f t="shared" si="68"/>
        <v>44275</v>
      </c>
      <c r="M146" s="32"/>
      <c r="N146" s="32"/>
      <c r="O146" s="32"/>
      <c r="P146" s="32"/>
      <c r="Q146" s="32"/>
      <c r="R146" s="52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6" s="81">
        <f>R146-I146</f>
        <v>0</v>
      </c>
      <c r="U146" s="81"/>
      <c r="Y146" s="37"/>
    </row>
    <row r="147" spans="1:28" x14ac:dyDescent="0.3">
      <c r="B147" s="34" t="str">
        <f>TEXT(Tabelle12173030297208412[[#This Row],[Datum]],"tttt")</f>
        <v>Samstag</v>
      </c>
      <c r="C147" s="56">
        <f t="shared" si="67"/>
        <v>44276</v>
      </c>
      <c r="D147" s="31"/>
      <c r="E147" s="31"/>
      <c r="F147" s="31"/>
      <c r="G147" s="31"/>
      <c r="H147" s="31"/>
      <c r="I147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4" t="str">
        <f>TEXT(Tabelle1217303029720841266[[#This Row],[Datum]],"tttt")</f>
        <v>Samstag</v>
      </c>
      <c r="L147" s="56">
        <f t="shared" si="68"/>
        <v>44276</v>
      </c>
      <c r="M147" s="31"/>
      <c r="N147" s="31"/>
      <c r="O147" s="31"/>
      <c r="P147" s="31"/>
      <c r="Q147" s="31"/>
      <c r="R147" s="50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7" s="81">
        <f t="shared" ref="T147:T148" si="69">R147-I147</f>
        <v>0</v>
      </c>
      <c r="U147" s="81"/>
      <c r="Y147" s="37"/>
    </row>
    <row r="148" spans="1:28" s="40" customFormat="1" x14ac:dyDescent="0.3">
      <c r="B148" s="36" t="str">
        <f>TEXT(Tabelle12173030297208412[[#This Row],[Datum]],"tttt")</f>
        <v>Sonntag</v>
      </c>
      <c r="C148" s="57">
        <f t="shared" si="67"/>
        <v>44277</v>
      </c>
      <c r="D148" s="32"/>
      <c r="E148" s="32"/>
      <c r="F148" s="32"/>
      <c r="G148" s="32"/>
      <c r="H148" s="32"/>
      <c r="I148" s="53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6" t="str">
        <f>TEXT(Tabelle1217303029720841266[[#This Row],[Datum]],"tttt")</f>
        <v>Sonntag</v>
      </c>
      <c r="L148" s="57">
        <f t="shared" si="68"/>
        <v>44277</v>
      </c>
      <c r="M148" s="32"/>
      <c r="N148" s="32"/>
      <c r="O148" s="32"/>
      <c r="P148" s="32"/>
      <c r="Q148" s="32"/>
      <c r="R148" s="53" t="str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0:00</v>
      </c>
      <c r="T148" s="81">
        <f t="shared" si="69"/>
        <v>0</v>
      </c>
      <c r="U148" s="81"/>
      <c r="V148" s="42"/>
      <c r="W148" s="42"/>
      <c r="X148" s="45"/>
      <c r="Y148" s="37"/>
      <c r="AB148" s="41"/>
    </row>
    <row r="149" spans="1:28" x14ac:dyDescent="0.3">
      <c r="B149" s="5"/>
      <c r="C149" s="3"/>
      <c r="D149" s="1"/>
      <c r="E149" s="1"/>
      <c r="F149" s="1"/>
      <c r="G149" s="1">
        <f t="shared" ref="G149:H149" si="70">SUM(G142:G148)</f>
        <v>0</v>
      </c>
      <c r="H149" s="1">
        <f t="shared" si="70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71">SUM(P142:P148)</f>
        <v>0</v>
      </c>
      <c r="Q149" s="1">
        <f t="shared" si="71"/>
        <v>0</v>
      </c>
      <c r="R149" s="1">
        <f>SUBTOTAL(109,R142:R148)</f>
        <v>0</v>
      </c>
      <c r="Y149" s="37"/>
    </row>
    <row r="150" spans="1:28" x14ac:dyDescent="0.3">
      <c r="A150" s="37"/>
      <c r="B150" s="38"/>
      <c r="C150" s="37"/>
      <c r="D150" s="37"/>
      <c r="E150" s="37"/>
      <c r="F150" s="37"/>
      <c r="G150" s="37"/>
      <c r="H150" s="37"/>
      <c r="I150" s="38"/>
      <c r="J150" s="37"/>
      <c r="K150" s="38"/>
      <c r="L150" s="37"/>
      <c r="M150" s="37"/>
      <c r="N150" s="37"/>
      <c r="O150" s="37"/>
      <c r="P150" s="37"/>
      <c r="Q150" s="37"/>
      <c r="R150" s="38"/>
      <c r="S150" s="37"/>
      <c r="T150" s="82"/>
      <c r="U150" s="82"/>
      <c r="V150" s="37"/>
      <c r="W150" s="37"/>
      <c r="X150" s="39"/>
      <c r="Y150" s="37"/>
    </row>
    <row r="151" spans="1:28" x14ac:dyDescent="0.3">
      <c r="A151" s="44" t="s">
        <v>33</v>
      </c>
      <c r="B151" s="6" t="s">
        <v>2</v>
      </c>
      <c r="C151" s="7" t="s">
        <v>3</v>
      </c>
      <c r="D151" s="4" t="s">
        <v>4</v>
      </c>
      <c r="E151" s="4" t="s">
        <v>5</v>
      </c>
      <c r="F151" s="4" t="s">
        <v>6</v>
      </c>
      <c r="G151" s="4" t="s">
        <v>7</v>
      </c>
      <c r="H151" s="4" t="s">
        <v>8</v>
      </c>
      <c r="I151" s="4" t="s">
        <v>9</v>
      </c>
      <c r="J151" s="44" t="s">
        <v>33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81" t="s">
        <v>11</v>
      </c>
      <c r="U151" s="81"/>
      <c r="W151" s="13" t="s">
        <v>21</v>
      </c>
      <c r="X151" s="15" t="s">
        <v>17</v>
      </c>
      <c r="Y151" s="37"/>
    </row>
    <row r="152" spans="1:28" x14ac:dyDescent="0.3">
      <c r="A152" s="44">
        <f>A142+1</f>
        <v>13</v>
      </c>
      <c r="B152" s="34" t="str">
        <f>TEXT(Tabelle1217303029720813[[#This Row],[Datum]],"tttt")</f>
        <v>Montag</v>
      </c>
      <c r="C152" s="58">
        <f>C148+1</f>
        <v>44278</v>
      </c>
      <c r="D152" s="31"/>
      <c r="E152" s="31"/>
      <c r="F152" s="31"/>
      <c r="G152" s="31"/>
      <c r="H152" s="31"/>
      <c r="I152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4">
        <f>J142+1</f>
        <v>13</v>
      </c>
      <c r="K152" s="34" t="str">
        <f>TEXT(Tabelle121730302972081367[[#This Row],[Datum]],"tttt")</f>
        <v>Montag</v>
      </c>
      <c r="L152" s="58">
        <f>L148+1</f>
        <v>44278</v>
      </c>
      <c r="M152" s="31"/>
      <c r="N152" s="31"/>
      <c r="O152" s="31"/>
      <c r="P152" s="31"/>
      <c r="Q152" s="31"/>
      <c r="R152" s="49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2" s="81">
        <f t="shared" ref="T152:T153" si="72">R152-I152</f>
        <v>0</v>
      </c>
      <c r="U152" s="81"/>
      <c r="W152" s="17" t="s">
        <v>18</v>
      </c>
      <c r="X152" s="26">
        <f>I159</f>
        <v>0</v>
      </c>
      <c r="Y152" s="37"/>
    </row>
    <row r="153" spans="1:28" x14ac:dyDescent="0.3">
      <c r="B153" s="34" t="str">
        <f>TEXT(Tabelle1217303029720813[[#This Row],[Datum]],"tttt")</f>
        <v>Dienstag</v>
      </c>
      <c r="C153" s="56">
        <f>C152+1</f>
        <v>44279</v>
      </c>
      <c r="D153" s="31"/>
      <c r="E153" s="31"/>
      <c r="F153" s="31"/>
      <c r="G153" s="31"/>
      <c r="H153" s="31"/>
      <c r="I153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4" t="str">
        <f>TEXT(Tabelle121730302972081367[[#This Row],[Datum]],"tttt")</f>
        <v>Dienstag</v>
      </c>
      <c r="L153" s="56">
        <f>L152+1</f>
        <v>44279</v>
      </c>
      <c r="M153" s="31"/>
      <c r="N153" s="31"/>
      <c r="O153" s="31"/>
      <c r="P153" s="31"/>
      <c r="Q153" s="31"/>
      <c r="R153" s="50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3" s="81">
        <f t="shared" si="72"/>
        <v>0</v>
      </c>
      <c r="U153" s="81"/>
      <c r="W153" s="17" t="s">
        <v>19</v>
      </c>
      <c r="X153" s="26">
        <f>R159</f>
        <v>0</v>
      </c>
      <c r="Y153" s="37"/>
    </row>
    <row r="154" spans="1:28" x14ac:dyDescent="0.3">
      <c r="B154" s="35" t="str">
        <f>TEXT(Tabelle1217303029720813[[#This Row],[Datum]],"tttt")</f>
        <v>Mittwoch</v>
      </c>
      <c r="C154" s="56">
        <f t="shared" ref="C154:C158" si="73">C153+1</f>
        <v>44280</v>
      </c>
      <c r="D154" s="32"/>
      <c r="E154" s="32"/>
      <c r="F154" s="32"/>
      <c r="G154" s="32"/>
      <c r="H154" s="32"/>
      <c r="I154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5" t="str">
        <f>TEXT(Tabelle121730302972081367[[#This Row],[Datum]],"tttt")</f>
        <v>Mittwoch</v>
      </c>
      <c r="L154" s="56">
        <f t="shared" ref="L154:L158" si="74">L153+1</f>
        <v>44280</v>
      </c>
      <c r="M154" s="32"/>
      <c r="N154" s="32"/>
      <c r="O154" s="32"/>
      <c r="P154" s="32"/>
      <c r="Q154" s="32"/>
      <c r="R154" s="51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4" s="81">
        <f>R154-I154</f>
        <v>0</v>
      </c>
      <c r="U154" s="81"/>
      <c r="W154" s="20" t="s">
        <v>20</v>
      </c>
      <c r="X154" s="27">
        <f>X153-X152</f>
        <v>0</v>
      </c>
      <c r="Y154" s="37"/>
      <c r="Z154" s="66">
        <f>Z144+X154</f>
        <v>0</v>
      </c>
    </row>
    <row r="155" spans="1:28" x14ac:dyDescent="0.3">
      <c r="B155" s="34" t="str">
        <f>TEXT(Tabelle1217303029720813[[#This Row],[Datum]],"tttt")</f>
        <v>Donnerstag</v>
      </c>
      <c r="C155" s="56">
        <f t="shared" si="73"/>
        <v>44281</v>
      </c>
      <c r="D155" s="31"/>
      <c r="E155" s="31"/>
      <c r="F155" s="31"/>
      <c r="G155" s="31"/>
      <c r="H155" s="31"/>
      <c r="I155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4" t="str">
        <f>TEXT(Tabelle121730302972081367[[#This Row],[Datum]],"tttt")</f>
        <v>Donnerstag</v>
      </c>
      <c r="L155" s="56">
        <f t="shared" si="74"/>
        <v>44281</v>
      </c>
      <c r="M155" s="31"/>
      <c r="N155" s="31"/>
      <c r="O155" s="31"/>
      <c r="P155" s="31"/>
      <c r="Q155" s="31"/>
      <c r="R155" s="50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5" s="81">
        <f>R155-I155</f>
        <v>0</v>
      </c>
      <c r="U155" s="81"/>
      <c r="Y155" s="37"/>
    </row>
    <row r="156" spans="1:28" x14ac:dyDescent="0.3">
      <c r="B156" s="36" t="str">
        <f>TEXT(Tabelle1217303029720813[[#This Row],[Datum]],"tttt")</f>
        <v>Freitag</v>
      </c>
      <c r="C156" s="56">
        <f t="shared" si="73"/>
        <v>44282</v>
      </c>
      <c r="D156" s="32"/>
      <c r="E156" s="32"/>
      <c r="F156" s="32"/>
      <c r="G156" s="32"/>
      <c r="H156" s="32"/>
      <c r="I156" s="52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6" t="str">
        <f>TEXT(Tabelle121730302972081367[[#This Row],[Datum]],"tttt")</f>
        <v>Freitag</v>
      </c>
      <c r="L156" s="56">
        <f t="shared" si="74"/>
        <v>44282</v>
      </c>
      <c r="M156" s="32"/>
      <c r="N156" s="32"/>
      <c r="O156" s="32"/>
      <c r="P156" s="32"/>
      <c r="Q156" s="32"/>
      <c r="R156" s="52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6" s="81">
        <f>R156-I156</f>
        <v>0</v>
      </c>
      <c r="U156" s="81"/>
      <c r="Y156" s="37"/>
    </row>
    <row r="157" spans="1:28" x14ac:dyDescent="0.3">
      <c r="B157" s="34" t="str">
        <f>TEXT(Tabelle1217303029720813[[#This Row],[Datum]],"tttt")</f>
        <v>Samstag</v>
      </c>
      <c r="C157" s="56">
        <f t="shared" si="73"/>
        <v>44283</v>
      </c>
      <c r="D157" s="31"/>
      <c r="E157" s="31"/>
      <c r="F157" s="31"/>
      <c r="G157" s="31"/>
      <c r="H157" s="31"/>
      <c r="I157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4" t="str">
        <f>TEXT(Tabelle121730302972081367[[#This Row],[Datum]],"tttt")</f>
        <v>Samstag</v>
      </c>
      <c r="L157" s="56">
        <f t="shared" si="74"/>
        <v>44283</v>
      </c>
      <c r="M157" s="31"/>
      <c r="N157" s="31"/>
      <c r="O157" s="31"/>
      <c r="P157" s="31"/>
      <c r="Q157" s="31"/>
      <c r="R157" s="50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7" s="81">
        <f t="shared" ref="T157:T158" si="75">R157-I157</f>
        <v>0</v>
      </c>
      <c r="U157" s="81"/>
      <c r="Y157" s="37"/>
    </row>
    <row r="158" spans="1:28" s="40" customFormat="1" x14ac:dyDescent="0.3">
      <c r="B158" s="36" t="str">
        <f>TEXT(Tabelle1217303029720813[[#This Row],[Datum]],"tttt")</f>
        <v>Sonntag</v>
      </c>
      <c r="C158" s="57">
        <f t="shared" si="73"/>
        <v>44284</v>
      </c>
      <c r="D158" s="32"/>
      <c r="E158" s="32"/>
      <c r="F158" s="32"/>
      <c r="G158" s="32"/>
      <c r="H158" s="32"/>
      <c r="I158" s="53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6" t="str">
        <f>TEXT(Tabelle121730302972081367[[#This Row],[Datum]],"tttt")</f>
        <v>Sonntag</v>
      </c>
      <c r="L158" s="57">
        <f t="shared" si="74"/>
        <v>44284</v>
      </c>
      <c r="M158" s="32"/>
      <c r="N158" s="32"/>
      <c r="O158" s="32"/>
      <c r="P158" s="32"/>
      <c r="Q158" s="32"/>
      <c r="R158" s="53" t="str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0:00</v>
      </c>
      <c r="T158" s="81">
        <f t="shared" si="75"/>
        <v>0</v>
      </c>
      <c r="U158" s="81"/>
      <c r="V158" s="42"/>
      <c r="W158" s="42"/>
      <c r="X158" s="45"/>
      <c r="Y158" s="37"/>
      <c r="AB158" s="41"/>
    </row>
    <row r="159" spans="1:28" x14ac:dyDescent="0.3">
      <c r="B159" s="5"/>
      <c r="C159" s="3"/>
      <c r="D159" s="1"/>
      <c r="E159" s="1"/>
      <c r="F159" s="1"/>
      <c r="G159" s="1">
        <f t="shared" ref="G159:H159" si="76">SUM(G152:G158)</f>
        <v>0</v>
      </c>
      <c r="H159" s="1">
        <f t="shared" si="76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77">SUM(P152:P158)</f>
        <v>0</v>
      </c>
      <c r="Q159" s="1">
        <f t="shared" si="77"/>
        <v>0</v>
      </c>
      <c r="R159" s="1">
        <f>SUBTOTAL(109,R152:R158)</f>
        <v>0</v>
      </c>
      <c r="Y159" s="37"/>
    </row>
    <row r="160" spans="1:28" x14ac:dyDescent="0.3">
      <c r="A160" s="37"/>
      <c r="B160" s="38"/>
      <c r="C160" s="37"/>
      <c r="D160" s="37"/>
      <c r="E160" s="37"/>
      <c r="F160" s="37"/>
      <c r="G160" s="37"/>
      <c r="H160" s="37"/>
      <c r="I160" s="38"/>
      <c r="J160" s="37"/>
      <c r="K160" s="38"/>
      <c r="L160" s="37"/>
      <c r="M160" s="37"/>
      <c r="N160" s="37"/>
      <c r="O160" s="37"/>
      <c r="P160" s="37"/>
      <c r="Q160" s="37"/>
      <c r="R160" s="38"/>
      <c r="S160" s="37"/>
      <c r="T160" s="82"/>
      <c r="U160" s="82"/>
      <c r="V160" s="37"/>
      <c r="W160" s="37"/>
      <c r="X160" s="39"/>
      <c r="Y160" s="37"/>
    </row>
    <row r="161" spans="1:28" x14ac:dyDescent="0.3">
      <c r="A161" s="44" t="s">
        <v>33</v>
      </c>
      <c r="B161" s="6" t="s">
        <v>2</v>
      </c>
      <c r="C161" s="7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4" t="s">
        <v>33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81" t="s">
        <v>11</v>
      </c>
      <c r="U161" s="81"/>
      <c r="W161" s="13" t="s">
        <v>21</v>
      </c>
      <c r="X161" s="15" t="s">
        <v>17</v>
      </c>
      <c r="Y161" s="37"/>
    </row>
    <row r="162" spans="1:28" x14ac:dyDescent="0.3">
      <c r="A162" s="44">
        <f>A152+1</f>
        <v>14</v>
      </c>
      <c r="B162" s="34" t="str">
        <f>TEXT(Tabelle12173030297208314[[#This Row],[Datum]],"tttt")</f>
        <v>Montag</v>
      </c>
      <c r="C162" s="58">
        <f>C158+1</f>
        <v>44285</v>
      </c>
      <c r="D162" s="31"/>
      <c r="E162" s="31"/>
      <c r="F162" s="31"/>
      <c r="G162" s="31"/>
      <c r="H162" s="31"/>
      <c r="I162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4">
        <f>J152+1</f>
        <v>14</v>
      </c>
      <c r="K162" s="34" t="str">
        <f>TEXT(Tabelle1217303029720831468[[#This Row],[Datum]],"tttt")</f>
        <v>Montag</v>
      </c>
      <c r="L162" s="58">
        <f>L158+1</f>
        <v>44285</v>
      </c>
      <c r="M162" s="31"/>
      <c r="N162" s="31"/>
      <c r="O162" s="31"/>
      <c r="P162" s="31"/>
      <c r="Q162" s="31"/>
      <c r="R162" s="49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2" s="81">
        <f t="shared" ref="T162:T163" si="78">R162-I162</f>
        <v>0</v>
      </c>
      <c r="U162" s="81"/>
      <c r="W162" s="17" t="s">
        <v>18</v>
      </c>
      <c r="X162" s="26">
        <f>I169</f>
        <v>0</v>
      </c>
      <c r="Y162" s="37"/>
    </row>
    <row r="163" spans="1:28" x14ac:dyDescent="0.3">
      <c r="B163" s="34" t="str">
        <f>TEXT(Tabelle12173030297208314[[#This Row],[Datum]],"tttt")</f>
        <v>Dienstag</v>
      </c>
      <c r="C163" s="56">
        <f>C162+1</f>
        <v>44286</v>
      </c>
      <c r="D163" s="31"/>
      <c r="E163" s="31"/>
      <c r="F163" s="31"/>
      <c r="G163" s="31"/>
      <c r="H163" s="31"/>
      <c r="I163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4" t="str">
        <f>TEXT(Tabelle1217303029720831468[[#This Row],[Datum]],"tttt")</f>
        <v>Dienstag</v>
      </c>
      <c r="L163" s="56">
        <f>L162+1</f>
        <v>44286</v>
      </c>
      <c r="M163" s="31"/>
      <c r="N163" s="31"/>
      <c r="O163" s="31"/>
      <c r="P163" s="31"/>
      <c r="Q163" s="31"/>
      <c r="R163" s="50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3" s="81">
        <f t="shared" si="78"/>
        <v>0</v>
      </c>
      <c r="U163" s="81"/>
      <c r="W163" s="17" t="s">
        <v>19</v>
      </c>
      <c r="X163" s="26">
        <f>R169</f>
        <v>0</v>
      </c>
      <c r="Y163" s="37"/>
    </row>
    <row r="164" spans="1:28" x14ac:dyDescent="0.3">
      <c r="B164" s="35" t="str">
        <f>TEXT(Tabelle12173030297208314[[#This Row],[Datum]],"tttt")</f>
        <v>Mittwoch</v>
      </c>
      <c r="C164" s="56">
        <f t="shared" ref="C164:C168" si="79">C163+1</f>
        <v>44287</v>
      </c>
      <c r="D164" s="32"/>
      <c r="E164" s="32"/>
      <c r="F164" s="32"/>
      <c r="G164" s="32"/>
      <c r="H164" s="32"/>
      <c r="I164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5" t="str">
        <f>TEXT(Tabelle1217303029720831468[[#This Row],[Datum]],"tttt")</f>
        <v>Mittwoch</v>
      </c>
      <c r="L164" s="56">
        <f t="shared" ref="L164:L168" si="80">L163+1</f>
        <v>44287</v>
      </c>
      <c r="M164" s="32"/>
      <c r="N164" s="32"/>
      <c r="O164" s="32"/>
      <c r="P164" s="32"/>
      <c r="Q164" s="32"/>
      <c r="R164" s="51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4" s="81">
        <f>R164-I164</f>
        <v>0</v>
      </c>
      <c r="U164" s="81"/>
      <c r="W164" s="20" t="s">
        <v>20</v>
      </c>
      <c r="X164" s="27">
        <f>X163-X162</f>
        <v>0</v>
      </c>
      <c r="Y164" s="37"/>
      <c r="Z164" s="66">
        <f>Z154+X164</f>
        <v>0</v>
      </c>
    </row>
    <row r="165" spans="1:28" x14ac:dyDescent="0.3">
      <c r="B165" s="34" t="str">
        <f>TEXT(Tabelle12173030297208314[[#This Row],[Datum]],"tttt")</f>
        <v>Donnerstag</v>
      </c>
      <c r="C165" s="56">
        <f t="shared" si="79"/>
        <v>44288</v>
      </c>
      <c r="D165" s="31"/>
      <c r="E165" s="31"/>
      <c r="F165" s="31"/>
      <c r="G165" s="31"/>
      <c r="H165" s="31"/>
      <c r="I165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4" t="str">
        <f>TEXT(Tabelle1217303029720831468[[#This Row],[Datum]],"tttt")</f>
        <v>Donnerstag</v>
      </c>
      <c r="L165" s="56">
        <f t="shared" si="80"/>
        <v>44288</v>
      </c>
      <c r="M165" s="31"/>
      <c r="N165" s="31"/>
      <c r="O165" s="31"/>
      <c r="P165" s="31"/>
      <c r="Q165" s="31"/>
      <c r="R165" s="50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5" s="81">
        <f>R165-I165</f>
        <v>0</v>
      </c>
      <c r="U165" s="81"/>
      <c r="Y165" s="37"/>
    </row>
    <row r="166" spans="1:28" x14ac:dyDescent="0.3">
      <c r="B166" s="36" t="str">
        <f>TEXT(Tabelle12173030297208314[[#This Row],[Datum]],"tttt")</f>
        <v>Freitag</v>
      </c>
      <c r="C166" s="56">
        <f t="shared" si="79"/>
        <v>44289</v>
      </c>
      <c r="D166" s="32"/>
      <c r="E166" s="32"/>
      <c r="F166" s="32"/>
      <c r="G166" s="32"/>
      <c r="H166" s="32"/>
      <c r="I166" s="52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6" t="str">
        <f>TEXT(Tabelle1217303029720831468[[#This Row],[Datum]],"tttt")</f>
        <v>Freitag</v>
      </c>
      <c r="L166" s="56">
        <f t="shared" si="80"/>
        <v>44289</v>
      </c>
      <c r="M166" s="32"/>
      <c r="N166" s="32"/>
      <c r="O166" s="32"/>
      <c r="P166" s="32"/>
      <c r="Q166" s="32"/>
      <c r="R166" s="52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6" s="81">
        <f>R166-I166</f>
        <v>0</v>
      </c>
      <c r="U166" s="81"/>
      <c r="Y166" s="37"/>
    </row>
    <row r="167" spans="1:28" x14ac:dyDescent="0.3">
      <c r="B167" s="34" t="str">
        <f>TEXT(Tabelle12173030297208314[[#This Row],[Datum]],"tttt")</f>
        <v>Samstag</v>
      </c>
      <c r="C167" s="56">
        <f t="shared" si="79"/>
        <v>44290</v>
      </c>
      <c r="D167" s="31"/>
      <c r="E167" s="31"/>
      <c r="F167" s="31"/>
      <c r="G167" s="31"/>
      <c r="H167" s="31"/>
      <c r="I167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4" t="str">
        <f>TEXT(Tabelle1217303029720831468[[#This Row],[Datum]],"tttt")</f>
        <v>Samstag</v>
      </c>
      <c r="L167" s="56">
        <f t="shared" si="80"/>
        <v>44290</v>
      </c>
      <c r="M167" s="31"/>
      <c r="N167" s="31"/>
      <c r="O167" s="31"/>
      <c r="P167" s="31"/>
      <c r="Q167" s="31"/>
      <c r="R167" s="50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7" s="81">
        <f t="shared" ref="T167:T168" si="81">R167-I167</f>
        <v>0</v>
      </c>
      <c r="U167" s="81"/>
      <c r="Y167" s="37"/>
    </row>
    <row r="168" spans="1:28" s="40" customFormat="1" x14ac:dyDescent="0.3">
      <c r="B168" s="36" t="str">
        <f>TEXT(Tabelle12173030297208314[[#This Row],[Datum]],"tttt")</f>
        <v>Sonntag</v>
      </c>
      <c r="C168" s="57">
        <f t="shared" si="79"/>
        <v>44291</v>
      </c>
      <c r="D168" s="32"/>
      <c r="E168" s="32"/>
      <c r="F168" s="32"/>
      <c r="G168" s="32"/>
      <c r="H168" s="32"/>
      <c r="I168" s="53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6" t="str">
        <f>TEXT(Tabelle1217303029720831468[[#This Row],[Datum]],"tttt")</f>
        <v>Sonntag</v>
      </c>
      <c r="L168" s="57">
        <f t="shared" si="80"/>
        <v>44291</v>
      </c>
      <c r="M168" s="32"/>
      <c r="N168" s="32"/>
      <c r="O168" s="32"/>
      <c r="P168" s="32"/>
      <c r="Q168" s="32"/>
      <c r="R168" s="53" t="str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0:00</v>
      </c>
      <c r="T168" s="81">
        <f t="shared" si="81"/>
        <v>0</v>
      </c>
      <c r="U168" s="81"/>
      <c r="V168" s="42"/>
      <c r="W168" s="42"/>
      <c r="X168" s="45"/>
      <c r="Y168" s="37"/>
      <c r="AB168" s="41"/>
    </row>
    <row r="169" spans="1:28" x14ac:dyDescent="0.3">
      <c r="B169" s="5"/>
      <c r="C169" s="3"/>
      <c r="D169" s="1"/>
      <c r="E169" s="1"/>
      <c r="F169" s="1"/>
      <c r="G169" s="1">
        <f t="shared" ref="G169:H169" si="82">SUM(G162:G168)</f>
        <v>0</v>
      </c>
      <c r="H169" s="1">
        <f t="shared" si="82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83">SUM(P162:P168)</f>
        <v>0</v>
      </c>
      <c r="Q169" s="1">
        <f t="shared" si="83"/>
        <v>0</v>
      </c>
      <c r="R169" s="1">
        <f>SUBTOTAL(109,R162:R168)</f>
        <v>0</v>
      </c>
      <c r="Y169" s="37"/>
    </row>
    <row r="170" spans="1:28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82"/>
      <c r="U170" s="82"/>
      <c r="V170" s="37"/>
      <c r="W170" s="37"/>
      <c r="X170" s="39"/>
      <c r="Y170" s="37"/>
    </row>
    <row r="171" spans="1:28" x14ac:dyDescent="0.3">
      <c r="A171" s="44" t="s">
        <v>33</v>
      </c>
      <c r="B171" s="6" t="s">
        <v>2</v>
      </c>
      <c r="C171" s="7" t="s">
        <v>3</v>
      </c>
      <c r="D171" s="4" t="s">
        <v>4</v>
      </c>
      <c r="E171" s="4" t="s">
        <v>5</v>
      </c>
      <c r="F171" s="4" t="s">
        <v>6</v>
      </c>
      <c r="G171" s="4" t="s">
        <v>7</v>
      </c>
      <c r="H171" s="4" t="s">
        <v>8</v>
      </c>
      <c r="I171" s="4" t="s">
        <v>9</v>
      </c>
      <c r="J171" s="44" t="s">
        <v>33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81" t="s">
        <v>11</v>
      </c>
      <c r="U171" s="81"/>
      <c r="W171" s="13" t="s">
        <v>21</v>
      </c>
      <c r="X171" s="15" t="s">
        <v>17</v>
      </c>
      <c r="Y171" s="37"/>
    </row>
    <row r="172" spans="1:28" x14ac:dyDescent="0.3">
      <c r="A172" s="44">
        <f>A162+1</f>
        <v>15</v>
      </c>
      <c r="B172" s="34" t="str">
        <f>TEXT(Tabelle12173030297208415[[#This Row],[Datum]],"tttt")</f>
        <v>Montag</v>
      </c>
      <c r="C172" s="58">
        <f>C168+1</f>
        <v>44292</v>
      </c>
      <c r="D172" s="31"/>
      <c r="E172" s="31"/>
      <c r="F172" s="31"/>
      <c r="G172" s="31"/>
      <c r="H172" s="31"/>
      <c r="I172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4">
        <f>J162+1</f>
        <v>15</v>
      </c>
      <c r="K172" s="34" t="str">
        <f>TEXT(Tabelle1217303029720841569[[#This Row],[Datum]],"tttt")</f>
        <v>Montag</v>
      </c>
      <c r="L172" s="58">
        <f>L168+1</f>
        <v>44292</v>
      </c>
      <c r="M172" s="31"/>
      <c r="N172" s="31"/>
      <c r="O172" s="31"/>
      <c r="P172" s="31"/>
      <c r="Q172" s="31"/>
      <c r="R172" s="49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2" s="81">
        <f t="shared" ref="T172:T173" si="84">R172-I172</f>
        <v>0</v>
      </c>
      <c r="U172" s="81"/>
      <c r="W172" s="17" t="s">
        <v>18</v>
      </c>
      <c r="X172" s="26">
        <f>I179</f>
        <v>0</v>
      </c>
      <c r="Y172" s="37"/>
    </row>
    <row r="173" spans="1:28" x14ac:dyDescent="0.3">
      <c r="B173" s="34" t="str">
        <f>TEXT(Tabelle12173030297208415[[#This Row],[Datum]],"tttt")</f>
        <v>Dienstag</v>
      </c>
      <c r="C173" s="56">
        <f>C172+1</f>
        <v>44293</v>
      </c>
      <c r="D173" s="31"/>
      <c r="E173" s="31"/>
      <c r="F173" s="31"/>
      <c r="G173" s="31"/>
      <c r="H173" s="31"/>
      <c r="I173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4" t="str">
        <f>TEXT(Tabelle1217303029720841569[[#This Row],[Datum]],"tttt")</f>
        <v>Dienstag</v>
      </c>
      <c r="L173" s="56">
        <f>L172+1</f>
        <v>44293</v>
      </c>
      <c r="M173" s="31"/>
      <c r="N173" s="31"/>
      <c r="O173" s="31"/>
      <c r="P173" s="31"/>
      <c r="Q173" s="31"/>
      <c r="R173" s="50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3" s="81">
        <f t="shared" si="84"/>
        <v>0</v>
      </c>
      <c r="U173" s="81"/>
      <c r="W173" s="17" t="s">
        <v>19</v>
      </c>
      <c r="X173" s="26">
        <f>R179</f>
        <v>0</v>
      </c>
      <c r="Y173" s="37"/>
    </row>
    <row r="174" spans="1:28" x14ac:dyDescent="0.3">
      <c r="B174" s="35" t="str">
        <f>TEXT(Tabelle12173030297208415[[#This Row],[Datum]],"tttt")</f>
        <v>Mittwoch</v>
      </c>
      <c r="C174" s="56">
        <f t="shared" ref="C174:C178" si="85">C173+1</f>
        <v>44294</v>
      </c>
      <c r="D174" s="32"/>
      <c r="E174" s="32"/>
      <c r="F174" s="32"/>
      <c r="G174" s="32"/>
      <c r="H174" s="32"/>
      <c r="I174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5" t="str">
        <f>TEXT(Tabelle1217303029720841569[[#This Row],[Datum]],"tttt")</f>
        <v>Mittwoch</v>
      </c>
      <c r="L174" s="56">
        <f t="shared" ref="L174:L178" si="86">L173+1</f>
        <v>44294</v>
      </c>
      <c r="M174" s="32"/>
      <c r="N174" s="32"/>
      <c r="O174" s="32"/>
      <c r="P174" s="32"/>
      <c r="Q174" s="32"/>
      <c r="R174" s="51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4" s="81">
        <f>R174-I174</f>
        <v>0</v>
      </c>
      <c r="U174" s="81"/>
      <c r="W174" s="20" t="s">
        <v>20</v>
      </c>
      <c r="X174" s="27">
        <f>X173-X172</f>
        <v>0</v>
      </c>
      <c r="Y174" s="37"/>
      <c r="Z174" s="66">
        <f>Z164+X174</f>
        <v>0</v>
      </c>
    </row>
    <row r="175" spans="1:28" x14ac:dyDescent="0.3">
      <c r="B175" s="34" t="str">
        <f>TEXT(Tabelle12173030297208415[[#This Row],[Datum]],"tttt")</f>
        <v>Donnerstag</v>
      </c>
      <c r="C175" s="56">
        <f t="shared" si="85"/>
        <v>44295</v>
      </c>
      <c r="D175" s="31"/>
      <c r="E175" s="31"/>
      <c r="F175" s="31"/>
      <c r="G175" s="31"/>
      <c r="H175" s="31"/>
      <c r="I175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4" t="str">
        <f>TEXT(Tabelle1217303029720841569[[#This Row],[Datum]],"tttt")</f>
        <v>Donnerstag</v>
      </c>
      <c r="L175" s="56">
        <f t="shared" si="86"/>
        <v>44295</v>
      </c>
      <c r="M175" s="31"/>
      <c r="N175" s="31"/>
      <c r="O175" s="31"/>
      <c r="P175" s="31"/>
      <c r="Q175" s="31"/>
      <c r="R175" s="50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5" s="81">
        <f>R175-I175</f>
        <v>0</v>
      </c>
      <c r="U175" s="81"/>
      <c r="Y175" s="37"/>
    </row>
    <row r="176" spans="1:28" x14ac:dyDescent="0.3">
      <c r="B176" s="36" t="str">
        <f>TEXT(Tabelle12173030297208415[[#This Row],[Datum]],"tttt")</f>
        <v>Freitag</v>
      </c>
      <c r="C176" s="56">
        <f t="shared" si="85"/>
        <v>44296</v>
      </c>
      <c r="D176" s="32"/>
      <c r="E176" s="32"/>
      <c r="F176" s="32"/>
      <c r="G176" s="32"/>
      <c r="H176" s="32"/>
      <c r="I176" s="52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6" t="str">
        <f>TEXT(Tabelle1217303029720841569[[#This Row],[Datum]],"tttt")</f>
        <v>Freitag</v>
      </c>
      <c r="L176" s="56">
        <f t="shared" si="86"/>
        <v>44296</v>
      </c>
      <c r="M176" s="32"/>
      <c r="N176" s="32"/>
      <c r="O176" s="32"/>
      <c r="P176" s="32"/>
      <c r="Q176" s="32"/>
      <c r="R176" s="52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6" s="81">
        <f>R176-I176</f>
        <v>0</v>
      </c>
      <c r="U176" s="81"/>
      <c r="Y176" s="37"/>
    </row>
    <row r="177" spans="1:28" x14ac:dyDescent="0.3">
      <c r="B177" s="34" t="str">
        <f>TEXT(Tabelle12173030297208415[[#This Row],[Datum]],"tttt")</f>
        <v>Samstag</v>
      </c>
      <c r="C177" s="56">
        <f t="shared" si="85"/>
        <v>44297</v>
      </c>
      <c r="D177" s="31"/>
      <c r="E177" s="31"/>
      <c r="F177" s="31"/>
      <c r="G177" s="31"/>
      <c r="H177" s="31"/>
      <c r="I177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4" t="str">
        <f>TEXT(Tabelle1217303029720841569[[#This Row],[Datum]],"tttt")</f>
        <v>Samstag</v>
      </c>
      <c r="L177" s="56">
        <f t="shared" si="86"/>
        <v>44297</v>
      </c>
      <c r="M177" s="31"/>
      <c r="N177" s="31"/>
      <c r="O177" s="31"/>
      <c r="P177" s="31"/>
      <c r="Q177" s="31"/>
      <c r="R177" s="50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7" s="81">
        <f t="shared" ref="T177:T178" si="87">R177-I177</f>
        <v>0</v>
      </c>
      <c r="U177" s="81"/>
      <c r="Y177" s="37"/>
    </row>
    <row r="178" spans="1:28" s="40" customFormat="1" x14ac:dyDescent="0.3">
      <c r="B178" s="36" t="str">
        <f>TEXT(Tabelle12173030297208415[[#This Row],[Datum]],"tttt")</f>
        <v>Sonntag</v>
      </c>
      <c r="C178" s="57">
        <f t="shared" si="85"/>
        <v>44298</v>
      </c>
      <c r="D178" s="32"/>
      <c r="E178" s="32"/>
      <c r="F178" s="32"/>
      <c r="G178" s="32"/>
      <c r="H178" s="32"/>
      <c r="I178" s="53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6" t="str">
        <f>TEXT(Tabelle1217303029720841569[[#This Row],[Datum]],"tttt")</f>
        <v>Sonntag</v>
      </c>
      <c r="L178" s="57">
        <f t="shared" si="86"/>
        <v>44298</v>
      </c>
      <c r="M178" s="32"/>
      <c r="N178" s="32"/>
      <c r="O178" s="32"/>
      <c r="P178" s="32"/>
      <c r="Q178" s="32"/>
      <c r="R178" s="53" t="str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0:00</v>
      </c>
      <c r="T178" s="81">
        <f t="shared" si="87"/>
        <v>0</v>
      </c>
      <c r="U178" s="81"/>
      <c r="V178" s="42"/>
      <c r="W178" s="42"/>
      <c r="X178" s="45"/>
      <c r="Y178" s="37"/>
      <c r="AB178" s="41"/>
    </row>
    <row r="179" spans="1:28" x14ac:dyDescent="0.3">
      <c r="B179" s="5"/>
      <c r="C179" s="3"/>
      <c r="D179" s="1"/>
      <c r="E179" s="1"/>
      <c r="F179" s="1"/>
      <c r="G179" s="1">
        <f t="shared" ref="G179:H179" si="88">SUM(G172:G178)</f>
        <v>0</v>
      </c>
      <c r="H179" s="1">
        <f t="shared" si="88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89">SUM(P172:P178)</f>
        <v>0</v>
      </c>
      <c r="Q179" s="1">
        <f t="shared" si="89"/>
        <v>0</v>
      </c>
      <c r="R179" s="1">
        <f>SUBTOTAL(109,R172:R178)</f>
        <v>0</v>
      </c>
      <c r="Y179" s="37"/>
    </row>
    <row r="180" spans="1:28" x14ac:dyDescent="0.3">
      <c r="A180" s="37"/>
      <c r="B180" s="38"/>
      <c r="C180" s="37"/>
      <c r="D180" s="37"/>
      <c r="E180" s="37"/>
      <c r="F180" s="37"/>
      <c r="G180" s="37"/>
      <c r="H180" s="37"/>
      <c r="I180" s="38"/>
      <c r="J180" s="37"/>
      <c r="K180" s="38"/>
      <c r="L180" s="37"/>
      <c r="M180" s="37"/>
      <c r="N180" s="37"/>
      <c r="O180" s="37"/>
      <c r="P180" s="37"/>
      <c r="Q180" s="37"/>
      <c r="R180" s="38"/>
      <c r="S180" s="37"/>
      <c r="T180" s="82"/>
      <c r="U180" s="82"/>
      <c r="V180" s="37"/>
      <c r="W180" s="37"/>
      <c r="X180" s="39"/>
      <c r="Y180" s="37"/>
    </row>
    <row r="181" spans="1:28" x14ac:dyDescent="0.3">
      <c r="A181" s="44" t="s">
        <v>33</v>
      </c>
      <c r="B181" s="6" t="s">
        <v>2</v>
      </c>
      <c r="C181" s="7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  <c r="I181" s="4" t="s">
        <v>9</v>
      </c>
      <c r="J181" s="44" t="s">
        <v>33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81" t="s">
        <v>11</v>
      </c>
      <c r="U181" s="81"/>
      <c r="W181" s="13" t="s">
        <v>21</v>
      </c>
      <c r="X181" s="15" t="s">
        <v>17</v>
      </c>
      <c r="Y181" s="37"/>
    </row>
    <row r="182" spans="1:28" x14ac:dyDescent="0.3">
      <c r="A182" s="44">
        <f>A172+1</f>
        <v>16</v>
      </c>
      <c r="B182" s="34" t="str">
        <f>TEXT(Tabelle1217303029720816[[#This Row],[Datum]],"tttt")</f>
        <v>Montag</v>
      </c>
      <c r="C182" s="58">
        <f>C178+1</f>
        <v>44299</v>
      </c>
      <c r="D182" s="31"/>
      <c r="E182" s="31"/>
      <c r="F182" s="31"/>
      <c r="G182" s="31"/>
      <c r="H182" s="31"/>
      <c r="I182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4">
        <f>J172+1</f>
        <v>16</v>
      </c>
      <c r="K182" s="34" t="str">
        <f>TEXT(Tabelle121730302972081670[[#This Row],[Datum]],"tttt")</f>
        <v>Montag</v>
      </c>
      <c r="L182" s="58">
        <f>L178+1</f>
        <v>44299</v>
      </c>
      <c r="M182" s="31"/>
      <c r="N182" s="31"/>
      <c r="O182" s="31"/>
      <c r="P182" s="31"/>
      <c r="Q182" s="31"/>
      <c r="R182" s="49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2" s="81">
        <f t="shared" ref="T182:T183" si="90">R182-I182</f>
        <v>0</v>
      </c>
      <c r="U182" s="81"/>
      <c r="W182" s="17" t="s">
        <v>18</v>
      </c>
      <c r="X182" s="26">
        <f>I189</f>
        <v>0</v>
      </c>
      <c r="Y182" s="37"/>
    </row>
    <row r="183" spans="1:28" x14ac:dyDescent="0.3">
      <c r="B183" s="34" t="str">
        <f>TEXT(Tabelle1217303029720816[[#This Row],[Datum]],"tttt")</f>
        <v>Dienstag</v>
      </c>
      <c r="C183" s="56">
        <f>C182+1</f>
        <v>44300</v>
      </c>
      <c r="D183" s="31"/>
      <c r="E183" s="31"/>
      <c r="F183" s="31"/>
      <c r="G183" s="31"/>
      <c r="H183" s="31"/>
      <c r="I183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4" t="str">
        <f>TEXT(Tabelle121730302972081670[[#This Row],[Datum]],"tttt")</f>
        <v>Dienstag</v>
      </c>
      <c r="L183" s="56">
        <f>L182+1</f>
        <v>44300</v>
      </c>
      <c r="M183" s="31"/>
      <c r="N183" s="31"/>
      <c r="O183" s="31"/>
      <c r="P183" s="31"/>
      <c r="Q183" s="31"/>
      <c r="R183" s="50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3" s="81">
        <f t="shared" si="90"/>
        <v>0</v>
      </c>
      <c r="U183" s="81"/>
      <c r="W183" s="17" t="s">
        <v>19</v>
      </c>
      <c r="X183" s="26">
        <f>R189</f>
        <v>0</v>
      </c>
      <c r="Y183" s="37"/>
    </row>
    <row r="184" spans="1:28" x14ac:dyDescent="0.3">
      <c r="B184" s="35" t="str">
        <f>TEXT(Tabelle1217303029720816[[#This Row],[Datum]],"tttt")</f>
        <v>Mittwoch</v>
      </c>
      <c r="C184" s="56">
        <f t="shared" ref="C184:C188" si="91">C183+1</f>
        <v>44301</v>
      </c>
      <c r="D184" s="32"/>
      <c r="E184" s="32"/>
      <c r="F184" s="32"/>
      <c r="G184" s="32"/>
      <c r="H184" s="32"/>
      <c r="I184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5" t="str">
        <f>TEXT(Tabelle121730302972081670[[#This Row],[Datum]],"tttt")</f>
        <v>Mittwoch</v>
      </c>
      <c r="L184" s="56">
        <f t="shared" ref="L184:L188" si="92">L183+1</f>
        <v>44301</v>
      </c>
      <c r="M184" s="32"/>
      <c r="N184" s="32"/>
      <c r="O184" s="32"/>
      <c r="P184" s="32"/>
      <c r="Q184" s="32"/>
      <c r="R184" s="51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4" s="81">
        <f>R184-I184</f>
        <v>0</v>
      </c>
      <c r="U184" s="81"/>
      <c r="W184" s="20" t="s">
        <v>20</v>
      </c>
      <c r="X184" s="27">
        <f>X183-X182</f>
        <v>0</v>
      </c>
      <c r="Y184" s="37"/>
      <c r="Z184" s="66">
        <f>Z174+X184</f>
        <v>0</v>
      </c>
    </row>
    <row r="185" spans="1:28" x14ac:dyDescent="0.3">
      <c r="B185" s="34" t="str">
        <f>TEXT(Tabelle1217303029720816[[#This Row],[Datum]],"tttt")</f>
        <v>Donnerstag</v>
      </c>
      <c r="C185" s="56">
        <f t="shared" si="91"/>
        <v>44302</v>
      </c>
      <c r="D185" s="31"/>
      <c r="E185" s="31"/>
      <c r="F185" s="31"/>
      <c r="G185" s="31"/>
      <c r="H185" s="31"/>
      <c r="I185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4" t="str">
        <f>TEXT(Tabelle121730302972081670[[#This Row],[Datum]],"tttt")</f>
        <v>Donnerstag</v>
      </c>
      <c r="L185" s="56">
        <f t="shared" si="92"/>
        <v>44302</v>
      </c>
      <c r="M185" s="31"/>
      <c r="N185" s="31"/>
      <c r="O185" s="31"/>
      <c r="P185" s="31"/>
      <c r="Q185" s="31"/>
      <c r="R185" s="50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5" s="81">
        <f>R185-I185</f>
        <v>0</v>
      </c>
      <c r="U185" s="81"/>
      <c r="Y185" s="37"/>
    </row>
    <row r="186" spans="1:28" x14ac:dyDescent="0.3">
      <c r="B186" s="36" t="str">
        <f>TEXT(Tabelle1217303029720816[[#This Row],[Datum]],"tttt")</f>
        <v>Freitag</v>
      </c>
      <c r="C186" s="56">
        <f t="shared" si="91"/>
        <v>44303</v>
      </c>
      <c r="D186" s="32"/>
      <c r="E186" s="32"/>
      <c r="F186" s="32"/>
      <c r="G186" s="32"/>
      <c r="H186" s="32"/>
      <c r="I186" s="52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6" t="str">
        <f>TEXT(Tabelle121730302972081670[[#This Row],[Datum]],"tttt")</f>
        <v>Freitag</v>
      </c>
      <c r="L186" s="56">
        <f t="shared" si="92"/>
        <v>44303</v>
      </c>
      <c r="M186" s="32"/>
      <c r="N186" s="32"/>
      <c r="O186" s="32"/>
      <c r="P186" s="32"/>
      <c r="Q186" s="32"/>
      <c r="R186" s="52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6" s="81">
        <f>R186-I186</f>
        <v>0</v>
      </c>
      <c r="U186" s="81"/>
      <c r="Y186" s="37"/>
    </row>
    <row r="187" spans="1:28" x14ac:dyDescent="0.3">
      <c r="B187" s="34" t="str">
        <f>TEXT(Tabelle1217303029720816[[#This Row],[Datum]],"tttt")</f>
        <v>Samstag</v>
      </c>
      <c r="C187" s="56">
        <f t="shared" si="91"/>
        <v>44304</v>
      </c>
      <c r="D187" s="31"/>
      <c r="E187" s="31"/>
      <c r="F187" s="31"/>
      <c r="G187" s="31"/>
      <c r="H187" s="31"/>
      <c r="I187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4" t="str">
        <f>TEXT(Tabelle121730302972081670[[#This Row],[Datum]],"tttt")</f>
        <v>Samstag</v>
      </c>
      <c r="L187" s="56">
        <f t="shared" si="92"/>
        <v>44304</v>
      </c>
      <c r="M187" s="31"/>
      <c r="N187" s="31"/>
      <c r="O187" s="31"/>
      <c r="P187" s="31"/>
      <c r="Q187" s="31"/>
      <c r="R187" s="50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7" s="81">
        <f t="shared" ref="T187:T188" si="93">R187-I187</f>
        <v>0</v>
      </c>
      <c r="U187" s="81"/>
      <c r="Y187" s="37"/>
    </row>
    <row r="188" spans="1:28" s="40" customFormat="1" x14ac:dyDescent="0.3">
      <c r="B188" s="36" t="str">
        <f>TEXT(Tabelle1217303029720816[[#This Row],[Datum]],"tttt")</f>
        <v>Sonntag</v>
      </c>
      <c r="C188" s="57">
        <f t="shared" si="91"/>
        <v>44305</v>
      </c>
      <c r="D188" s="32"/>
      <c r="E188" s="32"/>
      <c r="F188" s="32"/>
      <c r="G188" s="32"/>
      <c r="H188" s="32"/>
      <c r="I188" s="53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6" t="str">
        <f>TEXT(Tabelle121730302972081670[[#This Row],[Datum]],"tttt")</f>
        <v>Sonntag</v>
      </c>
      <c r="L188" s="57">
        <f t="shared" si="92"/>
        <v>44305</v>
      </c>
      <c r="M188" s="32"/>
      <c r="N188" s="32"/>
      <c r="O188" s="32"/>
      <c r="P188" s="32"/>
      <c r="Q188" s="32"/>
      <c r="R188" s="53" t="str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0:00</v>
      </c>
      <c r="T188" s="81">
        <f t="shared" si="93"/>
        <v>0</v>
      </c>
      <c r="U188" s="81"/>
      <c r="V188" s="42"/>
      <c r="W188" s="42"/>
      <c r="X188" s="45"/>
      <c r="Y188" s="37"/>
      <c r="AB188" s="41"/>
    </row>
    <row r="189" spans="1:28" x14ac:dyDescent="0.3">
      <c r="B189" s="5"/>
      <c r="C189" s="3"/>
      <c r="D189" s="1"/>
      <c r="E189" s="1"/>
      <c r="F189" s="1"/>
      <c r="G189" s="1">
        <f t="shared" ref="G189:H189" si="94">SUM(G182:G188)</f>
        <v>0</v>
      </c>
      <c r="H189" s="1">
        <f t="shared" si="9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95">SUM(P182:P188)</f>
        <v>0</v>
      </c>
      <c r="Q189" s="1">
        <f t="shared" si="95"/>
        <v>0</v>
      </c>
      <c r="R189" s="1">
        <f>SUBTOTAL(109,R182:R188)</f>
        <v>0</v>
      </c>
      <c r="Y189" s="37"/>
    </row>
    <row r="190" spans="1:28" x14ac:dyDescent="0.3">
      <c r="A190" s="37"/>
      <c r="B190" s="38"/>
      <c r="C190" s="37"/>
      <c r="D190" s="37"/>
      <c r="E190" s="37"/>
      <c r="F190" s="37"/>
      <c r="G190" s="37"/>
      <c r="H190" s="37"/>
      <c r="I190" s="38"/>
      <c r="J190" s="37"/>
      <c r="K190" s="38"/>
      <c r="L190" s="37"/>
      <c r="M190" s="37"/>
      <c r="N190" s="37"/>
      <c r="O190" s="37"/>
      <c r="P190" s="37"/>
      <c r="Q190" s="37"/>
      <c r="R190" s="38"/>
      <c r="S190" s="37"/>
      <c r="T190" s="82"/>
      <c r="U190" s="82"/>
      <c r="V190" s="37"/>
      <c r="W190" s="37"/>
      <c r="X190" s="39"/>
      <c r="Y190" s="37"/>
    </row>
    <row r="191" spans="1:28" x14ac:dyDescent="0.3">
      <c r="A191" s="44" t="s">
        <v>33</v>
      </c>
      <c r="B191" s="6" t="s">
        <v>2</v>
      </c>
      <c r="C191" s="7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  <c r="I191" s="4" t="s">
        <v>9</v>
      </c>
      <c r="J191" s="44" t="s">
        <v>33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81" t="s">
        <v>11</v>
      </c>
      <c r="U191" s="81"/>
      <c r="W191" s="13" t="s">
        <v>21</v>
      </c>
      <c r="X191" s="15" t="s">
        <v>17</v>
      </c>
      <c r="Y191" s="37"/>
    </row>
    <row r="192" spans="1:28" x14ac:dyDescent="0.3">
      <c r="A192" s="44">
        <f>A182+1</f>
        <v>17</v>
      </c>
      <c r="B192" s="34" t="str">
        <f>TEXT(Tabelle12173030297208317[[#This Row],[Datum]],"tttt")</f>
        <v>Montag</v>
      </c>
      <c r="C192" s="58">
        <f>C188+1</f>
        <v>44306</v>
      </c>
      <c r="D192" s="31"/>
      <c r="E192" s="31"/>
      <c r="F192" s="31"/>
      <c r="G192" s="31"/>
      <c r="H192" s="31"/>
      <c r="I192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4">
        <f>J182+1</f>
        <v>17</v>
      </c>
      <c r="K192" s="34" t="str">
        <f>TEXT(Tabelle1217303029720831771[[#This Row],[Datum]],"tttt")</f>
        <v>Montag</v>
      </c>
      <c r="L192" s="58">
        <f>L188+1</f>
        <v>44306</v>
      </c>
      <c r="M192" s="31"/>
      <c r="N192" s="31"/>
      <c r="O192" s="31"/>
      <c r="P192" s="31"/>
      <c r="Q192" s="31"/>
      <c r="R192" s="49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2" s="81">
        <f t="shared" ref="T192:T193" si="96">R192-I192</f>
        <v>0</v>
      </c>
      <c r="U192" s="81"/>
      <c r="W192" s="17" t="s">
        <v>18</v>
      </c>
      <c r="X192" s="26">
        <f>I199</f>
        <v>0</v>
      </c>
      <c r="Y192" s="37"/>
    </row>
    <row r="193" spans="1:28" x14ac:dyDescent="0.3">
      <c r="B193" s="34" t="str">
        <f>TEXT(Tabelle12173030297208317[[#This Row],[Datum]],"tttt")</f>
        <v>Dienstag</v>
      </c>
      <c r="C193" s="56">
        <f>C192+1</f>
        <v>44307</v>
      </c>
      <c r="D193" s="31"/>
      <c r="E193" s="31"/>
      <c r="F193" s="31"/>
      <c r="G193" s="31"/>
      <c r="H193" s="31"/>
      <c r="I193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4" t="str">
        <f>TEXT(Tabelle1217303029720831771[[#This Row],[Datum]],"tttt")</f>
        <v>Dienstag</v>
      </c>
      <c r="L193" s="56">
        <f>L192+1</f>
        <v>44307</v>
      </c>
      <c r="M193" s="31"/>
      <c r="N193" s="31"/>
      <c r="O193" s="31"/>
      <c r="P193" s="31"/>
      <c r="Q193" s="31"/>
      <c r="R193" s="50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3" s="81">
        <f t="shared" si="96"/>
        <v>0</v>
      </c>
      <c r="U193" s="81"/>
      <c r="W193" s="17" t="s">
        <v>19</v>
      </c>
      <c r="X193" s="26">
        <f>R199</f>
        <v>0</v>
      </c>
      <c r="Y193" s="37"/>
    </row>
    <row r="194" spans="1:28" x14ac:dyDescent="0.3">
      <c r="B194" s="35" t="str">
        <f>TEXT(Tabelle12173030297208317[[#This Row],[Datum]],"tttt")</f>
        <v>Mittwoch</v>
      </c>
      <c r="C194" s="56">
        <f t="shared" ref="C194:C198" si="97">C193+1</f>
        <v>44308</v>
      </c>
      <c r="D194" s="32"/>
      <c r="E194" s="32"/>
      <c r="F194" s="32"/>
      <c r="G194" s="32"/>
      <c r="H194" s="32"/>
      <c r="I194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5" t="str">
        <f>TEXT(Tabelle1217303029720831771[[#This Row],[Datum]],"tttt")</f>
        <v>Mittwoch</v>
      </c>
      <c r="L194" s="56">
        <f t="shared" ref="L194:L198" si="98">L193+1</f>
        <v>44308</v>
      </c>
      <c r="M194" s="32"/>
      <c r="N194" s="32"/>
      <c r="O194" s="32"/>
      <c r="P194" s="32"/>
      <c r="Q194" s="32"/>
      <c r="R194" s="51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4" s="81">
        <f>R194-I194</f>
        <v>0</v>
      </c>
      <c r="U194" s="81"/>
      <c r="W194" s="20" t="s">
        <v>20</v>
      </c>
      <c r="X194" s="27">
        <f>X193-X192</f>
        <v>0</v>
      </c>
      <c r="Y194" s="37"/>
      <c r="Z194" s="66">
        <f>Z184+X194</f>
        <v>0</v>
      </c>
    </row>
    <row r="195" spans="1:28" x14ac:dyDescent="0.3">
      <c r="B195" s="34" t="str">
        <f>TEXT(Tabelle12173030297208317[[#This Row],[Datum]],"tttt")</f>
        <v>Donnerstag</v>
      </c>
      <c r="C195" s="56">
        <f t="shared" si="97"/>
        <v>44309</v>
      </c>
      <c r="D195" s="31"/>
      <c r="E195" s="31"/>
      <c r="F195" s="31"/>
      <c r="G195" s="31"/>
      <c r="H195" s="31"/>
      <c r="I195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4" t="str">
        <f>TEXT(Tabelle1217303029720831771[[#This Row],[Datum]],"tttt")</f>
        <v>Donnerstag</v>
      </c>
      <c r="L195" s="56">
        <f t="shared" si="98"/>
        <v>44309</v>
      </c>
      <c r="M195" s="31"/>
      <c r="N195" s="31"/>
      <c r="O195" s="31"/>
      <c r="P195" s="31"/>
      <c r="Q195" s="31"/>
      <c r="R195" s="50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5" s="81">
        <f>R195-I195</f>
        <v>0</v>
      </c>
      <c r="U195" s="81"/>
      <c r="Y195" s="37"/>
    </row>
    <row r="196" spans="1:28" x14ac:dyDescent="0.3">
      <c r="B196" s="36" t="str">
        <f>TEXT(Tabelle12173030297208317[[#This Row],[Datum]],"tttt")</f>
        <v>Freitag</v>
      </c>
      <c r="C196" s="56">
        <f t="shared" si="97"/>
        <v>44310</v>
      </c>
      <c r="D196" s="32"/>
      <c r="E196" s="32"/>
      <c r="F196" s="32"/>
      <c r="G196" s="32"/>
      <c r="H196" s="32"/>
      <c r="I196" s="52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6" t="str">
        <f>TEXT(Tabelle1217303029720831771[[#This Row],[Datum]],"tttt")</f>
        <v>Freitag</v>
      </c>
      <c r="L196" s="56">
        <f t="shared" si="98"/>
        <v>44310</v>
      </c>
      <c r="M196" s="32"/>
      <c r="N196" s="32"/>
      <c r="O196" s="32"/>
      <c r="P196" s="32"/>
      <c r="Q196" s="32"/>
      <c r="R196" s="52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6" s="81">
        <f>R196-I196</f>
        <v>0</v>
      </c>
      <c r="U196" s="81"/>
      <c r="Y196" s="37"/>
    </row>
    <row r="197" spans="1:28" x14ac:dyDescent="0.3">
      <c r="B197" s="34" t="str">
        <f>TEXT(Tabelle12173030297208317[[#This Row],[Datum]],"tttt")</f>
        <v>Samstag</v>
      </c>
      <c r="C197" s="56">
        <f t="shared" si="97"/>
        <v>44311</v>
      </c>
      <c r="D197" s="31"/>
      <c r="E197" s="31"/>
      <c r="F197" s="31"/>
      <c r="G197" s="31"/>
      <c r="H197" s="31"/>
      <c r="I197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4" t="str">
        <f>TEXT(Tabelle1217303029720831771[[#This Row],[Datum]],"tttt")</f>
        <v>Samstag</v>
      </c>
      <c r="L197" s="56">
        <f t="shared" si="98"/>
        <v>44311</v>
      </c>
      <c r="M197" s="31"/>
      <c r="N197" s="31"/>
      <c r="O197" s="31"/>
      <c r="P197" s="31"/>
      <c r="Q197" s="31"/>
      <c r="R197" s="50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7" s="81">
        <f t="shared" ref="T197:T198" si="99">R197-I197</f>
        <v>0</v>
      </c>
      <c r="U197" s="81"/>
      <c r="Y197" s="37"/>
    </row>
    <row r="198" spans="1:28" s="40" customFormat="1" x14ac:dyDescent="0.3">
      <c r="B198" s="36" t="str">
        <f>TEXT(Tabelle12173030297208317[[#This Row],[Datum]],"tttt")</f>
        <v>Sonntag</v>
      </c>
      <c r="C198" s="57">
        <f t="shared" si="97"/>
        <v>44312</v>
      </c>
      <c r="D198" s="32"/>
      <c r="E198" s="32"/>
      <c r="F198" s="32"/>
      <c r="G198" s="32"/>
      <c r="H198" s="32"/>
      <c r="I198" s="53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6" t="str">
        <f>TEXT(Tabelle1217303029720831771[[#This Row],[Datum]],"tttt")</f>
        <v>Sonntag</v>
      </c>
      <c r="L198" s="57">
        <f t="shared" si="98"/>
        <v>44312</v>
      </c>
      <c r="M198" s="32"/>
      <c r="N198" s="32"/>
      <c r="O198" s="32"/>
      <c r="P198" s="32"/>
      <c r="Q198" s="32"/>
      <c r="R198" s="53" t="str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0:00</v>
      </c>
      <c r="T198" s="81">
        <f t="shared" si="99"/>
        <v>0</v>
      </c>
      <c r="U198" s="81"/>
      <c r="V198" s="42"/>
      <c r="W198" s="42"/>
      <c r="X198" s="45"/>
      <c r="Y198" s="37"/>
      <c r="AB198" s="41"/>
    </row>
    <row r="199" spans="1:28" x14ac:dyDescent="0.3">
      <c r="B199" s="5"/>
      <c r="C199" s="3"/>
      <c r="D199" s="1"/>
      <c r="E199" s="1"/>
      <c r="F199" s="1"/>
      <c r="G199" s="1">
        <f t="shared" ref="G199:H199" si="100">SUM(G192:G198)</f>
        <v>0</v>
      </c>
      <c r="H199" s="1">
        <f t="shared" si="100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01">SUM(P192:P198)</f>
        <v>0</v>
      </c>
      <c r="Q199" s="1">
        <f t="shared" si="101"/>
        <v>0</v>
      </c>
      <c r="R199" s="1">
        <f>SUBTOTAL(109,R192:R198)</f>
        <v>0</v>
      </c>
      <c r="Y199" s="37"/>
    </row>
    <row r="200" spans="1:28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82"/>
      <c r="U200" s="82"/>
      <c r="V200" s="37"/>
      <c r="W200" s="37"/>
      <c r="X200" s="39"/>
      <c r="Y200" s="37"/>
    </row>
    <row r="201" spans="1:28" x14ac:dyDescent="0.3">
      <c r="A201" s="44" t="s">
        <v>33</v>
      </c>
      <c r="B201" s="6" t="s">
        <v>2</v>
      </c>
      <c r="C201" s="7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  <c r="I201" s="4" t="s">
        <v>9</v>
      </c>
      <c r="J201" s="44" t="s">
        <v>33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81" t="s">
        <v>11</v>
      </c>
      <c r="U201" s="81"/>
      <c r="W201" s="13" t="s">
        <v>21</v>
      </c>
      <c r="X201" s="15" t="s">
        <v>17</v>
      </c>
      <c r="Y201" s="37"/>
    </row>
    <row r="202" spans="1:28" x14ac:dyDescent="0.3">
      <c r="A202" s="44">
        <f>A192+1</f>
        <v>18</v>
      </c>
      <c r="B202" s="34" t="str">
        <f>TEXT(Tabelle12173030297208418[[#This Row],[Datum]],"tttt")</f>
        <v>Montag</v>
      </c>
      <c r="C202" s="58">
        <f>C198+1</f>
        <v>44313</v>
      </c>
      <c r="D202" s="31"/>
      <c r="E202" s="31"/>
      <c r="F202" s="31"/>
      <c r="G202" s="31"/>
      <c r="H202" s="31"/>
      <c r="I202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4">
        <f>J192+1</f>
        <v>18</v>
      </c>
      <c r="K202" s="34" t="str">
        <f>TEXT(Tabelle1217303029720841872[[#This Row],[Datum]],"tttt")</f>
        <v>Montag</v>
      </c>
      <c r="L202" s="58">
        <f>L198+1</f>
        <v>44313</v>
      </c>
      <c r="M202" s="31"/>
      <c r="N202" s="31"/>
      <c r="O202" s="31"/>
      <c r="P202" s="31"/>
      <c r="Q202" s="31"/>
      <c r="R202" s="49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2" s="81">
        <f t="shared" ref="T202:T203" si="102">R202-I202</f>
        <v>0</v>
      </c>
      <c r="U202" s="81"/>
      <c r="W202" s="17" t="s">
        <v>18</v>
      </c>
      <c r="X202" s="26">
        <f>I209</f>
        <v>0</v>
      </c>
      <c r="Y202" s="37"/>
    </row>
    <row r="203" spans="1:28" x14ac:dyDescent="0.3">
      <c r="B203" s="34" t="str">
        <f>TEXT(Tabelle12173030297208418[[#This Row],[Datum]],"tttt")</f>
        <v>Dienstag</v>
      </c>
      <c r="C203" s="56">
        <f>C202+1</f>
        <v>44314</v>
      </c>
      <c r="D203" s="31"/>
      <c r="E203" s="31"/>
      <c r="F203" s="31"/>
      <c r="G203" s="31"/>
      <c r="H203" s="31"/>
      <c r="I203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4" t="str">
        <f>TEXT(Tabelle1217303029720841872[[#This Row],[Datum]],"tttt")</f>
        <v>Dienstag</v>
      </c>
      <c r="L203" s="56">
        <f>L202+1</f>
        <v>44314</v>
      </c>
      <c r="M203" s="31"/>
      <c r="N203" s="31"/>
      <c r="O203" s="31"/>
      <c r="P203" s="31"/>
      <c r="Q203" s="31"/>
      <c r="R203" s="50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3" s="81">
        <f t="shared" si="102"/>
        <v>0</v>
      </c>
      <c r="U203" s="81"/>
      <c r="W203" s="17" t="s">
        <v>19</v>
      </c>
      <c r="X203" s="26">
        <f>R209</f>
        <v>0</v>
      </c>
      <c r="Y203" s="37"/>
    </row>
    <row r="204" spans="1:28" x14ac:dyDescent="0.3">
      <c r="B204" s="35" t="str">
        <f>TEXT(Tabelle12173030297208418[[#This Row],[Datum]],"tttt")</f>
        <v>Mittwoch</v>
      </c>
      <c r="C204" s="56">
        <f t="shared" ref="C204:C208" si="103">C203+1</f>
        <v>44315</v>
      </c>
      <c r="D204" s="32"/>
      <c r="E204" s="32"/>
      <c r="F204" s="32"/>
      <c r="G204" s="32"/>
      <c r="H204" s="32"/>
      <c r="I204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5" t="str">
        <f>TEXT(Tabelle1217303029720841872[[#This Row],[Datum]],"tttt")</f>
        <v>Mittwoch</v>
      </c>
      <c r="L204" s="56">
        <f t="shared" ref="L204:L208" si="104">L203+1</f>
        <v>44315</v>
      </c>
      <c r="M204" s="32"/>
      <c r="N204" s="32"/>
      <c r="O204" s="32"/>
      <c r="P204" s="32"/>
      <c r="Q204" s="32"/>
      <c r="R204" s="51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4" s="81">
        <f>R204-I204</f>
        <v>0</v>
      </c>
      <c r="U204" s="81"/>
      <c r="W204" s="20" t="s">
        <v>20</v>
      </c>
      <c r="X204" s="27">
        <f>X203-X202</f>
        <v>0</v>
      </c>
      <c r="Y204" s="37"/>
      <c r="Z204" s="66">
        <f>Z194+X204</f>
        <v>0</v>
      </c>
    </row>
    <row r="205" spans="1:28" x14ac:dyDescent="0.3">
      <c r="B205" s="34" t="str">
        <f>TEXT(Tabelle12173030297208418[[#This Row],[Datum]],"tttt")</f>
        <v>Donnerstag</v>
      </c>
      <c r="C205" s="56">
        <f t="shared" si="103"/>
        <v>44316</v>
      </c>
      <c r="D205" s="31"/>
      <c r="E205" s="31"/>
      <c r="F205" s="31"/>
      <c r="G205" s="31"/>
      <c r="H205" s="31"/>
      <c r="I205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4" t="str">
        <f>TEXT(Tabelle1217303029720841872[[#This Row],[Datum]],"tttt")</f>
        <v>Donnerstag</v>
      </c>
      <c r="L205" s="56">
        <f t="shared" si="104"/>
        <v>44316</v>
      </c>
      <c r="M205" s="31"/>
      <c r="N205" s="31"/>
      <c r="O205" s="31"/>
      <c r="P205" s="31"/>
      <c r="Q205" s="31"/>
      <c r="R205" s="50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5" s="81">
        <f>R205-I205</f>
        <v>0</v>
      </c>
      <c r="U205" s="81"/>
      <c r="Y205" s="37"/>
    </row>
    <row r="206" spans="1:28" x14ac:dyDescent="0.3">
      <c r="B206" s="36" t="str">
        <f>TEXT(Tabelle12173030297208418[[#This Row],[Datum]],"tttt")</f>
        <v>Freitag</v>
      </c>
      <c r="C206" s="56">
        <f t="shared" si="103"/>
        <v>44317</v>
      </c>
      <c r="D206" s="32"/>
      <c r="E206" s="32"/>
      <c r="F206" s="32"/>
      <c r="G206" s="32"/>
      <c r="H206" s="32"/>
      <c r="I206" s="52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6" t="str">
        <f>TEXT(Tabelle1217303029720841872[[#This Row],[Datum]],"tttt")</f>
        <v>Freitag</v>
      </c>
      <c r="L206" s="56">
        <f t="shared" si="104"/>
        <v>44317</v>
      </c>
      <c r="M206" s="32"/>
      <c r="N206" s="32"/>
      <c r="O206" s="32"/>
      <c r="P206" s="32"/>
      <c r="Q206" s="32"/>
      <c r="R206" s="52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6" s="81">
        <f>R206-I206</f>
        <v>0</v>
      </c>
      <c r="U206" s="81"/>
      <c r="Y206" s="37"/>
    </row>
    <row r="207" spans="1:28" x14ac:dyDescent="0.3">
      <c r="B207" s="34" t="str">
        <f>TEXT(Tabelle12173030297208418[[#This Row],[Datum]],"tttt")</f>
        <v>Samstag</v>
      </c>
      <c r="C207" s="56">
        <f t="shared" si="103"/>
        <v>44318</v>
      </c>
      <c r="D207" s="31"/>
      <c r="E207" s="31"/>
      <c r="F207" s="31"/>
      <c r="G207" s="31"/>
      <c r="H207" s="31"/>
      <c r="I207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4" t="str">
        <f>TEXT(Tabelle1217303029720841872[[#This Row],[Datum]],"tttt")</f>
        <v>Samstag</v>
      </c>
      <c r="L207" s="56">
        <f t="shared" si="104"/>
        <v>44318</v>
      </c>
      <c r="M207" s="31"/>
      <c r="N207" s="31"/>
      <c r="O207" s="31"/>
      <c r="P207" s="31"/>
      <c r="Q207" s="31"/>
      <c r="R207" s="50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7" s="81">
        <f t="shared" ref="T207:T208" si="105">R207-I207</f>
        <v>0</v>
      </c>
      <c r="U207" s="81"/>
      <c r="Y207" s="37"/>
    </row>
    <row r="208" spans="1:28" s="40" customFormat="1" x14ac:dyDescent="0.3">
      <c r="B208" s="36" t="str">
        <f>TEXT(Tabelle12173030297208418[[#This Row],[Datum]],"tttt")</f>
        <v>Sonntag</v>
      </c>
      <c r="C208" s="57">
        <f t="shared" si="103"/>
        <v>44319</v>
      </c>
      <c r="D208" s="32"/>
      <c r="E208" s="32"/>
      <c r="F208" s="32"/>
      <c r="G208" s="32"/>
      <c r="H208" s="32"/>
      <c r="I208" s="53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6" t="str">
        <f>TEXT(Tabelle1217303029720841872[[#This Row],[Datum]],"tttt")</f>
        <v>Sonntag</v>
      </c>
      <c r="L208" s="57">
        <f t="shared" si="104"/>
        <v>44319</v>
      </c>
      <c r="M208" s="32"/>
      <c r="N208" s="32"/>
      <c r="O208" s="32"/>
      <c r="P208" s="32"/>
      <c r="Q208" s="32"/>
      <c r="R208" s="53" t="str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0:00</v>
      </c>
      <c r="T208" s="81">
        <f t="shared" si="105"/>
        <v>0</v>
      </c>
      <c r="U208" s="81"/>
      <c r="V208" s="42"/>
      <c r="W208" s="42"/>
      <c r="X208" s="45"/>
      <c r="Y208" s="37"/>
      <c r="AB208" s="41"/>
    </row>
    <row r="209" spans="1:28" x14ac:dyDescent="0.3">
      <c r="B209" s="5"/>
      <c r="C209" s="3"/>
      <c r="D209" s="1"/>
      <c r="E209" s="1"/>
      <c r="F209" s="1"/>
      <c r="G209" s="1">
        <f t="shared" ref="G209:H209" si="106">SUM(G202:G208)</f>
        <v>0</v>
      </c>
      <c r="H209" s="1">
        <f t="shared" si="106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07">SUM(P202:P208)</f>
        <v>0</v>
      </c>
      <c r="Q209" s="1">
        <f t="shared" si="107"/>
        <v>0</v>
      </c>
      <c r="R209" s="1">
        <f>SUBTOTAL(109,R202:R208)</f>
        <v>0</v>
      </c>
      <c r="Y209" s="37"/>
    </row>
    <row r="210" spans="1:28" x14ac:dyDescent="0.3">
      <c r="A210" s="37"/>
      <c r="B210" s="38"/>
      <c r="C210" s="37"/>
      <c r="D210" s="37"/>
      <c r="E210" s="37"/>
      <c r="F210" s="37"/>
      <c r="G210" s="37"/>
      <c r="H210" s="37"/>
      <c r="I210" s="38"/>
      <c r="J210" s="37"/>
      <c r="K210" s="38"/>
      <c r="L210" s="37"/>
      <c r="M210" s="37"/>
      <c r="N210" s="37"/>
      <c r="O210" s="37"/>
      <c r="P210" s="37"/>
      <c r="Q210" s="37"/>
      <c r="R210" s="38"/>
      <c r="S210" s="37"/>
      <c r="T210" s="82"/>
      <c r="U210" s="82"/>
      <c r="V210" s="37"/>
      <c r="W210" s="37"/>
      <c r="X210" s="39"/>
      <c r="Y210" s="37"/>
    </row>
    <row r="211" spans="1:28" x14ac:dyDescent="0.3">
      <c r="A211" s="44" t="s">
        <v>33</v>
      </c>
      <c r="B211" s="6" t="s">
        <v>2</v>
      </c>
      <c r="C211" s="7" t="s">
        <v>3</v>
      </c>
      <c r="D211" s="4" t="s">
        <v>4</v>
      </c>
      <c r="E211" s="4" t="s">
        <v>5</v>
      </c>
      <c r="F211" s="4" t="s">
        <v>6</v>
      </c>
      <c r="G211" s="4" t="s">
        <v>7</v>
      </c>
      <c r="H211" s="4" t="s">
        <v>8</v>
      </c>
      <c r="I211" s="4" t="s">
        <v>9</v>
      </c>
      <c r="J211" s="44" t="s">
        <v>33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81" t="s">
        <v>11</v>
      </c>
      <c r="U211" s="81"/>
      <c r="W211" s="13" t="s">
        <v>21</v>
      </c>
      <c r="X211" s="15" t="s">
        <v>17</v>
      </c>
      <c r="Y211" s="37"/>
    </row>
    <row r="212" spans="1:28" x14ac:dyDescent="0.3">
      <c r="A212" s="44">
        <f>A202+1</f>
        <v>19</v>
      </c>
      <c r="B212" s="34" t="str">
        <f>TEXT(Tabelle1217303029720819[[#This Row],[Datum]],"tttt")</f>
        <v>Montag</v>
      </c>
      <c r="C212" s="58">
        <f>C208+1</f>
        <v>44320</v>
      </c>
      <c r="D212" s="31"/>
      <c r="E212" s="31"/>
      <c r="F212" s="31"/>
      <c r="G212" s="31"/>
      <c r="H212" s="31"/>
      <c r="I212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4">
        <f>J202+1</f>
        <v>19</v>
      </c>
      <c r="K212" s="34" t="str">
        <f>TEXT(Tabelle121730302972081973[[#This Row],[Datum]],"tttt")</f>
        <v>Montag</v>
      </c>
      <c r="L212" s="58">
        <f>L208+1</f>
        <v>44320</v>
      </c>
      <c r="M212" s="31"/>
      <c r="N212" s="31"/>
      <c r="O212" s="31"/>
      <c r="P212" s="31"/>
      <c r="Q212" s="31"/>
      <c r="R212" s="49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2" s="81">
        <f t="shared" ref="T212:T213" si="108">R212-I212</f>
        <v>0</v>
      </c>
      <c r="U212" s="81"/>
      <c r="W212" s="17" t="s">
        <v>18</v>
      </c>
      <c r="X212" s="26">
        <f>I219</f>
        <v>0</v>
      </c>
      <c r="Y212" s="37"/>
    </row>
    <row r="213" spans="1:28" x14ac:dyDescent="0.3">
      <c r="B213" s="34" t="str">
        <f>TEXT(Tabelle1217303029720819[[#This Row],[Datum]],"tttt")</f>
        <v>Dienstag</v>
      </c>
      <c r="C213" s="56">
        <f>C212+1</f>
        <v>44321</v>
      </c>
      <c r="D213" s="31"/>
      <c r="E213" s="31"/>
      <c r="F213" s="31"/>
      <c r="G213" s="31"/>
      <c r="H213" s="31"/>
      <c r="I213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4" t="str">
        <f>TEXT(Tabelle121730302972081973[[#This Row],[Datum]],"tttt")</f>
        <v>Dienstag</v>
      </c>
      <c r="L213" s="56">
        <f>L212+1</f>
        <v>44321</v>
      </c>
      <c r="M213" s="31"/>
      <c r="N213" s="31"/>
      <c r="O213" s="31"/>
      <c r="P213" s="31"/>
      <c r="Q213" s="31"/>
      <c r="R213" s="50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3" s="81">
        <f t="shared" si="108"/>
        <v>0</v>
      </c>
      <c r="U213" s="81"/>
      <c r="W213" s="17" t="s">
        <v>19</v>
      </c>
      <c r="X213" s="26">
        <f>R219</f>
        <v>0</v>
      </c>
      <c r="Y213" s="37"/>
    </row>
    <row r="214" spans="1:28" x14ac:dyDescent="0.3">
      <c r="B214" s="35" t="str">
        <f>TEXT(Tabelle1217303029720819[[#This Row],[Datum]],"tttt")</f>
        <v>Mittwoch</v>
      </c>
      <c r="C214" s="56">
        <f t="shared" ref="C214:C218" si="109">C213+1</f>
        <v>44322</v>
      </c>
      <c r="D214" s="32"/>
      <c r="E214" s="32"/>
      <c r="F214" s="32"/>
      <c r="G214" s="32"/>
      <c r="H214" s="32"/>
      <c r="I214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5" t="str">
        <f>TEXT(Tabelle121730302972081973[[#This Row],[Datum]],"tttt")</f>
        <v>Mittwoch</v>
      </c>
      <c r="L214" s="56">
        <f t="shared" ref="L214:L218" si="110">L213+1</f>
        <v>44322</v>
      </c>
      <c r="M214" s="32"/>
      <c r="N214" s="32"/>
      <c r="O214" s="32"/>
      <c r="P214" s="32"/>
      <c r="Q214" s="32"/>
      <c r="R214" s="51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4" s="81">
        <f>R214-I214</f>
        <v>0</v>
      </c>
      <c r="U214" s="81"/>
      <c r="W214" s="20" t="s">
        <v>20</v>
      </c>
      <c r="X214" s="27">
        <f>X213-X212</f>
        <v>0</v>
      </c>
      <c r="Y214" s="37"/>
      <c r="Z214" s="66">
        <f>Z204+X214</f>
        <v>0</v>
      </c>
    </row>
    <row r="215" spans="1:28" x14ac:dyDescent="0.3">
      <c r="B215" s="34" t="str">
        <f>TEXT(Tabelle1217303029720819[[#This Row],[Datum]],"tttt")</f>
        <v>Donnerstag</v>
      </c>
      <c r="C215" s="56">
        <f t="shared" si="109"/>
        <v>44323</v>
      </c>
      <c r="D215" s="31"/>
      <c r="E215" s="31"/>
      <c r="F215" s="31"/>
      <c r="G215" s="31"/>
      <c r="H215" s="31"/>
      <c r="I215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4" t="str">
        <f>TEXT(Tabelle121730302972081973[[#This Row],[Datum]],"tttt")</f>
        <v>Donnerstag</v>
      </c>
      <c r="L215" s="56">
        <f t="shared" si="110"/>
        <v>44323</v>
      </c>
      <c r="M215" s="31"/>
      <c r="N215" s="31"/>
      <c r="O215" s="31"/>
      <c r="P215" s="31"/>
      <c r="Q215" s="31"/>
      <c r="R215" s="50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5" s="81">
        <f>R215-I215</f>
        <v>0</v>
      </c>
      <c r="U215" s="81"/>
      <c r="Y215" s="37"/>
    </row>
    <row r="216" spans="1:28" x14ac:dyDescent="0.3">
      <c r="B216" s="36" t="str">
        <f>TEXT(Tabelle1217303029720819[[#This Row],[Datum]],"tttt")</f>
        <v>Freitag</v>
      </c>
      <c r="C216" s="56">
        <f t="shared" si="109"/>
        <v>44324</v>
      </c>
      <c r="D216" s="32"/>
      <c r="E216" s="32"/>
      <c r="F216" s="32"/>
      <c r="G216" s="32"/>
      <c r="H216" s="32"/>
      <c r="I216" s="52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6" t="str">
        <f>TEXT(Tabelle121730302972081973[[#This Row],[Datum]],"tttt")</f>
        <v>Freitag</v>
      </c>
      <c r="L216" s="56">
        <f t="shared" si="110"/>
        <v>44324</v>
      </c>
      <c r="M216" s="32"/>
      <c r="N216" s="32"/>
      <c r="O216" s="32"/>
      <c r="P216" s="32"/>
      <c r="Q216" s="32"/>
      <c r="R216" s="52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6" s="81">
        <f>R216-I216</f>
        <v>0</v>
      </c>
      <c r="U216" s="81"/>
      <c r="Y216" s="37"/>
    </row>
    <row r="217" spans="1:28" x14ac:dyDescent="0.3">
      <c r="B217" s="34" t="str">
        <f>TEXT(Tabelle1217303029720819[[#This Row],[Datum]],"tttt")</f>
        <v>Samstag</v>
      </c>
      <c r="C217" s="56">
        <f t="shared" si="109"/>
        <v>44325</v>
      </c>
      <c r="D217" s="31"/>
      <c r="E217" s="31"/>
      <c r="F217" s="31"/>
      <c r="G217" s="31"/>
      <c r="H217" s="31"/>
      <c r="I217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4" t="str">
        <f>TEXT(Tabelle121730302972081973[[#This Row],[Datum]],"tttt")</f>
        <v>Samstag</v>
      </c>
      <c r="L217" s="56">
        <f t="shared" si="110"/>
        <v>44325</v>
      </c>
      <c r="M217" s="31"/>
      <c r="N217" s="31"/>
      <c r="O217" s="31"/>
      <c r="P217" s="31"/>
      <c r="Q217" s="31"/>
      <c r="R217" s="50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7" s="81">
        <f t="shared" ref="T217:T218" si="111">R217-I217</f>
        <v>0</v>
      </c>
      <c r="U217" s="81"/>
      <c r="Y217" s="37"/>
    </row>
    <row r="218" spans="1:28" s="40" customFormat="1" x14ac:dyDescent="0.3">
      <c r="B218" s="36" t="str">
        <f>TEXT(Tabelle1217303029720819[[#This Row],[Datum]],"tttt")</f>
        <v>Sonntag</v>
      </c>
      <c r="C218" s="57">
        <f t="shared" si="109"/>
        <v>44326</v>
      </c>
      <c r="D218" s="32"/>
      <c r="E218" s="32"/>
      <c r="F218" s="32"/>
      <c r="G218" s="32"/>
      <c r="H218" s="32"/>
      <c r="I218" s="53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6" t="str">
        <f>TEXT(Tabelle121730302972081973[[#This Row],[Datum]],"tttt")</f>
        <v>Sonntag</v>
      </c>
      <c r="L218" s="57">
        <f t="shared" si="110"/>
        <v>44326</v>
      </c>
      <c r="M218" s="32"/>
      <c r="N218" s="32"/>
      <c r="O218" s="32"/>
      <c r="P218" s="32"/>
      <c r="Q218" s="32"/>
      <c r="R218" s="53" t="str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0:00</v>
      </c>
      <c r="T218" s="81">
        <f t="shared" si="111"/>
        <v>0</v>
      </c>
      <c r="U218" s="81"/>
      <c r="V218" s="42"/>
      <c r="W218" s="42"/>
      <c r="X218" s="45"/>
      <c r="Y218" s="37"/>
      <c r="AB218" s="41"/>
    </row>
    <row r="219" spans="1:28" x14ac:dyDescent="0.3">
      <c r="B219" s="5"/>
      <c r="C219" s="3"/>
      <c r="D219" s="1"/>
      <c r="E219" s="1"/>
      <c r="F219" s="1"/>
      <c r="G219" s="1">
        <f t="shared" ref="G219:H219" si="112">SUM(G212:G218)</f>
        <v>0</v>
      </c>
      <c r="H219" s="1">
        <f t="shared" si="112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13">SUM(P212:P218)</f>
        <v>0</v>
      </c>
      <c r="Q219" s="1">
        <f t="shared" si="113"/>
        <v>0</v>
      </c>
      <c r="R219" s="1">
        <f>SUBTOTAL(109,R212:R218)</f>
        <v>0</v>
      </c>
      <c r="Y219" s="37"/>
    </row>
    <row r="220" spans="1:28" x14ac:dyDescent="0.3">
      <c r="A220" s="37"/>
      <c r="B220" s="38"/>
      <c r="C220" s="37"/>
      <c r="D220" s="37"/>
      <c r="E220" s="37"/>
      <c r="F220" s="37"/>
      <c r="G220" s="37"/>
      <c r="H220" s="37"/>
      <c r="I220" s="38"/>
      <c r="J220" s="37"/>
      <c r="K220" s="38"/>
      <c r="L220" s="37"/>
      <c r="M220" s="37"/>
      <c r="N220" s="37"/>
      <c r="O220" s="37"/>
      <c r="P220" s="37"/>
      <c r="Q220" s="37"/>
      <c r="R220" s="38"/>
      <c r="S220" s="37"/>
      <c r="T220" s="82"/>
      <c r="U220" s="82"/>
      <c r="V220" s="37"/>
      <c r="W220" s="37"/>
      <c r="X220" s="39"/>
      <c r="Y220" s="37"/>
    </row>
    <row r="221" spans="1:28" x14ac:dyDescent="0.3">
      <c r="A221" s="44" t="s">
        <v>33</v>
      </c>
      <c r="B221" s="6" t="s">
        <v>2</v>
      </c>
      <c r="C221" s="7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4" t="s">
        <v>33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81" t="s">
        <v>11</v>
      </c>
      <c r="U221" s="81"/>
      <c r="W221" s="13" t="s">
        <v>21</v>
      </c>
      <c r="X221" s="15" t="s">
        <v>17</v>
      </c>
      <c r="Y221" s="37"/>
    </row>
    <row r="222" spans="1:28" x14ac:dyDescent="0.3">
      <c r="A222" s="44">
        <f>A212+1</f>
        <v>20</v>
      </c>
      <c r="B222" s="34" t="str">
        <f>TEXT(Tabelle12173030297208320[[#This Row],[Datum]],"tttt")</f>
        <v>Montag</v>
      </c>
      <c r="C222" s="58">
        <f>C218+1</f>
        <v>44327</v>
      </c>
      <c r="D222" s="31"/>
      <c r="E222" s="31"/>
      <c r="F222" s="31"/>
      <c r="G222" s="31"/>
      <c r="H222" s="31"/>
      <c r="I222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4">
        <f>J212+1</f>
        <v>20</v>
      </c>
      <c r="K222" s="34" t="str">
        <f>TEXT(Tabelle1217303029720832074[[#This Row],[Datum]],"tttt")</f>
        <v>Montag</v>
      </c>
      <c r="L222" s="58">
        <f>L218+1</f>
        <v>44327</v>
      </c>
      <c r="M222" s="31"/>
      <c r="N222" s="31"/>
      <c r="O222" s="31"/>
      <c r="P222" s="31"/>
      <c r="Q222" s="31"/>
      <c r="R222" s="49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2" s="81">
        <f t="shared" ref="T222:T223" si="114">R222-I222</f>
        <v>0</v>
      </c>
      <c r="U222" s="81"/>
      <c r="W222" s="17" t="s">
        <v>18</v>
      </c>
      <c r="X222" s="26">
        <f>I229</f>
        <v>0</v>
      </c>
      <c r="Y222" s="37"/>
    </row>
    <row r="223" spans="1:28" x14ac:dyDescent="0.3">
      <c r="B223" s="34" t="str">
        <f>TEXT(Tabelle12173030297208320[[#This Row],[Datum]],"tttt")</f>
        <v>Dienstag</v>
      </c>
      <c r="C223" s="56">
        <f>C222+1</f>
        <v>44328</v>
      </c>
      <c r="D223" s="31"/>
      <c r="E223" s="31"/>
      <c r="F223" s="31"/>
      <c r="G223" s="31"/>
      <c r="H223" s="31"/>
      <c r="I223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4" t="str">
        <f>TEXT(Tabelle1217303029720832074[[#This Row],[Datum]],"tttt")</f>
        <v>Dienstag</v>
      </c>
      <c r="L223" s="56">
        <f>L222+1</f>
        <v>44328</v>
      </c>
      <c r="M223" s="31"/>
      <c r="N223" s="31"/>
      <c r="O223" s="31"/>
      <c r="P223" s="31"/>
      <c r="Q223" s="31"/>
      <c r="R223" s="50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3" s="81">
        <f t="shared" si="114"/>
        <v>0</v>
      </c>
      <c r="U223" s="81"/>
      <c r="W223" s="17" t="s">
        <v>19</v>
      </c>
      <c r="X223" s="26">
        <f>R229</f>
        <v>0</v>
      </c>
      <c r="Y223" s="37"/>
    </row>
    <row r="224" spans="1:28" x14ac:dyDescent="0.3">
      <c r="B224" s="35" t="str">
        <f>TEXT(Tabelle12173030297208320[[#This Row],[Datum]],"tttt")</f>
        <v>Mittwoch</v>
      </c>
      <c r="C224" s="56">
        <f t="shared" ref="C224:C228" si="115">C223+1</f>
        <v>44329</v>
      </c>
      <c r="D224" s="32"/>
      <c r="E224" s="32"/>
      <c r="F224" s="32"/>
      <c r="G224" s="32"/>
      <c r="H224" s="32"/>
      <c r="I224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5" t="str">
        <f>TEXT(Tabelle1217303029720832074[[#This Row],[Datum]],"tttt")</f>
        <v>Mittwoch</v>
      </c>
      <c r="L224" s="56">
        <f t="shared" ref="L224:L228" si="116">L223+1</f>
        <v>44329</v>
      </c>
      <c r="M224" s="32"/>
      <c r="N224" s="32"/>
      <c r="O224" s="32"/>
      <c r="P224" s="32"/>
      <c r="Q224" s="32"/>
      <c r="R224" s="51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4" s="81">
        <f>R224-I224</f>
        <v>0</v>
      </c>
      <c r="U224" s="81"/>
      <c r="W224" s="20" t="s">
        <v>20</v>
      </c>
      <c r="X224" s="27">
        <f>X223-X222</f>
        <v>0</v>
      </c>
      <c r="Y224" s="37"/>
      <c r="Z224" s="66">
        <f>Z214+X224</f>
        <v>0</v>
      </c>
    </row>
    <row r="225" spans="1:28" x14ac:dyDescent="0.3">
      <c r="B225" s="34" t="str">
        <f>TEXT(Tabelle12173030297208320[[#This Row],[Datum]],"tttt")</f>
        <v>Donnerstag</v>
      </c>
      <c r="C225" s="56">
        <f t="shared" si="115"/>
        <v>44330</v>
      </c>
      <c r="D225" s="31"/>
      <c r="E225" s="31"/>
      <c r="F225" s="31"/>
      <c r="G225" s="31"/>
      <c r="H225" s="31"/>
      <c r="I225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4" t="str">
        <f>TEXT(Tabelle1217303029720832074[[#This Row],[Datum]],"tttt")</f>
        <v>Donnerstag</v>
      </c>
      <c r="L225" s="56">
        <f t="shared" si="116"/>
        <v>44330</v>
      </c>
      <c r="M225" s="31"/>
      <c r="N225" s="31"/>
      <c r="O225" s="31"/>
      <c r="P225" s="31"/>
      <c r="Q225" s="31"/>
      <c r="R225" s="50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5" s="81">
        <f>R225-I225</f>
        <v>0</v>
      </c>
      <c r="U225" s="81"/>
      <c r="Y225" s="37"/>
    </row>
    <row r="226" spans="1:28" x14ac:dyDescent="0.3">
      <c r="B226" s="36" t="str">
        <f>TEXT(Tabelle12173030297208320[[#This Row],[Datum]],"tttt")</f>
        <v>Freitag</v>
      </c>
      <c r="C226" s="56">
        <f t="shared" si="115"/>
        <v>44331</v>
      </c>
      <c r="D226" s="32"/>
      <c r="E226" s="32"/>
      <c r="F226" s="32"/>
      <c r="G226" s="32"/>
      <c r="H226" s="32"/>
      <c r="I226" s="52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6" t="str">
        <f>TEXT(Tabelle1217303029720832074[[#This Row],[Datum]],"tttt")</f>
        <v>Freitag</v>
      </c>
      <c r="L226" s="56">
        <f t="shared" si="116"/>
        <v>44331</v>
      </c>
      <c r="M226" s="32"/>
      <c r="N226" s="32"/>
      <c r="O226" s="32"/>
      <c r="P226" s="32"/>
      <c r="Q226" s="32"/>
      <c r="R226" s="52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6" s="81">
        <f>R226-I226</f>
        <v>0</v>
      </c>
      <c r="U226" s="81"/>
      <c r="Y226" s="37"/>
    </row>
    <row r="227" spans="1:28" x14ac:dyDescent="0.3">
      <c r="B227" s="34" t="str">
        <f>TEXT(Tabelle12173030297208320[[#This Row],[Datum]],"tttt")</f>
        <v>Samstag</v>
      </c>
      <c r="C227" s="56">
        <f t="shared" si="115"/>
        <v>44332</v>
      </c>
      <c r="D227" s="31"/>
      <c r="E227" s="31"/>
      <c r="F227" s="31"/>
      <c r="G227" s="31"/>
      <c r="H227" s="31"/>
      <c r="I227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4" t="str">
        <f>TEXT(Tabelle1217303029720832074[[#This Row],[Datum]],"tttt")</f>
        <v>Samstag</v>
      </c>
      <c r="L227" s="56">
        <f t="shared" si="116"/>
        <v>44332</v>
      </c>
      <c r="M227" s="31"/>
      <c r="N227" s="31"/>
      <c r="O227" s="31"/>
      <c r="P227" s="31"/>
      <c r="Q227" s="31"/>
      <c r="R227" s="50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7" s="81">
        <f t="shared" ref="T227:T228" si="117">R227-I227</f>
        <v>0</v>
      </c>
      <c r="U227" s="81"/>
      <c r="Y227" s="37"/>
    </row>
    <row r="228" spans="1:28" s="40" customFormat="1" x14ac:dyDescent="0.3">
      <c r="B228" s="36" t="str">
        <f>TEXT(Tabelle12173030297208320[[#This Row],[Datum]],"tttt")</f>
        <v>Sonntag</v>
      </c>
      <c r="C228" s="57">
        <f t="shared" si="115"/>
        <v>44333</v>
      </c>
      <c r="D228" s="32"/>
      <c r="E228" s="32"/>
      <c r="F228" s="32"/>
      <c r="G228" s="32"/>
      <c r="H228" s="32"/>
      <c r="I228" s="53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6" t="str">
        <f>TEXT(Tabelle1217303029720832074[[#This Row],[Datum]],"tttt")</f>
        <v>Sonntag</v>
      </c>
      <c r="L228" s="57">
        <f t="shared" si="116"/>
        <v>44333</v>
      </c>
      <c r="M228" s="32"/>
      <c r="N228" s="32"/>
      <c r="O228" s="32"/>
      <c r="P228" s="32"/>
      <c r="Q228" s="32"/>
      <c r="R228" s="53" t="str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0:00</v>
      </c>
      <c r="T228" s="81">
        <f t="shared" si="117"/>
        <v>0</v>
      </c>
      <c r="U228" s="81"/>
      <c r="V228" s="42"/>
      <c r="W228" s="42"/>
      <c r="X228" s="45"/>
      <c r="Y228" s="37"/>
      <c r="AB228" s="41"/>
    </row>
    <row r="229" spans="1:28" x14ac:dyDescent="0.3">
      <c r="B229" s="5"/>
      <c r="C229" s="3"/>
      <c r="D229" s="1"/>
      <c r="E229" s="1"/>
      <c r="F229" s="1"/>
      <c r="G229" s="1">
        <f t="shared" ref="G229:H229" si="118">SUM(G222:G228)</f>
        <v>0</v>
      </c>
      <c r="H229" s="1">
        <f t="shared" si="118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19">SUM(P222:P228)</f>
        <v>0</v>
      </c>
      <c r="Q229" s="1">
        <f t="shared" si="119"/>
        <v>0</v>
      </c>
      <c r="R229" s="1">
        <f>SUBTOTAL(109,R222:R228)</f>
        <v>0</v>
      </c>
      <c r="Y229" s="37"/>
    </row>
    <row r="230" spans="1:28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82"/>
      <c r="U230" s="82"/>
      <c r="V230" s="37"/>
      <c r="W230" s="37"/>
      <c r="X230" s="39"/>
      <c r="Y230" s="37"/>
    </row>
    <row r="231" spans="1:28" x14ac:dyDescent="0.3">
      <c r="A231" s="44" t="s">
        <v>33</v>
      </c>
      <c r="B231" s="6" t="s">
        <v>2</v>
      </c>
      <c r="C231" s="7" t="s">
        <v>3</v>
      </c>
      <c r="D231" s="4" t="s">
        <v>4</v>
      </c>
      <c r="E231" s="4" t="s">
        <v>5</v>
      </c>
      <c r="F231" s="4" t="s">
        <v>6</v>
      </c>
      <c r="G231" s="4" t="s">
        <v>7</v>
      </c>
      <c r="H231" s="4" t="s">
        <v>8</v>
      </c>
      <c r="I231" s="4" t="s">
        <v>9</v>
      </c>
      <c r="J231" s="44" t="s">
        <v>33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81" t="s">
        <v>11</v>
      </c>
      <c r="U231" s="81"/>
      <c r="W231" s="13" t="s">
        <v>21</v>
      </c>
      <c r="X231" s="15" t="s">
        <v>17</v>
      </c>
      <c r="Y231" s="37"/>
    </row>
    <row r="232" spans="1:28" x14ac:dyDescent="0.3">
      <c r="A232" s="44">
        <f>A222+1</f>
        <v>21</v>
      </c>
      <c r="B232" s="34" t="str">
        <f>TEXT(Tabelle12173030297208421[[#This Row],[Datum]],"tttt")</f>
        <v>Montag</v>
      </c>
      <c r="C232" s="58">
        <f>C228+1</f>
        <v>44334</v>
      </c>
      <c r="D232" s="31"/>
      <c r="E232" s="31"/>
      <c r="F232" s="31"/>
      <c r="G232" s="31"/>
      <c r="H232" s="31"/>
      <c r="I232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4">
        <f>J222+1</f>
        <v>21</v>
      </c>
      <c r="K232" s="34" t="str">
        <f>TEXT(Tabelle1217303029720842175[[#This Row],[Datum]],"tttt")</f>
        <v>Montag</v>
      </c>
      <c r="L232" s="58">
        <f>L228+1</f>
        <v>44334</v>
      </c>
      <c r="M232" s="31"/>
      <c r="N232" s="31"/>
      <c r="O232" s="31"/>
      <c r="P232" s="31"/>
      <c r="Q232" s="31"/>
      <c r="R232" s="49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2" s="81">
        <f t="shared" ref="T232:T233" si="120">R232-I232</f>
        <v>0</v>
      </c>
      <c r="U232" s="81"/>
      <c r="W232" s="17" t="s">
        <v>18</v>
      </c>
      <c r="X232" s="26">
        <f>I239</f>
        <v>0</v>
      </c>
      <c r="Y232" s="37"/>
    </row>
    <row r="233" spans="1:28" x14ac:dyDescent="0.3">
      <c r="B233" s="34" t="str">
        <f>TEXT(Tabelle12173030297208421[[#This Row],[Datum]],"tttt")</f>
        <v>Dienstag</v>
      </c>
      <c r="C233" s="56">
        <f>C232+1</f>
        <v>44335</v>
      </c>
      <c r="D233" s="31"/>
      <c r="E233" s="31"/>
      <c r="F233" s="31"/>
      <c r="G233" s="31"/>
      <c r="H233" s="31"/>
      <c r="I233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4" t="str">
        <f>TEXT(Tabelle1217303029720842175[[#This Row],[Datum]],"tttt")</f>
        <v>Dienstag</v>
      </c>
      <c r="L233" s="56">
        <f>L232+1</f>
        <v>44335</v>
      </c>
      <c r="M233" s="31"/>
      <c r="N233" s="31"/>
      <c r="O233" s="31"/>
      <c r="P233" s="31"/>
      <c r="Q233" s="31"/>
      <c r="R233" s="50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3" s="81">
        <f t="shared" si="120"/>
        <v>0</v>
      </c>
      <c r="U233" s="81"/>
      <c r="W233" s="17" t="s">
        <v>19</v>
      </c>
      <c r="X233" s="26">
        <f>R239</f>
        <v>0</v>
      </c>
      <c r="Y233" s="37"/>
    </row>
    <row r="234" spans="1:28" x14ac:dyDescent="0.3">
      <c r="B234" s="35" t="str">
        <f>TEXT(Tabelle12173030297208421[[#This Row],[Datum]],"tttt")</f>
        <v>Mittwoch</v>
      </c>
      <c r="C234" s="56">
        <f t="shared" ref="C234:C238" si="121">C233+1</f>
        <v>44336</v>
      </c>
      <c r="D234" s="32"/>
      <c r="E234" s="32"/>
      <c r="F234" s="32"/>
      <c r="G234" s="32"/>
      <c r="H234" s="32"/>
      <c r="I234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5" t="str">
        <f>TEXT(Tabelle1217303029720842175[[#This Row],[Datum]],"tttt")</f>
        <v>Mittwoch</v>
      </c>
      <c r="L234" s="56">
        <f t="shared" ref="L234:L238" si="122">L233+1</f>
        <v>44336</v>
      </c>
      <c r="M234" s="32"/>
      <c r="N234" s="32"/>
      <c r="O234" s="32"/>
      <c r="P234" s="32"/>
      <c r="Q234" s="32"/>
      <c r="R234" s="51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4" s="81">
        <f>R234-I234</f>
        <v>0</v>
      </c>
      <c r="U234" s="81"/>
      <c r="W234" s="20" t="s">
        <v>20</v>
      </c>
      <c r="X234" s="27">
        <f>X233-X232</f>
        <v>0</v>
      </c>
      <c r="Y234" s="37"/>
      <c r="Z234" s="66">
        <f>Z224+X234</f>
        <v>0</v>
      </c>
    </row>
    <row r="235" spans="1:28" x14ac:dyDescent="0.3">
      <c r="B235" s="34" t="str">
        <f>TEXT(Tabelle12173030297208421[[#This Row],[Datum]],"tttt")</f>
        <v>Donnerstag</v>
      </c>
      <c r="C235" s="56">
        <f t="shared" si="121"/>
        <v>44337</v>
      </c>
      <c r="D235" s="31"/>
      <c r="E235" s="31"/>
      <c r="F235" s="31"/>
      <c r="G235" s="31"/>
      <c r="H235" s="31"/>
      <c r="I235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4" t="str">
        <f>TEXT(Tabelle1217303029720842175[[#This Row],[Datum]],"tttt")</f>
        <v>Donnerstag</v>
      </c>
      <c r="L235" s="56">
        <f t="shared" si="122"/>
        <v>44337</v>
      </c>
      <c r="M235" s="31"/>
      <c r="N235" s="31"/>
      <c r="O235" s="31"/>
      <c r="P235" s="31"/>
      <c r="Q235" s="31"/>
      <c r="R235" s="50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5" s="81">
        <f>R235-I235</f>
        <v>0</v>
      </c>
      <c r="U235" s="81"/>
      <c r="Y235" s="37"/>
    </row>
    <row r="236" spans="1:28" x14ac:dyDescent="0.3">
      <c r="B236" s="36" t="str">
        <f>TEXT(Tabelle12173030297208421[[#This Row],[Datum]],"tttt")</f>
        <v>Freitag</v>
      </c>
      <c r="C236" s="56">
        <f t="shared" si="121"/>
        <v>44338</v>
      </c>
      <c r="D236" s="32"/>
      <c r="E236" s="32"/>
      <c r="F236" s="32"/>
      <c r="G236" s="32"/>
      <c r="H236" s="32"/>
      <c r="I236" s="52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6" t="str">
        <f>TEXT(Tabelle1217303029720842175[[#This Row],[Datum]],"tttt")</f>
        <v>Freitag</v>
      </c>
      <c r="L236" s="56">
        <f t="shared" si="122"/>
        <v>44338</v>
      </c>
      <c r="M236" s="32"/>
      <c r="N236" s="32"/>
      <c r="O236" s="32"/>
      <c r="P236" s="32"/>
      <c r="Q236" s="32"/>
      <c r="R236" s="52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6" s="81">
        <f>R236-I236</f>
        <v>0</v>
      </c>
      <c r="U236" s="81"/>
      <c r="Y236" s="37"/>
    </row>
    <row r="237" spans="1:28" x14ac:dyDescent="0.3">
      <c r="B237" s="34" t="str">
        <f>TEXT(Tabelle12173030297208421[[#This Row],[Datum]],"tttt")</f>
        <v>Samstag</v>
      </c>
      <c r="C237" s="56">
        <f t="shared" si="121"/>
        <v>44339</v>
      </c>
      <c r="D237" s="31"/>
      <c r="E237" s="31"/>
      <c r="F237" s="31"/>
      <c r="G237" s="31"/>
      <c r="H237" s="31"/>
      <c r="I237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4" t="str">
        <f>TEXT(Tabelle1217303029720842175[[#This Row],[Datum]],"tttt")</f>
        <v>Samstag</v>
      </c>
      <c r="L237" s="56">
        <f t="shared" si="122"/>
        <v>44339</v>
      </c>
      <c r="M237" s="31"/>
      <c r="N237" s="31"/>
      <c r="O237" s="31"/>
      <c r="P237" s="31"/>
      <c r="Q237" s="31"/>
      <c r="R237" s="50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7" s="81">
        <f t="shared" ref="T237:T238" si="123">R237-I237</f>
        <v>0</v>
      </c>
      <c r="U237" s="81"/>
      <c r="Y237" s="37"/>
    </row>
    <row r="238" spans="1:28" s="40" customFormat="1" x14ac:dyDescent="0.3">
      <c r="B238" s="36" t="str">
        <f>TEXT(Tabelle12173030297208421[[#This Row],[Datum]],"tttt")</f>
        <v>Sonntag</v>
      </c>
      <c r="C238" s="57">
        <f t="shared" si="121"/>
        <v>44340</v>
      </c>
      <c r="D238" s="32"/>
      <c r="E238" s="32"/>
      <c r="F238" s="32"/>
      <c r="G238" s="32"/>
      <c r="H238" s="32"/>
      <c r="I238" s="53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6" t="str">
        <f>TEXT(Tabelle1217303029720842175[[#This Row],[Datum]],"tttt")</f>
        <v>Sonntag</v>
      </c>
      <c r="L238" s="57">
        <f t="shared" si="122"/>
        <v>44340</v>
      </c>
      <c r="M238" s="32"/>
      <c r="N238" s="32"/>
      <c r="O238" s="32"/>
      <c r="P238" s="32"/>
      <c r="Q238" s="32"/>
      <c r="R238" s="53" t="str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0:00</v>
      </c>
      <c r="T238" s="81">
        <f t="shared" si="123"/>
        <v>0</v>
      </c>
      <c r="U238" s="81"/>
      <c r="V238" s="42"/>
      <c r="W238" s="42"/>
      <c r="X238" s="45"/>
      <c r="Y238" s="37"/>
      <c r="AB238" s="41"/>
    </row>
    <row r="239" spans="1:28" x14ac:dyDescent="0.3">
      <c r="B239" s="5"/>
      <c r="C239" s="3"/>
      <c r="D239" s="1"/>
      <c r="E239" s="1"/>
      <c r="F239" s="1"/>
      <c r="G239" s="1">
        <f t="shared" ref="G239:H239" si="124">SUM(G232:G238)</f>
        <v>0</v>
      </c>
      <c r="H239" s="1">
        <f t="shared" si="12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125">SUM(P232:P238)</f>
        <v>0</v>
      </c>
      <c r="Q239" s="1">
        <f t="shared" si="125"/>
        <v>0</v>
      </c>
      <c r="R239" s="1">
        <f>SUBTOTAL(109,R232:R238)</f>
        <v>0</v>
      </c>
      <c r="Y239" s="37"/>
    </row>
    <row r="240" spans="1:28" x14ac:dyDescent="0.3">
      <c r="A240" s="37"/>
      <c r="B240" s="38"/>
      <c r="C240" s="37"/>
      <c r="D240" s="37"/>
      <c r="E240" s="37"/>
      <c r="F240" s="37"/>
      <c r="G240" s="37"/>
      <c r="H240" s="37"/>
      <c r="I240" s="38"/>
      <c r="J240" s="37"/>
      <c r="K240" s="38"/>
      <c r="L240" s="37"/>
      <c r="M240" s="37"/>
      <c r="N240" s="37"/>
      <c r="O240" s="37"/>
      <c r="P240" s="37"/>
      <c r="Q240" s="37"/>
      <c r="R240" s="38"/>
      <c r="S240" s="37"/>
      <c r="T240" s="82"/>
      <c r="U240" s="82"/>
      <c r="V240" s="37"/>
      <c r="W240" s="37"/>
      <c r="X240" s="39"/>
      <c r="Y240" s="37"/>
    </row>
    <row r="241" spans="1:28" x14ac:dyDescent="0.3">
      <c r="A241" s="44" t="s">
        <v>33</v>
      </c>
      <c r="B241" s="6" t="s">
        <v>2</v>
      </c>
      <c r="C241" s="7" t="s">
        <v>3</v>
      </c>
      <c r="D241" s="4" t="s">
        <v>4</v>
      </c>
      <c r="E241" s="4" t="s">
        <v>5</v>
      </c>
      <c r="F241" s="4" t="s">
        <v>6</v>
      </c>
      <c r="G241" s="4" t="s">
        <v>7</v>
      </c>
      <c r="H241" s="4" t="s">
        <v>8</v>
      </c>
      <c r="I241" s="4" t="s">
        <v>9</v>
      </c>
      <c r="J241" s="44" t="s">
        <v>33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81" t="s">
        <v>11</v>
      </c>
      <c r="U241" s="81"/>
      <c r="W241" s="13" t="s">
        <v>21</v>
      </c>
      <c r="X241" s="15" t="s">
        <v>17</v>
      </c>
      <c r="Y241" s="37"/>
    </row>
    <row r="242" spans="1:28" x14ac:dyDescent="0.3">
      <c r="A242" s="44">
        <f>A232+1</f>
        <v>22</v>
      </c>
      <c r="B242" s="34" t="str">
        <f>TEXT(Tabelle1217303029720822[[#This Row],[Datum]],"tttt")</f>
        <v>Montag</v>
      </c>
      <c r="C242" s="58">
        <f>C238+1</f>
        <v>44341</v>
      </c>
      <c r="D242" s="31"/>
      <c r="E242" s="31"/>
      <c r="F242" s="31"/>
      <c r="G242" s="31"/>
      <c r="H242" s="31"/>
      <c r="I242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4">
        <f>J232+1</f>
        <v>22</v>
      </c>
      <c r="K242" s="34" t="str">
        <f>TEXT(Tabelle121730302972082276[[#This Row],[Datum]],"tttt")</f>
        <v>Montag</v>
      </c>
      <c r="L242" s="58">
        <f>L238+1</f>
        <v>44341</v>
      </c>
      <c r="M242" s="31"/>
      <c r="N242" s="31"/>
      <c r="O242" s="31"/>
      <c r="P242" s="31"/>
      <c r="Q242" s="31"/>
      <c r="R242" s="49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2" s="81">
        <f t="shared" ref="T242:T243" si="126">R242-I242</f>
        <v>0</v>
      </c>
      <c r="U242" s="81"/>
      <c r="W242" s="17" t="s">
        <v>18</v>
      </c>
      <c r="X242" s="26">
        <f>I249</f>
        <v>0</v>
      </c>
      <c r="Y242" s="37"/>
    </row>
    <row r="243" spans="1:28" x14ac:dyDescent="0.3">
      <c r="B243" s="34" t="str">
        <f>TEXT(Tabelle1217303029720822[[#This Row],[Datum]],"tttt")</f>
        <v>Dienstag</v>
      </c>
      <c r="C243" s="56">
        <f>C242+1</f>
        <v>44342</v>
      </c>
      <c r="D243" s="31"/>
      <c r="E243" s="31"/>
      <c r="F243" s="31"/>
      <c r="G243" s="31"/>
      <c r="H243" s="31"/>
      <c r="I243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4" t="str">
        <f>TEXT(Tabelle121730302972082276[[#This Row],[Datum]],"tttt")</f>
        <v>Dienstag</v>
      </c>
      <c r="L243" s="56">
        <f>L242+1</f>
        <v>44342</v>
      </c>
      <c r="M243" s="31"/>
      <c r="N243" s="31"/>
      <c r="O243" s="31"/>
      <c r="P243" s="31"/>
      <c r="Q243" s="31"/>
      <c r="R243" s="50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3" s="81">
        <f t="shared" si="126"/>
        <v>0</v>
      </c>
      <c r="U243" s="81"/>
      <c r="W243" s="17" t="s">
        <v>19</v>
      </c>
      <c r="X243" s="26">
        <f>R249</f>
        <v>0</v>
      </c>
      <c r="Y243" s="37"/>
    </row>
    <row r="244" spans="1:28" x14ac:dyDescent="0.3">
      <c r="B244" s="35" t="str">
        <f>TEXT(Tabelle1217303029720822[[#This Row],[Datum]],"tttt")</f>
        <v>Mittwoch</v>
      </c>
      <c r="C244" s="56">
        <f t="shared" ref="C244:C248" si="127">C243+1</f>
        <v>44343</v>
      </c>
      <c r="D244" s="32"/>
      <c r="E244" s="32"/>
      <c r="F244" s="32"/>
      <c r="G244" s="32"/>
      <c r="H244" s="32"/>
      <c r="I244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5" t="str">
        <f>TEXT(Tabelle121730302972082276[[#This Row],[Datum]],"tttt")</f>
        <v>Mittwoch</v>
      </c>
      <c r="L244" s="56">
        <f t="shared" ref="L244:L248" si="128">L243+1</f>
        <v>44343</v>
      </c>
      <c r="M244" s="32"/>
      <c r="N244" s="32"/>
      <c r="O244" s="32"/>
      <c r="P244" s="32"/>
      <c r="Q244" s="32"/>
      <c r="R244" s="51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4" s="81">
        <f>R244-I244</f>
        <v>0</v>
      </c>
      <c r="U244" s="81"/>
      <c r="W244" s="20" t="s">
        <v>20</v>
      </c>
      <c r="X244" s="27">
        <f>X243-X242</f>
        <v>0</v>
      </c>
      <c r="Y244" s="37"/>
      <c r="Z244" s="66">
        <f>Z234+X244</f>
        <v>0</v>
      </c>
    </row>
    <row r="245" spans="1:28" x14ac:dyDescent="0.3">
      <c r="B245" s="34" t="str">
        <f>TEXT(Tabelle1217303029720822[[#This Row],[Datum]],"tttt")</f>
        <v>Donnerstag</v>
      </c>
      <c r="C245" s="56">
        <f t="shared" si="127"/>
        <v>44344</v>
      </c>
      <c r="D245" s="31"/>
      <c r="E245" s="31"/>
      <c r="F245" s="31"/>
      <c r="G245" s="31"/>
      <c r="H245" s="31"/>
      <c r="I245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4" t="str">
        <f>TEXT(Tabelle121730302972082276[[#This Row],[Datum]],"tttt")</f>
        <v>Donnerstag</v>
      </c>
      <c r="L245" s="56">
        <f t="shared" si="128"/>
        <v>44344</v>
      </c>
      <c r="M245" s="31"/>
      <c r="N245" s="31"/>
      <c r="O245" s="31"/>
      <c r="P245" s="31"/>
      <c r="Q245" s="31"/>
      <c r="R245" s="50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5" s="81">
        <f>R245-I245</f>
        <v>0</v>
      </c>
      <c r="U245" s="81"/>
      <c r="Y245" s="37"/>
    </row>
    <row r="246" spans="1:28" x14ac:dyDescent="0.3">
      <c r="B246" s="36" t="str">
        <f>TEXT(Tabelle1217303029720822[[#This Row],[Datum]],"tttt")</f>
        <v>Freitag</v>
      </c>
      <c r="C246" s="56">
        <f t="shared" si="127"/>
        <v>44345</v>
      </c>
      <c r="D246" s="32"/>
      <c r="E246" s="32"/>
      <c r="F246" s="32"/>
      <c r="G246" s="32"/>
      <c r="H246" s="32"/>
      <c r="I246" s="52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6" t="str">
        <f>TEXT(Tabelle121730302972082276[[#This Row],[Datum]],"tttt")</f>
        <v>Freitag</v>
      </c>
      <c r="L246" s="56">
        <f t="shared" si="128"/>
        <v>44345</v>
      </c>
      <c r="M246" s="32"/>
      <c r="N246" s="32"/>
      <c r="O246" s="32"/>
      <c r="P246" s="32"/>
      <c r="Q246" s="32"/>
      <c r="R246" s="52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6" s="81">
        <f>R246-I246</f>
        <v>0</v>
      </c>
      <c r="U246" s="81"/>
      <c r="Y246" s="37"/>
    </row>
    <row r="247" spans="1:28" x14ac:dyDescent="0.3">
      <c r="B247" s="34" t="str">
        <f>TEXT(Tabelle1217303029720822[[#This Row],[Datum]],"tttt")</f>
        <v>Samstag</v>
      </c>
      <c r="C247" s="56">
        <f t="shared" si="127"/>
        <v>44346</v>
      </c>
      <c r="D247" s="31"/>
      <c r="E247" s="31"/>
      <c r="F247" s="31"/>
      <c r="G247" s="31"/>
      <c r="H247" s="31"/>
      <c r="I247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4" t="str">
        <f>TEXT(Tabelle121730302972082276[[#This Row],[Datum]],"tttt")</f>
        <v>Samstag</v>
      </c>
      <c r="L247" s="56">
        <f t="shared" si="128"/>
        <v>44346</v>
      </c>
      <c r="M247" s="31"/>
      <c r="N247" s="31"/>
      <c r="O247" s="31"/>
      <c r="P247" s="31"/>
      <c r="Q247" s="31"/>
      <c r="R247" s="50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7" s="81">
        <f t="shared" ref="T247:T248" si="129">R247-I247</f>
        <v>0</v>
      </c>
      <c r="U247" s="81"/>
      <c r="Y247" s="37"/>
    </row>
    <row r="248" spans="1:28" s="40" customFormat="1" x14ac:dyDescent="0.3">
      <c r="B248" s="36" t="str">
        <f>TEXT(Tabelle1217303029720822[[#This Row],[Datum]],"tttt")</f>
        <v>Sonntag</v>
      </c>
      <c r="C248" s="57">
        <f t="shared" si="127"/>
        <v>44347</v>
      </c>
      <c r="D248" s="32"/>
      <c r="E248" s="32"/>
      <c r="F248" s="32"/>
      <c r="G248" s="32"/>
      <c r="H248" s="32"/>
      <c r="I248" s="53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6" t="str">
        <f>TEXT(Tabelle121730302972082276[[#This Row],[Datum]],"tttt")</f>
        <v>Sonntag</v>
      </c>
      <c r="L248" s="57">
        <f t="shared" si="128"/>
        <v>44347</v>
      </c>
      <c r="M248" s="32"/>
      <c r="N248" s="32"/>
      <c r="O248" s="32"/>
      <c r="P248" s="32"/>
      <c r="Q248" s="32"/>
      <c r="R248" s="53" t="str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0:00</v>
      </c>
      <c r="T248" s="81">
        <f t="shared" si="129"/>
        <v>0</v>
      </c>
      <c r="U248" s="81"/>
      <c r="V248" s="42"/>
      <c r="W248" s="42"/>
      <c r="X248" s="45"/>
      <c r="Y248" s="37"/>
      <c r="AB248" s="41"/>
    </row>
    <row r="249" spans="1:28" x14ac:dyDescent="0.3">
      <c r="B249" s="5"/>
      <c r="C249" s="3"/>
      <c r="D249" s="1"/>
      <c r="E249" s="1"/>
      <c r="F249" s="1"/>
      <c r="G249" s="1">
        <f t="shared" ref="G249:H249" si="130">SUM(G242:G248)</f>
        <v>0</v>
      </c>
      <c r="H249" s="1">
        <f t="shared" si="130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131">SUM(P242:P248)</f>
        <v>0</v>
      </c>
      <c r="Q249" s="1">
        <f t="shared" si="131"/>
        <v>0</v>
      </c>
      <c r="R249" s="1">
        <f>SUBTOTAL(109,R242:R248)</f>
        <v>0</v>
      </c>
      <c r="Y249" s="37"/>
    </row>
    <row r="250" spans="1:28" x14ac:dyDescent="0.3">
      <c r="A250" s="37"/>
      <c r="B250" s="38"/>
      <c r="C250" s="37"/>
      <c r="D250" s="37"/>
      <c r="E250" s="37"/>
      <c r="F250" s="37"/>
      <c r="G250" s="37"/>
      <c r="H250" s="37"/>
      <c r="I250" s="38"/>
      <c r="J250" s="37"/>
      <c r="K250" s="38"/>
      <c r="L250" s="37"/>
      <c r="M250" s="37"/>
      <c r="N250" s="37"/>
      <c r="O250" s="37"/>
      <c r="P250" s="37"/>
      <c r="Q250" s="37"/>
      <c r="R250" s="38"/>
      <c r="S250" s="37"/>
      <c r="T250" s="82"/>
      <c r="U250" s="82"/>
      <c r="V250" s="37"/>
      <c r="W250" s="37"/>
      <c r="X250" s="39"/>
      <c r="Y250" s="37"/>
    </row>
    <row r="251" spans="1:28" x14ac:dyDescent="0.3">
      <c r="A251" s="44" t="s">
        <v>33</v>
      </c>
      <c r="B251" s="6" t="s">
        <v>2</v>
      </c>
      <c r="C251" s="7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4" t="s">
        <v>33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81" t="s">
        <v>11</v>
      </c>
      <c r="U251" s="81"/>
      <c r="W251" s="13" t="s">
        <v>21</v>
      </c>
      <c r="X251" s="15" t="s">
        <v>17</v>
      </c>
      <c r="Y251" s="37"/>
    </row>
    <row r="252" spans="1:28" x14ac:dyDescent="0.3">
      <c r="A252" s="44">
        <f>A242+1</f>
        <v>23</v>
      </c>
      <c r="B252" s="34" t="str">
        <f>TEXT(Tabelle12173030297208323[[#This Row],[Datum]],"tttt")</f>
        <v>Montag</v>
      </c>
      <c r="C252" s="58">
        <f>C248+1</f>
        <v>44348</v>
      </c>
      <c r="D252" s="31"/>
      <c r="E252" s="31"/>
      <c r="F252" s="31"/>
      <c r="G252" s="31"/>
      <c r="H252" s="31"/>
      <c r="I252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4">
        <f>J242+1</f>
        <v>23</v>
      </c>
      <c r="K252" s="34" t="str">
        <f>TEXT(Tabelle1217303029720832377[[#This Row],[Datum]],"tttt")</f>
        <v>Montag</v>
      </c>
      <c r="L252" s="58">
        <f>L248+1</f>
        <v>44348</v>
      </c>
      <c r="M252" s="31"/>
      <c r="N252" s="31"/>
      <c r="O252" s="31"/>
      <c r="P252" s="31"/>
      <c r="Q252" s="31"/>
      <c r="R252" s="49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2" s="81">
        <f t="shared" ref="T252:T253" si="132">R252-I252</f>
        <v>0</v>
      </c>
      <c r="U252" s="81"/>
      <c r="W252" s="17" t="s">
        <v>18</v>
      </c>
      <c r="X252" s="26">
        <f>I259</f>
        <v>0</v>
      </c>
      <c r="Y252" s="37"/>
    </row>
    <row r="253" spans="1:28" x14ac:dyDescent="0.3">
      <c r="B253" s="34" t="str">
        <f>TEXT(Tabelle12173030297208323[[#This Row],[Datum]],"tttt")</f>
        <v>Dienstag</v>
      </c>
      <c r="C253" s="56">
        <f>C252+1</f>
        <v>44349</v>
      </c>
      <c r="D253" s="31"/>
      <c r="E253" s="31"/>
      <c r="F253" s="31"/>
      <c r="G253" s="31"/>
      <c r="H253" s="31"/>
      <c r="I253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4" t="str">
        <f>TEXT(Tabelle1217303029720832377[[#This Row],[Datum]],"tttt")</f>
        <v>Dienstag</v>
      </c>
      <c r="L253" s="56">
        <f>L252+1</f>
        <v>44349</v>
      </c>
      <c r="M253" s="31"/>
      <c r="N253" s="31"/>
      <c r="O253" s="31"/>
      <c r="P253" s="31"/>
      <c r="Q253" s="31"/>
      <c r="R253" s="50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3" s="81">
        <f t="shared" si="132"/>
        <v>0</v>
      </c>
      <c r="U253" s="81"/>
      <c r="W253" s="17" t="s">
        <v>19</v>
      </c>
      <c r="X253" s="26">
        <f>R259</f>
        <v>0</v>
      </c>
      <c r="Y253" s="37"/>
    </row>
    <row r="254" spans="1:28" x14ac:dyDescent="0.3">
      <c r="B254" s="35" t="str">
        <f>TEXT(Tabelle12173030297208323[[#This Row],[Datum]],"tttt")</f>
        <v>Mittwoch</v>
      </c>
      <c r="C254" s="56">
        <f t="shared" ref="C254:C258" si="133">C253+1</f>
        <v>44350</v>
      </c>
      <c r="D254" s="32"/>
      <c r="E254" s="32"/>
      <c r="F254" s="32"/>
      <c r="G254" s="32"/>
      <c r="H254" s="32"/>
      <c r="I254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5" t="str">
        <f>TEXT(Tabelle1217303029720832377[[#This Row],[Datum]],"tttt")</f>
        <v>Mittwoch</v>
      </c>
      <c r="L254" s="56">
        <f t="shared" ref="L254:L258" si="134">L253+1</f>
        <v>44350</v>
      </c>
      <c r="M254" s="32"/>
      <c r="N254" s="32"/>
      <c r="O254" s="32"/>
      <c r="P254" s="32"/>
      <c r="Q254" s="32"/>
      <c r="R254" s="51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4" s="81">
        <f>R254-I254</f>
        <v>0</v>
      </c>
      <c r="U254" s="81"/>
      <c r="W254" s="20" t="s">
        <v>20</v>
      </c>
      <c r="X254" s="27">
        <f>X253-X252</f>
        <v>0</v>
      </c>
      <c r="Y254" s="37"/>
      <c r="Z254" s="66">
        <f>Z244+X254</f>
        <v>0</v>
      </c>
    </row>
    <row r="255" spans="1:28" x14ac:dyDescent="0.3">
      <c r="B255" s="34" t="str">
        <f>TEXT(Tabelle12173030297208323[[#This Row],[Datum]],"tttt")</f>
        <v>Donnerstag</v>
      </c>
      <c r="C255" s="56">
        <f t="shared" si="133"/>
        <v>44351</v>
      </c>
      <c r="D255" s="31"/>
      <c r="E255" s="31"/>
      <c r="F255" s="31"/>
      <c r="G255" s="31"/>
      <c r="H255" s="31"/>
      <c r="I255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4" t="str">
        <f>TEXT(Tabelle1217303029720832377[[#This Row],[Datum]],"tttt")</f>
        <v>Donnerstag</v>
      </c>
      <c r="L255" s="56">
        <f t="shared" si="134"/>
        <v>44351</v>
      </c>
      <c r="M255" s="31"/>
      <c r="N255" s="31"/>
      <c r="O255" s="31"/>
      <c r="P255" s="31"/>
      <c r="Q255" s="31"/>
      <c r="R255" s="50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5" s="81">
        <f>R255-I255</f>
        <v>0</v>
      </c>
      <c r="U255" s="81"/>
      <c r="Y255" s="37"/>
    </row>
    <row r="256" spans="1:28" x14ac:dyDescent="0.3">
      <c r="B256" s="36" t="str">
        <f>TEXT(Tabelle12173030297208323[[#This Row],[Datum]],"tttt")</f>
        <v>Freitag</v>
      </c>
      <c r="C256" s="56">
        <f t="shared" si="133"/>
        <v>44352</v>
      </c>
      <c r="D256" s="32"/>
      <c r="E256" s="32"/>
      <c r="F256" s="32"/>
      <c r="G256" s="32"/>
      <c r="H256" s="32"/>
      <c r="I256" s="52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6" t="str">
        <f>TEXT(Tabelle1217303029720832377[[#This Row],[Datum]],"tttt")</f>
        <v>Freitag</v>
      </c>
      <c r="L256" s="56">
        <f t="shared" si="134"/>
        <v>44352</v>
      </c>
      <c r="M256" s="32"/>
      <c r="N256" s="32"/>
      <c r="O256" s="32"/>
      <c r="P256" s="32"/>
      <c r="Q256" s="32"/>
      <c r="R256" s="52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6" s="81">
        <f>R256-I256</f>
        <v>0</v>
      </c>
      <c r="U256" s="81"/>
      <c r="Y256" s="37"/>
    </row>
    <row r="257" spans="1:28" x14ac:dyDescent="0.3">
      <c r="B257" s="34" t="str">
        <f>TEXT(Tabelle12173030297208323[[#This Row],[Datum]],"tttt")</f>
        <v>Samstag</v>
      </c>
      <c r="C257" s="56">
        <f t="shared" si="133"/>
        <v>44353</v>
      </c>
      <c r="D257" s="31"/>
      <c r="E257" s="31"/>
      <c r="F257" s="31"/>
      <c r="G257" s="31"/>
      <c r="H257" s="31"/>
      <c r="I257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4" t="str">
        <f>TEXT(Tabelle1217303029720832377[[#This Row],[Datum]],"tttt")</f>
        <v>Samstag</v>
      </c>
      <c r="L257" s="56">
        <f t="shared" si="134"/>
        <v>44353</v>
      </c>
      <c r="M257" s="31"/>
      <c r="N257" s="31"/>
      <c r="O257" s="31"/>
      <c r="P257" s="31"/>
      <c r="Q257" s="31"/>
      <c r="R257" s="50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7" s="81">
        <f t="shared" ref="T257:T258" si="135">R257-I257</f>
        <v>0</v>
      </c>
      <c r="U257" s="81"/>
      <c r="Y257" s="37"/>
    </row>
    <row r="258" spans="1:28" s="40" customFormat="1" x14ac:dyDescent="0.3">
      <c r="B258" s="36" t="str">
        <f>TEXT(Tabelle12173030297208323[[#This Row],[Datum]],"tttt")</f>
        <v>Sonntag</v>
      </c>
      <c r="C258" s="57">
        <f t="shared" si="133"/>
        <v>44354</v>
      </c>
      <c r="D258" s="32"/>
      <c r="E258" s="32"/>
      <c r="F258" s="32"/>
      <c r="G258" s="32"/>
      <c r="H258" s="32"/>
      <c r="I258" s="53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6" t="str">
        <f>TEXT(Tabelle1217303029720832377[[#This Row],[Datum]],"tttt")</f>
        <v>Sonntag</v>
      </c>
      <c r="L258" s="57">
        <f t="shared" si="134"/>
        <v>44354</v>
      </c>
      <c r="M258" s="32"/>
      <c r="N258" s="32"/>
      <c r="O258" s="32"/>
      <c r="P258" s="32"/>
      <c r="Q258" s="32"/>
      <c r="R258" s="53" t="str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0:00</v>
      </c>
      <c r="T258" s="81">
        <f t="shared" si="135"/>
        <v>0</v>
      </c>
      <c r="U258" s="81"/>
      <c r="V258" s="42"/>
      <c r="W258" s="42"/>
      <c r="X258" s="45"/>
      <c r="Y258" s="37"/>
      <c r="AB258" s="41"/>
    </row>
    <row r="259" spans="1:28" x14ac:dyDescent="0.3">
      <c r="B259" s="5"/>
      <c r="C259" s="3"/>
      <c r="D259" s="1"/>
      <c r="E259" s="1"/>
      <c r="F259" s="1"/>
      <c r="G259" s="1">
        <f t="shared" ref="G259:H259" si="136">SUM(G252:G258)</f>
        <v>0</v>
      </c>
      <c r="H259" s="1">
        <f t="shared" si="136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137">SUM(P252:P258)</f>
        <v>0</v>
      </c>
      <c r="Q259" s="1">
        <f t="shared" si="137"/>
        <v>0</v>
      </c>
      <c r="R259" s="1">
        <f>SUBTOTAL(109,R252:R258)</f>
        <v>0</v>
      </c>
      <c r="Y259" s="37"/>
    </row>
    <row r="260" spans="1:28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82"/>
      <c r="U260" s="82"/>
      <c r="V260" s="37"/>
      <c r="W260" s="37"/>
      <c r="X260" s="39"/>
      <c r="Y260" s="37"/>
    </row>
    <row r="261" spans="1:28" x14ac:dyDescent="0.3">
      <c r="A261" s="44" t="s">
        <v>33</v>
      </c>
      <c r="B261" s="6" t="s">
        <v>2</v>
      </c>
      <c r="C261" s="7" t="s">
        <v>3</v>
      </c>
      <c r="D261" s="4" t="s">
        <v>4</v>
      </c>
      <c r="E261" s="4" t="s">
        <v>5</v>
      </c>
      <c r="F261" s="4" t="s">
        <v>6</v>
      </c>
      <c r="G261" s="4" t="s">
        <v>7</v>
      </c>
      <c r="H261" s="4" t="s">
        <v>8</v>
      </c>
      <c r="I261" s="4" t="s">
        <v>9</v>
      </c>
      <c r="J261" s="44" t="s">
        <v>33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81" t="s">
        <v>11</v>
      </c>
      <c r="U261" s="81"/>
      <c r="W261" s="13" t="s">
        <v>21</v>
      </c>
      <c r="X261" s="15" t="s">
        <v>17</v>
      </c>
      <c r="Y261" s="37"/>
    </row>
    <row r="262" spans="1:28" x14ac:dyDescent="0.3">
      <c r="A262" s="44">
        <f>A252+1</f>
        <v>24</v>
      </c>
      <c r="B262" s="34" t="str">
        <f>TEXT(Tabelle12173030297208424[[#This Row],[Datum]],"tttt")</f>
        <v>Montag</v>
      </c>
      <c r="C262" s="58">
        <f>C258+1</f>
        <v>44355</v>
      </c>
      <c r="D262" s="31"/>
      <c r="E262" s="31"/>
      <c r="F262" s="31"/>
      <c r="G262" s="31"/>
      <c r="H262" s="31"/>
      <c r="I262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4">
        <f>J252+1</f>
        <v>24</v>
      </c>
      <c r="K262" s="34" t="str">
        <f>TEXT(Tabelle1217303029720842478[[#This Row],[Datum]],"tttt")</f>
        <v>Montag</v>
      </c>
      <c r="L262" s="58">
        <f>L258+1</f>
        <v>44355</v>
      </c>
      <c r="M262" s="31"/>
      <c r="N262" s="31"/>
      <c r="O262" s="31"/>
      <c r="P262" s="31"/>
      <c r="Q262" s="31"/>
      <c r="R262" s="49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2" s="81">
        <f t="shared" ref="T262:T263" si="138">R262-I262</f>
        <v>0</v>
      </c>
      <c r="U262" s="81"/>
      <c r="W262" s="17" t="s">
        <v>18</v>
      </c>
      <c r="X262" s="26">
        <f>I269</f>
        <v>0</v>
      </c>
      <c r="Y262" s="37"/>
    </row>
    <row r="263" spans="1:28" x14ac:dyDescent="0.3">
      <c r="B263" s="34" t="str">
        <f>TEXT(Tabelle12173030297208424[[#This Row],[Datum]],"tttt")</f>
        <v>Dienstag</v>
      </c>
      <c r="C263" s="56">
        <f>C262+1</f>
        <v>44356</v>
      </c>
      <c r="D263" s="31"/>
      <c r="E263" s="31"/>
      <c r="F263" s="31"/>
      <c r="G263" s="31"/>
      <c r="H263" s="31"/>
      <c r="I263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4" t="str">
        <f>TEXT(Tabelle1217303029720842478[[#This Row],[Datum]],"tttt")</f>
        <v>Dienstag</v>
      </c>
      <c r="L263" s="56">
        <f>L262+1</f>
        <v>44356</v>
      </c>
      <c r="M263" s="31"/>
      <c r="N263" s="31"/>
      <c r="O263" s="31"/>
      <c r="P263" s="31"/>
      <c r="Q263" s="31"/>
      <c r="R263" s="50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3" s="81">
        <f t="shared" si="138"/>
        <v>0</v>
      </c>
      <c r="U263" s="81"/>
      <c r="W263" s="17" t="s">
        <v>19</v>
      </c>
      <c r="X263" s="26">
        <f>R269</f>
        <v>0</v>
      </c>
      <c r="Y263" s="37"/>
    </row>
    <row r="264" spans="1:28" x14ac:dyDescent="0.3">
      <c r="B264" s="35" t="str">
        <f>TEXT(Tabelle12173030297208424[[#This Row],[Datum]],"tttt")</f>
        <v>Mittwoch</v>
      </c>
      <c r="C264" s="56">
        <f t="shared" ref="C264:C268" si="139">C263+1</f>
        <v>44357</v>
      </c>
      <c r="D264" s="32"/>
      <c r="E264" s="32"/>
      <c r="F264" s="32"/>
      <c r="G264" s="32"/>
      <c r="H264" s="32"/>
      <c r="I264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5" t="str">
        <f>TEXT(Tabelle1217303029720842478[[#This Row],[Datum]],"tttt")</f>
        <v>Mittwoch</v>
      </c>
      <c r="L264" s="56">
        <f t="shared" ref="L264:L268" si="140">L263+1</f>
        <v>44357</v>
      </c>
      <c r="M264" s="32"/>
      <c r="N264" s="32"/>
      <c r="O264" s="32"/>
      <c r="P264" s="32"/>
      <c r="Q264" s="32"/>
      <c r="R264" s="51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4" s="81">
        <f>R264-I264</f>
        <v>0</v>
      </c>
      <c r="U264" s="81"/>
      <c r="W264" s="20" t="s">
        <v>20</v>
      </c>
      <c r="X264" s="27">
        <f>X263-X262</f>
        <v>0</v>
      </c>
      <c r="Y264" s="37"/>
      <c r="Z264" s="66">
        <f>Z254+X264</f>
        <v>0</v>
      </c>
    </row>
    <row r="265" spans="1:28" x14ac:dyDescent="0.3">
      <c r="B265" s="34" t="str">
        <f>TEXT(Tabelle12173030297208424[[#This Row],[Datum]],"tttt")</f>
        <v>Donnerstag</v>
      </c>
      <c r="C265" s="56">
        <f t="shared" si="139"/>
        <v>44358</v>
      </c>
      <c r="D265" s="31"/>
      <c r="E265" s="31"/>
      <c r="F265" s="31"/>
      <c r="G265" s="31"/>
      <c r="H265" s="31"/>
      <c r="I265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4" t="str">
        <f>TEXT(Tabelle1217303029720842478[[#This Row],[Datum]],"tttt")</f>
        <v>Donnerstag</v>
      </c>
      <c r="L265" s="56">
        <f t="shared" si="140"/>
        <v>44358</v>
      </c>
      <c r="M265" s="31"/>
      <c r="N265" s="31"/>
      <c r="O265" s="31"/>
      <c r="P265" s="31"/>
      <c r="Q265" s="31"/>
      <c r="R265" s="50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5" s="81">
        <f>R265-I265</f>
        <v>0</v>
      </c>
      <c r="U265" s="81"/>
      <c r="Y265" s="37"/>
    </row>
    <row r="266" spans="1:28" x14ac:dyDescent="0.3">
      <c r="B266" s="36" t="str">
        <f>TEXT(Tabelle12173030297208424[[#This Row],[Datum]],"tttt")</f>
        <v>Freitag</v>
      </c>
      <c r="C266" s="56">
        <f t="shared" si="139"/>
        <v>44359</v>
      </c>
      <c r="D266" s="32"/>
      <c r="E266" s="32"/>
      <c r="F266" s="32"/>
      <c r="G266" s="32"/>
      <c r="H266" s="32"/>
      <c r="I266" s="52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6" t="str">
        <f>TEXT(Tabelle1217303029720842478[[#This Row],[Datum]],"tttt")</f>
        <v>Freitag</v>
      </c>
      <c r="L266" s="56">
        <f t="shared" si="140"/>
        <v>44359</v>
      </c>
      <c r="M266" s="32"/>
      <c r="N266" s="32"/>
      <c r="O266" s="32"/>
      <c r="P266" s="32"/>
      <c r="Q266" s="32"/>
      <c r="R266" s="52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6" s="81">
        <f>R266-I266</f>
        <v>0</v>
      </c>
      <c r="U266" s="81"/>
      <c r="Y266" s="37"/>
    </row>
    <row r="267" spans="1:28" x14ac:dyDescent="0.3">
      <c r="B267" s="34" t="str">
        <f>TEXT(Tabelle12173030297208424[[#This Row],[Datum]],"tttt")</f>
        <v>Samstag</v>
      </c>
      <c r="C267" s="56">
        <f t="shared" si="139"/>
        <v>44360</v>
      </c>
      <c r="D267" s="31"/>
      <c r="E267" s="31"/>
      <c r="F267" s="31"/>
      <c r="G267" s="31"/>
      <c r="H267" s="31"/>
      <c r="I267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4" t="str">
        <f>TEXT(Tabelle1217303029720842478[[#This Row],[Datum]],"tttt")</f>
        <v>Samstag</v>
      </c>
      <c r="L267" s="56">
        <f t="shared" si="140"/>
        <v>44360</v>
      </c>
      <c r="M267" s="31"/>
      <c r="N267" s="31"/>
      <c r="O267" s="31"/>
      <c r="P267" s="31"/>
      <c r="Q267" s="31"/>
      <c r="R267" s="50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7" s="81">
        <f t="shared" ref="T267:T268" si="141">R267-I267</f>
        <v>0</v>
      </c>
      <c r="U267" s="81"/>
      <c r="Y267" s="37"/>
    </row>
    <row r="268" spans="1:28" s="40" customFormat="1" x14ac:dyDescent="0.3">
      <c r="B268" s="36" t="str">
        <f>TEXT(Tabelle12173030297208424[[#This Row],[Datum]],"tttt")</f>
        <v>Sonntag</v>
      </c>
      <c r="C268" s="57">
        <f t="shared" si="139"/>
        <v>44361</v>
      </c>
      <c r="D268" s="32"/>
      <c r="E268" s="32"/>
      <c r="F268" s="32"/>
      <c r="G268" s="32"/>
      <c r="H268" s="32"/>
      <c r="I268" s="53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6" t="str">
        <f>TEXT(Tabelle1217303029720842478[[#This Row],[Datum]],"tttt")</f>
        <v>Sonntag</v>
      </c>
      <c r="L268" s="57">
        <f t="shared" si="140"/>
        <v>44361</v>
      </c>
      <c r="M268" s="32"/>
      <c r="N268" s="32"/>
      <c r="O268" s="32"/>
      <c r="P268" s="32"/>
      <c r="Q268" s="32"/>
      <c r="R268" s="53" t="str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0:00</v>
      </c>
      <c r="T268" s="81">
        <f t="shared" si="141"/>
        <v>0</v>
      </c>
      <c r="U268" s="81"/>
      <c r="V268" s="42"/>
      <c r="W268" s="42"/>
      <c r="X268" s="45"/>
      <c r="Y268" s="37"/>
      <c r="AB268" s="41"/>
    </row>
    <row r="269" spans="1:28" x14ac:dyDescent="0.3">
      <c r="B269" s="5"/>
      <c r="C269" s="3"/>
      <c r="D269" s="1"/>
      <c r="E269" s="1"/>
      <c r="F269" s="1"/>
      <c r="G269" s="1">
        <f t="shared" ref="G269:H269" si="142">SUM(G262:G268)</f>
        <v>0</v>
      </c>
      <c r="H269" s="1">
        <f t="shared" si="142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143">SUM(P262:P268)</f>
        <v>0</v>
      </c>
      <c r="Q269" s="1">
        <f t="shared" si="143"/>
        <v>0</v>
      </c>
      <c r="R269" s="1">
        <f>SUBTOTAL(109,R262:R268)</f>
        <v>0</v>
      </c>
      <c r="Y269" s="37"/>
    </row>
    <row r="270" spans="1:28" x14ac:dyDescent="0.3">
      <c r="A270" s="37"/>
      <c r="B270" s="38"/>
      <c r="C270" s="37"/>
      <c r="D270" s="37"/>
      <c r="E270" s="37"/>
      <c r="F270" s="37"/>
      <c r="G270" s="37"/>
      <c r="H270" s="37"/>
      <c r="I270" s="38"/>
      <c r="J270" s="37"/>
      <c r="K270" s="38"/>
      <c r="L270" s="37"/>
      <c r="M270" s="37"/>
      <c r="N270" s="37"/>
      <c r="O270" s="37"/>
      <c r="P270" s="37"/>
      <c r="Q270" s="37"/>
      <c r="R270" s="38"/>
      <c r="S270" s="37"/>
      <c r="T270" s="82"/>
      <c r="U270" s="82"/>
      <c r="V270" s="37"/>
      <c r="W270" s="37"/>
      <c r="X270" s="39"/>
      <c r="Y270" s="37"/>
    </row>
    <row r="271" spans="1:28" x14ac:dyDescent="0.3">
      <c r="A271" s="44" t="s">
        <v>33</v>
      </c>
      <c r="B271" s="6" t="s">
        <v>2</v>
      </c>
      <c r="C271" s="7" t="s">
        <v>3</v>
      </c>
      <c r="D271" s="4" t="s">
        <v>4</v>
      </c>
      <c r="E271" s="4" t="s">
        <v>5</v>
      </c>
      <c r="F271" s="4" t="s">
        <v>6</v>
      </c>
      <c r="G271" s="4" t="s">
        <v>7</v>
      </c>
      <c r="H271" s="4" t="s">
        <v>8</v>
      </c>
      <c r="I271" s="4" t="s">
        <v>9</v>
      </c>
      <c r="J271" s="44" t="s">
        <v>33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81" t="s">
        <v>11</v>
      </c>
      <c r="U271" s="81"/>
      <c r="W271" s="13" t="s">
        <v>21</v>
      </c>
      <c r="X271" s="15" t="s">
        <v>17</v>
      </c>
      <c r="Y271" s="37"/>
    </row>
    <row r="272" spans="1:28" x14ac:dyDescent="0.3">
      <c r="A272" s="44">
        <f>A262+1</f>
        <v>25</v>
      </c>
      <c r="B272" s="34" t="str">
        <f>TEXT(Tabelle1217303029720825[[#This Row],[Datum]],"tttt")</f>
        <v>Montag</v>
      </c>
      <c r="C272" s="58">
        <f>C268+1</f>
        <v>44362</v>
      </c>
      <c r="D272" s="31"/>
      <c r="E272" s="31"/>
      <c r="F272" s="31"/>
      <c r="G272" s="31"/>
      <c r="H272" s="31"/>
      <c r="I272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4">
        <f>J262+1</f>
        <v>25</v>
      </c>
      <c r="K272" s="34" t="str">
        <f>TEXT(Tabelle121730302972082579[[#This Row],[Datum]],"tttt")</f>
        <v>Montag</v>
      </c>
      <c r="L272" s="58">
        <f>L268+1</f>
        <v>44362</v>
      </c>
      <c r="M272" s="31"/>
      <c r="N272" s="31"/>
      <c r="O272" s="31"/>
      <c r="P272" s="31"/>
      <c r="Q272" s="31"/>
      <c r="R272" s="49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2" s="81">
        <f t="shared" ref="T272:T273" si="144">R272-I272</f>
        <v>0</v>
      </c>
      <c r="U272" s="81"/>
      <c r="W272" s="17" t="s">
        <v>18</v>
      </c>
      <c r="X272" s="26">
        <f>I279</f>
        <v>0</v>
      </c>
      <c r="Y272" s="37"/>
    </row>
    <row r="273" spans="1:28" x14ac:dyDescent="0.3">
      <c r="B273" s="34" t="str">
        <f>TEXT(Tabelle1217303029720825[[#This Row],[Datum]],"tttt")</f>
        <v>Dienstag</v>
      </c>
      <c r="C273" s="56">
        <f>C272+1</f>
        <v>44363</v>
      </c>
      <c r="D273" s="31"/>
      <c r="E273" s="31"/>
      <c r="F273" s="31"/>
      <c r="G273" s="31"/>
      <c r="H273" s="31"/>
      <c r="I273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4" t="str">
        <f>TEXT(Tabelle121730302972082579[[#This Row],[Datum]],"tttt")</f>
        <v>Dienstag</v>
      </c>
      <c r="L273" s="56">
        <f>L272+1</f>
        <v>44363</v>
      </c>
      <c r="M273" s="31"/>
      <c r="N273" s="31"/>
      <c r="O273" s="31"/>
      <c r="P273" s="31"/>
      <c r="Q273" s="31"/>
      <c r="R273" s="50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3" s="81">
        <f t="shared" si="144"/>
        <v>0</v>
      </c>
      <c r="U273" s="81"/>
      <c r="W273" s="17" t="s">
        <v>19</v>
      </c>
      <c r="X273" s="26">
        <f>R279</f>
        <v>0</v>
      </c>
      <c r="Y273" s="37"/>
    </row>
    <row r="274" spans="1:28" x14ac:dyDescent="0.3">
      <c r="B274" s="35" t="str">
        <f>TEXT(Tabelle1217303029720825[[#This Row],[Datum]],"tttt")</f>
        <v>Mittwoch</v>
      </c>
      <c r="C274" s="56">
        <f t="shared" ref="C274:C278" si="145">C273+1</f>
        <v>44364</v>
      </c>
      <c r="D274" s="32"/>
      <c r="E274" s="32"/>
      <c r="F274" s="32"/>
      <c r="G274" s="32"/>
      <c r="H274" s="32"/>
      <c r="I274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5" t="str">
        <f>TEXT(Tabelle121730302972082579[[#This Row],[Datum]],"tttt")</f>
        <v>Mittwoch</v>
      </c>
      <c r="L274" s="56">
        <f t="shared" ref="L274:L278" si="146">L273+1</f>
        <v>44364</v>
      </c>
      <c r="M274" s="32"/>
      <c r="N274" s="32"/>
      <c r="O274" s="32"/>
      <c r="P274" s="32"/>
      <c r="Q274" s="32"/>
      <c r="R274" s="51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4" s="81">
        <f>R274-I274</f>
        <v>0</v>
      </c>
      <c r="U274" s="81"/>
      <c r="W274" s="20" t="s">
        <v>20</v>
      </c>
      <c r="X274" s="27">
        <f>X273-X272</f>
        <v>0</v>
      </c>
      <c r="Y274" s="37"/>
      <c r="Z274" s="66">
        <f>Z264+X274</f>
        <v>0</v>
      </c>
    </row>
    <row r="275" spans="1:28" x14ac:dyDescent="0.3">
      <c r="B275" s="34" t="str">
        <f>TEXT(Tabelle1217303029720825[[#This Row],[Datum]],"tttt")</f>
        <v>Donnerstag</v>
      </c>
      <c r="C275" s="56">
        <f t="shared" si="145"/>
        <v>44365</v>
      </c>
      <c r="D275" s="31"/>
      <c r="E275" s="31"/>
      <c r="F275" s="31"/>
      <c r="G275" s="31"/>
      <c r="H275" s="31"/>
      <c r="I275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4" t="str">
        <f>TEXT(Tabelle121730302972082579[[#This Row],[Datum]],"tttt")</f>
        <v>Donnerstag</v>
      </c>
      <c r="L275" s="56">
        <f t="shared" si="146"/>
        <v>44365</v>
      </c>
      <c r="M275" s="31"/>
      <c r="N275" s="31"/>
      <c r="O275" s="31"/>
      <c r="P275" s="31"/>
      <c r="Q275" s="31"/>
      <c r="R275" s="50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5" s="81">
        <f>R275-I275</f>
        <v>0</v>
      </c>
      <c r="U275" s="81"/>
      <c r="Y275" s="37"/>
    </row>
    <row r="276" spans="1:28" x14ac:dyDescent="0.3">
      <c r="B276" s="36" t="str">
        <f>TEXT(Tabelle1217303029720825[[#This Row],[Datum]],"tttt")</f>
        <v>Freitag</v>
      </c>
      <c r="C276" s="56">
        <f t="shared" si="145"/>
        <v>44366</v>
      </c>
      <c r="D276" s="32"/>
      <c r="E276" s="32"/>
      <c r="F276" s="32"/>
      <c r="G276" s="32"/>
      <c r="H276" s="32"/>
      <c r="I276" s="52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6" t="str">
        <f>TEXT(Tabelle121730302972082579[[#This Row],[Datum]],"tttt")</f>
        <v>Freitag</v>
      </c>
      <c r="L276" s="56">
        <f t="shared" si="146"/>
        <v>44366</v>
      </c>
      <c r="M276" s="32"/>
      <c r="N276" s="32"/>
      <c r="O276" s="32"/>
      <c r="P276" s="32"/>
      <c r="Q276" s="32"/>
      <c r="R276" s="52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6" s="81">
        <f>R276-I276</f>
        <v>0</v>
      </c>
      <c r="U276" s="81"/>
      <c r="Y276" s="37"/>
    </row>
    <row r="277" spans="1:28" x14ac:dyDescent="0.3">
      <c r="B277" s="34" t="str">
        <f>TEXT(Tabelle1217303029720825[[#This Row],[Datum]],"tttt")</f>
        <v>Samstag</v>
      </c>
      <c r="C277" s="56">
        <f t="shared" si="145"/>
        <v>44367</v>
      </c>
      <c r="D277" s="31"/>
      <c r="E277" s="31"/>
      <c r="F277" s="31"/>
      <c r="G277" s="31"/>
      <c r="H277" s="31"/>
      <c r="I277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4" t="str">
        <f>TEXT(Tabelle121730302972082579[[#This Row],[Datum]],"tttt")</f>
        <v>Samstag</v>
      </c>
      <c r="L277" s="56">
        <f t="shared" si="146"/>
        <v>44367</v>
      </c>
      <c r="M277" s="31"/>
      <c r="N277" s="31"/>
      <c r="O277" s="31"/>
      <c r="P277" s="31"/>
      <c r="Q277" s="31"/>
      <c r="R277" s="50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7" s="81">
        <f t="shared" ref="T277:T278" si="147">R277-I277</f>
        <v>0</v>
      </c>
      <c r="U277" s="81"/>
      <c r="Y277" s="37"/>
    </row>
    <row r="278" spans="1:28" s="40" customFormat="1" x14ac:dyDescent="0.3">
      <c r="B278" s="36" t="str">
        <f>TEXT(Tabelle1217303029720825[[#This Row],[Datum]],"tttt")</f>
        <v>Sonntag</v>
      </c>
      <c r="C278" s="57">
        <f t="shared" si="145"/>
        <v>44368</v>
      </c>
      <c r="D278" s="32"/>
      <c r="E278" s="32"/>
      <c r="F278" s="32"/>
      <c r="G278" s="32"/>
      <c r="H278" s="32"/>
      <c r="I278" s="53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6" t="str">
        <f>TEXT(Tabelle121730302972082579[[#This Row],[Datum]],"tttt")</f>
        <v>Sonntag</v>
      </c>
      <c r="L278" s="57">
        <f t="shared" si="146"/>
        <v>44368</v>
      </c>
      <c r="M278" s="32"/>
      <c r="N278" s="32"/>
      <c r="O278" s="32"/>
      <c r="P278" s="32"/>
      <c r="Q278" s="32"/>
      <c r="R278" s="53" t="str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0:00</v>
      </c>
      <c r="T278" s="81">
        <f t="shared" si="147"/>
        <v>0</v>
      </c>
      <c r="U278" s="81"/>
      <c r="V278" s="42"/>
      <c r="W278" s="42"/>
      <c r="X278" s="45"/>
      <c r="Y278" s="37"/>
      <c r="AB278" s="41"/>
    </row>
    <row r="279" spans="1:28" x14ac:dyDescent="0.3">
      <c r="B279" s="5"/>
      <c r="C279" s="3"/>
      <c r="D279" s="1"/>
      <c r="E279" s="1"/>
      <c r="F279" s="1"/>
      <c r="G279" s="1">
        <f t="shared" ref="G279:H279" si="148">SUM(G272:G278)</f>
        <v>0</v>
      </c>
      <c r="H279" s="1">
        <f t="shared" si="148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149">SUM(P272:P278)</f>
        <v>0</v>
      </c>
      <c r="Q279" s="1">
        <f t="shared" si="149"/>
        <v>0</v>
      </c>
      <c r="R279" s="1">
        <f>SUBTOTAL(109,R272:R278)</f>
        <v>0</v>
      </c>
      <c r="Y279" s="37"/>
    </row>
    <row r="280" spans="1:28" x14ac:dyDescent="0.3">
      <c r="A280" s="37"/>
      <c r="B280" s="38"/>
      <c r="C280" s="37"/>
      <c r="D280" s="37"/>
      <c r="E280" s="37"/>
      <c r="F280" s="37"/>
      <c r="G280" s="37"/>
      <c r="H280" s="37"/>
      <c r="I280" s="38"/>
      <c r="J280" s="37"/>
      <c r="K280" s="38"/>
      <c r="L280" s="37"/>
      <c r="M280" s="37"/>
      <c r="N280" s="37"/>
      <c r="O280" s="37"/>
      <c r="P280" s="37"/>
      <c r="Q280" s="37"/>
      <c r="R280" s="38"/>
      <c r="S280" s="37"/>
      <c r="T280" s="82"/>
      <c r="U280" s="82"/>
      <c r="V280" s="37"/>
      <c r="W280" s="37"/>
      <c r="X280" s="39"/>
      <c r="Y280" s="37"/>
    </row>
    <row r="281" spans="1:28" x14ac:dyDescent="0.3">
      <c r="A281" s="44" t="s">
        <v>33</v>
      </c>
      <c r="B281" s="6" t="s">
        <v>2</v>
      </c>
      <c r="C281" s="7" t="s">
        <v>3</v>
      </c>
      <c r="D281" s="4" t="s">
        <v>4</v>
      </c>
      <c r="E281" s="4" t="s">
        <v>5</v>
      </c>
      <c r="F281" s="4" t="s">
        <v>6</v>
      </c>
      <c r="G281" s="4" t="s">
        <v>7</v>
      </c>
      <c r="H281" s="4" t="s">
        <v>8</v>
      </c>
      <c r="I281" s="4" t="s">
        <v>9</v>
      </c>
      <c r="J281" s="44" t="s">
        <v>33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81" t="s">
        <v>11</v>
      </c>
      <c r="U281" s="81"/>
      <c r="W281" s="13" t="s">
        <v>21</v>
      </c>
      <c r="X281" s="15" t="s">
        <v>17</v>
      </c>
      <c r="Y281" s="37"/>
    </row>
    <row r="282" spans="1:28" x14ac:dyDescent="0.3">
      <c r="A282" s="44">
        <f>A272+1</f>
        <v>26</v>
      </c>
      <c r="B282" s="34" t="str">
        <f>TEXT(Tabelle12173030297208326[[#This Row],[Datum]],"tttt")</f>
        <v>Montag</v>
      </c>
      <c r="C282" s="58">
        <f>C278+1</f>
        <v>44369</v>
      </c>
      <c r="D282" s="31"/>
      <c r="E282" s="31"/>
      <c r="F282" s="31"/>
      <c r="G282" s="31"/>
      <c r="H282" s="31"/>
      <c r="I282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4">
        <f>J272+1</f>
        <v>26</v>
      </c>
      <c r="K282" s="34" t="str">
        <f>TEXT(Tabelle1217303029720832680[[#This Row],[Datum]],"tttt")</f>
        <v>Montag</v>
      </c>
      <c r="L282" s="58">
        <f>L278+1</f>
        <v>44369</v>
      </c>
      <c r="M282" s="31"/>
      <c r="N282" s="31"/>
      <c r="O282" s="31"/>
      <c r="P282" s="31"/>
      <c r="Q282" s="31"/>
      <c r="R282" s="49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2" s="81">
        <f t="shared" ref="T282:T283" si="150">R282-I282</f>
        <v>0</v>
      </c>
      <c r="U282" s="81"/>
      <c r="W282" s="17" t="s">
        <v>18</v>
      </c>
      <c r="X282" s="26">
        <f>I289</f>
        <v>0</v>
      </c>
      <c r="Y282" s="37"/>
    </row>
    <row r="283" spans="1:28" x14ac:dyDescent="0.3">
      <c r="B283" s="34" t="str">
        <f>TEXT(Tabelle12173030297208326[[#This Row],[Datum]],"tttt")</f>
        <v>Dienstag</v>
      </c>
      <c r="C283" s="56">
        <f>C282+1</f>
        <v>44370</v>
      </c>
      <c r="D283" s="31"/>
      <c r="E283" s="31"/>
      <c r="F283" s="31"/>
      <c r="G283" s="31"/>
      <c r="H283" s="31"/>
      <c r="I283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4" t="str">
        <f>TEXT(Tabelle1217303029720832680[[#This Row],[Datum]],"tttt")</f>
        <v>Dienstag</v>
      </c>
      <c r="L283" s="56">
        <f>L282+1</f>
        <v>44370</v>
      </c>
      <c r="M283" s="31"/>
      <c r="N283" s="31"/>
      <c r="O283" s="31"/>
      <c r="P283" s="31"/>
      <c r="Q283" s="31"/>
      <c r="R283" s="50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3" s="81">
        <f t="shared" si="150"/>
        <v>0</v>
      </c>
      <c r="U283" s="81"/>
      <c r="W283" s="17" t="s">
        <v>19</v>
      </c>
      <c r="X283" s="26">
        <f>R289</f>
        <v>0</v>
      </c>
      <c r="Y283" s="37"/>
    </row>
    <row r="284" spans="1:28" x14ac:dyDescent="0.3">
      <c r="B284" s="35" t="str">
        <f>TEXT(Tabelle12173030297208326[[#This Row],[Datum]],"tttt")</f>
        <v>Mittwoch</v>
      </c>
      <c r="C284" s="56">
        <f t="shared" ref="C284:C288" si="151">C283+1</f>
        <v>44371</v>
      </c>
      <c r="D284" s="32"/>
      <c r="E284" s="32"/>
      <c r="F284" s="32"/>
      <c r="G284" s="32"/>
      <c r="H284" s="32"/>
      <c r="I284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5" t="str">
        <f>TEXT(Tabelle1217303029720832680[[#This Row],[Datum]],"tttt")</f>
        <v>Mittwoch</v>
      </c>
      <c r="L284" s="56">
        <f t="shared" ref="L284:L288" si="152">L283+1</f>
        <v>44371</v>
      </c>
      <c r="M284" s="32"/>
      <c r="N284" s="32"/>
      <c r="O284" s="32"/>
      <c r="P284" s="32"/>
      <c r="Q284" s="32"/>
      <c r="R284" s="51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4" s="81">
        <f>R284-I284</f>
        <v>0</v>
      </c>
      <c r="U284" s="81"/>
      <c r="W284" s="20" t="s">
        <v>20</v>
      </c>
      <c r="X284" s="27">
        <f>X283-X282</f>
        <v>0</v>
      </c>
      <c r="Y284" s="37"/>
      <c r="Z284" s="66">
        <f>Z274+X284</f>
        <v>0</v>
      </c>
    </row>
    <row r="285" spans="1:28" x14ac:dyDescent="0.3">
      <c r="B285" s="34" t="str">
        <f>TEXT(Tabelle12173030297208326[[#This Row],[Datum]],"tttt")</f>
        <v>Donnerstag</v>
      </c>
      <c r="C285" s="56">
        <f t="shared" si="151"/>
        <v>44372</v>
      </c>
      <c r="D285" s="31"/>
      <c r="E285" s="31"/>
      <c r="F285" s="31"/>
      <c r="G285" s="31"/>
      <c r="H285" s="31"/>
      <c r="I285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4" t="str">
        <f>TEXT(Tabelle1217303029720832680[[#This Row],[Datum]],"tttt")</f>
        <v>Donnerstag</v>
      </c>
      <c r="L285" s="56">
        <f t="shared" si="152"/>
        <v>44372</v>
      </c>
      <c r="M285" s="31"/>
      <c r="N285" s="31"/>
      <c r="O285" s="31"/>
      <c r="P285" s="31"/>
      <c r="Q285" s="31"/>
      <c r="R285" s="50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5" s="81">
        <f>R285-I285</f>
        <v>0</v>
      </c>
      <c r="U285" s="81"/>
      <c r="Y285" s="37"/>
    </row>
    <row r="286" spans="1:28" x14ac:dyDescent="0.3">
      <c r="B286" s="36" t="str">
        <f>TEXT(Tabelle12173030297208326[[#This Row],[Datum]],"tttt")</f>
        <v>Freitag</v>
      </c>
      <c r="C286" s="56">
        <f t="shared" si="151"/>
        <v>44373</v>
      </c>
      <c r="D286" s="32"/>
      <c r="E286" s="32"/>
      <c r="F286" s="32"/>
      <c r="G286" s="32"/>
      <c r="H286" s="32"/>
      <c r="I286" s="52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6" t="str">
        <f>TEXT(Tabelle1217303029720832680[[#This Row],[Datum]],"tttt")</f>
        <v>Freitag</v>
      </c>
      <c r="L286" s="56">
        <f t="shared" si="152"/>
        <v>44373</v>
      </c>
      <c r="M286" s="32"/>
      <c r="N286" s="32"/>
      <c r="O286" s="32"/>
      <c r="P286" s="32"/>
      <c r="Q286" s="32"/>
      <c r="R286" s="52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6" s="81">
        <f>R286-I286</f>
        <v>0</v>
      </c>
      <c r="U286" s="81"/>
      <c r="Y286" s="37"/>
    </row>
    <row r="287" spans="1:28" x14ac:dyDescent="0.3">
      <c r="B287" s="34" t="str">
        <f>TEXT(Tabelle12173030297208326[[#This Row],[Datum]],"tttt")</f>
        <v>Samstag</v>
      </c>
      <c r="C287" s="56">
        <f t="shared" si="151"/>
        <v>44374</v>
      </c>
      <c r="D287" s="31"/>
      <c r="E287" s="31"/>
      <c r="F287" s="31"/>
      <c r="G287" s="31"/>
      <c r="H287" s="31"/>
      <c r="I287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4" t="str">
        <f>TEXT(Tabelle1217303029720832680[[#This Row],[Datum]],"tttt")</f>
        <v>Samstag</v>
      </c>
      <c r="L287" s="56">
        <f t="shared" si="152"/>
        <v>44374</v>
      </c>
      <c r="M287" s="31"/>
      <c r="N287" s="31"/>
      <c r="O287" s="31"/>
      <c r="P287" s="31"/>
      <c r="Q287" s="31"/>
      <c r="R287" s="50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7" s="81">
        <f t="shared" ref="T287:T288" si="153">R287-I287</f>
        <v>0</v>
      </c>
      <c r="U287" s="81"/>
      <c r="Y287" s="37"/>
    </row>
    <row r="288" spans="1:28" s="40" customFormat="1" x14ac:dyDescent="0.3">
      <c r="B288" s="36" t="str">
        <f>TEXT(Tabelle12173030297208326[[#This Row],[Datum]],"tttt")</f>
        <v>Sonntag</v>
      </c>
      <c r="C288" s="57">
        <f t="shared" si="151"/>
        <v>44375</v>
      </c>
      <c r="D288" s="32"/>
      <c r="E288" s="32"/>
      <c r="F288" s="32"/>
      <c r="G288" s="32"/>
      <c r="H288" s="32"/>
      <c r="I288" s="53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6" t="str">
        <f>TEXT(Tabelle1217303029720832680[[#This Row],[Datum]],"tttt")</f>
        <v>Sonntag</v>
      </c>
      <c r="L288" s="57">
        <f t="shared" si="152"/>
        <v>44375</v>
      </c>
      <c r="M288" s="32"/>
      <c r="N288" s="32"/>
      <c r="O288" s="32"/>
      <c r="P288" s="32"/>
      <c r="Q288" s="32"/>
      <c r="R288" s="53" t="str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0:00</v>
      </c>
      <c r="T288" s="81">
        <f t="shared" si="153"/>
        <v>0</v>
      </c>
      <c r="U288" s="81"/>
      <c r="V288" s="42"/>
      <c r="W288" s="42"/>
      <c r="X288" s="45"/>
      <c r="Y288" s="37"/>
      <c r="AB288" s="41"/>
    </row>
    <row r="289" spans="1:28" x14ac:dyDescent="0.3">
      <c r="B289" s="5"/>
      <c r="C289" s="3"/>
      <c r="D289" s="1"/>
      <c r="E289" s="1"/>
      <c r="F289" s="1"/>
      <c r="G289" s="1">
        <f t="shared" ref="G289:H289" si="154">SUM(G282:G288)</f>
        <v>0</v>
      </c>
      <c r="H289" s="1">
        <f t="shared" si="1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155">SUM(P282:P288)</f>
        <v>0</v>
      </c>
      <c r="Q289" s="1">
        <f t="shared" si="155"/>
        <v>0</v>
      </c>
      <c r="R289" s="1">
        <f>SUBTOTAL(109,R282:R288)</f>
        <v>0</v>
      </c>
      <c r="Y289" s="37"/>
    </row>
    <row r="290" spans="1:28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82"/>
      <c r="U290" s="82"/>
      <c r="V290" s="37"/>
      <c r="W290" s="37"/>
      <c r="X290" s="39"/>
      <c r="Y290" s="37"/>
    </row>
    <row r="291" spans="1:28" x14ac:dyDescent="0.3">
      <c r="A291" s="44" t="s">
        <v>33</v>
      </c>
      <c r="B291" s="6" t="s">
        <v>2</v>
      </c>
      <c r="C291" s="7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  <c r="I291" s="4" t="s">
        <v>9</v>
      </c>
      <c r="J291" s="44" t="s">
        <v>33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81" t="s">
        <v>11</v>
      </c>
      <c r="U291" s="81"/>
      <c r="W291" s="13" t="s">
        <v>21</v>
      </c>
      <c r="X291" s="15" t="s">
        <v>17</v>
      </c>
      <c r="Y291" s="37"/>
    </row>
    <row r="292" spans="1:28" x14ac:dyDescent="0.3">
      <c r="A292" s="44">
        <f>A282+1</f>
        <v>27</v>
      </c>
      <c r="B292" s="34" t="str">
        <f>TEXT(Tabelle12173030297208427[[#This Row],[Datum]],"tttt")</f>
        <v>Montag</v>
      </c>
      <c r="C292" s="58">
        <f>C288+1</f>
        <v>44376</v>
      </c>
      <c r="D292" s="31"/>
      <c r="E292" s="31"/>
      <c r="F292" s="31"/>
      <c r="G292" s="31"/>
      <c r="H292" s="31"/>
      <c r="I292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4">
        <f>J282+1</f>
        <v>27</v>
      </c>
      <c r="K292" s="34" t="str">
        <f>TEXT(Tabelle1217303029720842781[[#This Row],[Datum]],"tttt")</f>
        <v>Montag</v>
      </c>
      <c r="L292" s="58">
        <f>L288+1</f>
        <v>44376</v>
      </c>
      <c r="M292" s="31"/>
      <c r="N292" s="31"/>
      <c r="O292" s="31"/>
      <c r="P292" s="31"/>
      <c r="Q292" s="31"/>
      <c r="R292" s="49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2" s="81">
        <f t="shared" ref="T292:T293" si="156">R292-I292</f>
        <v>0</v>
      </c>
      <c r="U292" s="81"/>
      <c r="W292" s="17" t="s">
        <v>18</v>
      </c>
      <c r="X292" s="26">
        <f>I299</f>
        <v>0</v>
      </c>
      <c r="Y292" s="37"/>
    </row>
    <row r="293" spans="1:28" x14ac:dyDescent="0.3">
      <c r="B293" s="34" t="str">
        <f>TEXT(Tabelle12173030297208427[[#This Row],[Datum]],"tttt")</f>
        <v>Dienstag</v>
      </c>
      <c r="C293" s="56">
        <f>C292+1</f>
        <v>44377</v>
      </c>
      <c r="D293" s="31"/>
      <c r="E293" s="31"/>
      <c r="F293" s="31"/>
      <c r="G293" s="31"/>
      <c r="H293" s="31"/>
      <c r="I293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4" t="str">
        <f>TEXT(Tabelle1217303029720842781[[#This Row],[Datum]],"tttt")</f>
        <v>Dienstag</v>
      </c>
      <c r="L293" s="56">
        <f>L292+1</f>
        <v>44377</v>
      </c>
      <c r="M293" s="31"/>
      <c r="N293" s="31"/>
      <c r="O293" s="31"/>
      <c r="P293" s="31"/>
      <c r="Q293" s="31"/>
      <c r="R293" s="50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3" s="81">
        <f t="shared" si="156"/>
        <v>0</v>
      </c>
      <c r="U293" s="81"/>
      <c r="W293" s="17" t="s">
        <v>19</v>
      </c>
      <c r="X293" s="26">
        <f>R299</f>
        <v>0</v>
      </c>
      <c r="Y293" s="37"/>
    </row>
    <row r="294" spans="1:28" x14ac:dyDescent="0.3">
      <c r="B294" s="35" t="str">
        <f>TEXT(Tabelle12173030297208427[[#This Row],[Datum]],"tttt")</f>
        <v>Mittwoch</v>
      </c>
      <c r="C294" s="56">
        <f t="shared" ref="C294:C298" si="157">C293+1</f>
        <v>44378</v>
      </c>
      <c r="D294" s="32"/>
      <c r="E294" s="32"/>
      <c r="F294" s="32"/>
      <c r="G294" s="32"/>
      <c r="H294" s="32"/>
      <c r="I294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5" t="str">
        <f>TEXT(Tabelle1217303029720842781[[#This Row],[Datum]],"tttt")</f>
        <v>Mittwoch</v>
      </c>
      <c r="L294" s="56">
        <f t="shared" ref="L294:L298" si="158">L293+1</f>
        <v>44378</v>
      </c>
      <c r="M294" s="32"/>
      <c r="N294" s="32"/>
      <c r="O294" s="32"/>
      <c r="P294" s="32"/>
      <c r="Q294" s="32"/>
      <c r="R294" s="51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4" s="81">
        <f>R294-I294</f>
        <v>0</v>
      </c>
      <c r="U294" s="81"/>
      <c r="W294" s="20" t="s">
        <v>20</v>
      </c>
      <c r="X294" s="27">
        <f>X293-X292</f>
        <v>0</v>
      </c>
      <c r="Y294" s="37"/>
      <c r="Z294" s="66">
        <f>Z284+X294</f>
        <v>0</v>
      </c>
    </row>
    <row r="295" spans="1:28" x14ac:dyDescent="0.3">
      <c r="B295" s="34" t="str">
        <f>TEXT(Tabelle12173030297208427[[#This Row],[Datum]],"tttt")</f>
        <v>Donnerstag</v>
      </c>
      <c r="C295" s="56">
        <f t="shared" si="157"/>
        <v>44379</v>
      </c>
      <c r="D295" s="31"/>
      <c r="E295" s="31"/>
      <c r="F295" s="31"/>
      <c r="G295" s="31"/>
      <c r="H295" s="31"/>
      <c r="I295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4" t="str">
        <f>TEXT(Tabelle1217303029720842781[[#This Row],[Datum]],"tttt")</f>
        <v>Donnerstag</v>
      </c>
      <c r="L295" s="56">
        <f t="shared" si="158"/>
        <v>44379</v>
      </c>
      <c r="M295" s="31"/>
      <c r="N295" s="31"/>
      <c r="O295" s="31"/>
      <c r="P295" s="31"/>
      <c r="Q295" s="31"/>
      <c r="R295" s="50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5" s="81">
        <f>R295-I295</f>
        <v>0</v>
      </c>
      <c r="U295" s="81"/>
      <c r="Y295" s="37"/>
    </row>
    <row r="296" spans="1:28" x14ac:dyDescent="0.3">
      <c r="B296" s="36" t="str">
        <f>TEXT(Tabelle12173030297208427[[#This Row],[Datum]],"tttt")</f>
        <v>Freitag</v>
      </c>
      <c r="C296" s="56">
        <f t="shared" si="157"/>
        <v>44380</v>
      </c>
      <c r="D296" s="32"/>
      <c r="E296" s="32"/>
      <c r="F296" s="32"/>
      <c r="G296" s="32"/>
      <c r="H296" s="32"/>
      <c r="I296" s="52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6" t="str">
        <f>TEXT(Tabelle1217303029720842781[[#This Row],[Datum]],"tttt")</f>
        <v>Freitag</v>
      </c>
      <c r="L296" s="56">
        <f t="shared" si="158"/>
        <v>44380</v>
      </c>
      <c r="M296" s="32"/>
      <c r="N296" s="32"/>
      <c r="O296" s="32"/>
      <c r="P296" s="32"/>
      <c r="Q296" s="32"/>
      <c r="R296" s="52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6" s="81">
        <f>R296-I296</f>
        <v>0</v>
      </c>
      <c r="U296" s="81"/>
      <c r="Y296" s="37"/>
    </row>
    <row r="297" spans="1:28" x14ac:dyDescent="0.3">
      <c r="B297" s="34" t="str">
        <f>TEXT(Tabelle12173030297208427[[#This Row],[Datum]],"tttt")</f>
        <v>Samstag</v>
      </c>
      <c r="C297" s="56">
        <f t="shared" si="157"/>
        <v>44381</v>
      </c>
      <c r="D297" s="31"/>
      <c r="E297" s="31"/>
      <c r="F297" s="31"/>
      <c r="G297" s="31"/>
      <c r="H297" s="31"/>
      <c r="I297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4" t="str">
        <f>TEXT(Tabelle1217303029720842781[[#This Row],[Datum]],"tttt")</f>
        <v>Samstag</v>
      </c>
      <c r="L297" s="56">
        <f t="shared" si="158"/>
        <v>44381</v>
      </c>
      <c r="M297" s="31"/>
      <c r="N297" s="31"/>
      <c r="O297" s="31"/>
      <c r="P297" s="31"/>
      <c r="Q297" s="31"/>
      <c r="R297" s="50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7" s="81">
        <f t="shared" ref="T297:T298" si="159">R297-I297</f>
        <v>0</v>
      </c>
      <c r="U297" s="81"/>
      <c r="Y297" s="37"/>
    </row>
    <row r="298" spans="1:28" s="40" customFormat="1" x14ac:dyDescent="0.3">
      <c r="B298" s="36" t="str">
        <f>TEXT(Tabelle12173030297208427[[#This Row],[Datum]],"tttt")</f>
        <v>Sonntag</v>
      </c>
      <c r="C298" s="57">
        <f t="shared" si="157"/>
        <v>44382</v>
      </c>
      <c r="D298" s="32"/>
      <c r="E298" s="32"/>
      <c r="F298" s="32"/>
      <c r="G298" s="32"/>
      <c r="H298" s="32"/>
      <c r="I298" s="53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6" t="str">
        <f>TEXT(Tabelle1217303029720842781[[#This Row],[Datum]],"tttt")</f>
        <v>Sonntag</v>
      </c>
      <c r="L298" s="57">
        <f t="shared" si="158"/>
        <v>44382</v>
      </c>
      <c r="M298" s="32"/>
      <c r="N298" s="32"/>
      <c r="O298" s="32"/>
      <c r="P298" s="32"/>
      <c r="Q298" s="32"/>
      <c r="R298" s="53" t="str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0:00</v>
      </c>
      <c r="T298" s="81">
        <f t="shared" si="159"/>
        <v>0</v>
      </c>
      <c r="U298" s="81"/>
      <c r="V298" s="42"/>
      <c r="W298" s="42"/>
      <c r="X298" s="45"/>
      <c r="Y298" s="37"/>
      <c r="AB298" s="41"/>
    </row>
    <row r="299" spans="1:28" x14ac:dyDescent="0.3">
      <c r="B299" s="5"/>
      <c r="C299" s="3"/>
      <c r="D299" s="1"/>
      <c r="E299" s="1"/>
      <c r="F299" s="1"/>
      <c r="G299" s="1">
        <f t="shared" ref="G299:H299" si="160">SUM(G292:G298)</f>
        <v>0</v>
      </c>
      <c r="H299" s="1">
        <f t="shared" si="160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161">SUM(P292:P298)</f>
        <v>0</v>
      </c>
      <c r="Q299" s="1">
        <f t="shared" si="161"/>
        <v>0</v>
      </c>
      <c r="R299" s="1">
        <f>SUBTOTAL(109,R292:R298)</f>
        <v>0</v>
      </c>
      <c r="Y299" s="37"/>
    </row>
    <row r="300" spans="1:28" x14ac:dyDescent="0.3">
      <c r="A300" s="37"/>
      <c r="B300" s="38"/>
      <c r="C300" s="37"/>
      <c r="D300" s="37"/>
      <c r="E300" s="37"/>
      <c r="F300" s="37"/>
      <c r="G300" s="37"/>
      <c r="H300" s="37"/>
      <c r="I300" s="38"/>
      <c r="J300" s="37"/>
      <c r="K300" s="38"/>
      <c r="L300" s="37"/>
      <c r="M300" s="37"/>
      <c r="N300" s="37"/>
      <c r="O300" s="37"/>
      <c r="P300" s="37"/>
      <c r="Q300" s="37"/>
      <c r="R300" s="38"/>
      <c r="S300" s="37"/>
      <c r="T300" s="82"/>
      <c r="U300" s="82"/>
      <c r="V300" s="37"/>
      <c r="W300" s="37"/>
      <c r="X300" s="39"/>
      <c r="Y300" s="37"/>
    </row>
    <row r="301" spans="1:28" x14ac:dyDescent="0.3">
      <c r="A301" s="44" t="s">
        <v>33</v>
      </c>
      <c r="B301" s="6" t="s">
        <v>2</v>
      </c>
      <c r="C301" s="7" t="s">
        <v>3</v>
      </c>
      <c r="D301" s="4" t="s">
        <v>4</v>
      </c>
      <c r="E301" s="4" t="s">
        <v>5</v>
      </c>
      <c r="F301" s="4" t="s">
        <v>6</v>
      </c>
      <c r="G301" s="4" t="s">
        <v>7</v>
      </c>
      <c r="H301" s="4" t="s">
        <v>8</v>
      </c>
      <c r="I301" s="4" t="s">
        <v>9</v>
      </c>
      <c r="J301" s="44" t="s">
        <v>33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81" t="s">
        <v>11</v>
      </c>
      <c r="U301" s="81"/>
      <c r="W301" s="13" t="s">
        <v>21</v>
      </c>
      <c r="X301" s="15" t="s">
        <v>17</v>
      </c>
      <c r="Y301" s="37"/>
    </row>
    <row r="302" spans="1:28" x14ac:dyDescent="0.3">
      <c r="A302" s="44">
        <f>A292+1</f>
        <v>28</v>
      </c>
      <c r="B302" s="34" t="str">
        <f>TEXT(Tabelle1217303029720828[[#This Row],[Datum]],"tttt")</f>
        <v>Montag</v>
      </c>
      <c r="C302" s="58">
        <f>C298+1</f>
        <v>44383</v>
      </c>
      <c r="D302" s="31"/>
      <c r="E302" s="31"/>
      <c r="F302" s="31"/>
      <c r="G302" s="31"/>
      <c r="H302" s="31"/>
      <c r="I302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4">
        <f>J292+1</f>
        <v>28</v>
      </c>
      <c r="K302" s="34" t="str">
        <f>TEXT(Tabelle121730302972082882[[#This Row],[Datum]],"tttt")</f>
        <v>Montag</v>
      </c>
      <c r="L302" s="58">
        <f>L298+1</f>
        <v>44383</v>
      </c>
      <c r="M302" s="31"/>
      <c r="N302" s="31"/>
      <c r="O302" s="31"/>
      <c r="P302" s="31"/>
      <c r="Q302" s="31"/>
      <c r="R302" s="49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2" s="81">
        <f t="shared" ref="T302:T303" si="162">R302-I302</f>
        <v>0</v>
      </c>
      <c r="U302" s="81"/>
      <c r="W302" s="17" t="s">
        <v>18</v>
      </c>
      <c r="X302" s="26">
        <f>I309</f>
        <v>0</v>
      </c>
      <c r="Y302" s="37"/>
    </row>
    <row r="303" spans="1:28" x14ac:dyDescent="0.3">
      <c r="B303" s="34" t="str">
        <f>TEXT(Tabelle1217303029720828[[#This Row],[Datum]],"tttt")</f>
        <v>Dienstag</v>
      </c>
      <c r="C303" s="56">
        <f>C302+1</f>
        <v>44384</v>
      </c>
      <c r="D303" s="31"/>
      <c r="E303" s="31"/>
      <c r="F303" s="31"/>
      <c r="G303" s="31"/>
      <c r="H303" s="31"/>
      <c r="I303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4" t="str">
        <f>TEXT(Tabelle121730302972082882[[#This Row],[Datum]],"tttt")</f>
        <v>Dienstag</v>
      </c>
      <c r="L303" s="56">
        <f>L302+1</f>
        <v>44384</v>
      </c>
      <c r="M303" s="31"/>
      <c r="N303" s="31"/>
      <c r="O303" s="31"/>
      <c r="P303" s="31"/>
      <c r="Q303" s="31"/>
      <c r="R303" s="50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3" s="81">
        <f t="shared" si="162"/>
        <v>0</v>
      </c>
      <c r="U303" s="81"/>
      <c r="W303" s="17" t="s">
        <v>19</v>
      </c>
      <c r="X303" s="26">
        <f>R309</f>
        <v>0</v>
      </c>
      <c r="Y303" s="37"/>
    </row>
    <row r="304" spans="1:28" x14ac:dyDescent="0.3">
      <c r="B304" s="35" t="str">
        <f>TEXT(Tabelle1217303029720828[[#This Row],[Datum]],"tttt")</f>
        <v>Mittwoch</v>
      </c>
      <c r="C304" s="56">
        <f t="shared" ref="C304:C308" si="163">C303+1</f>
        <v>44385</v>
      </c>
      <c r="D304" s="32"/>
      <c r="E304" s="32"/>
      <c r="F304" s="32"/>
      <c r="G304" s="32"/>
      <c r="H304" s="32"/>
      <c r="I304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5" t="str">
        <f>TEXT(Tabelle121730302972082882[[#This Row],[Datum]],"tttt")</f>
        <v>Mittwoch</v>
      </c>
      <c r="L304" s="56">
        <f t="shared" ref="L304:L308" si="164">L303+1</f>
        <v>44385</v>
      </c>
      <c r="M304" s="32"/>
      <c r="N304" s="32"/>
      <c r="O304" s="32"/>
      <c r="P304" s="32"/>
      <c r="Q304" s="32"/>
      <c r="R304" s="51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4" s="81">
        <f>R304-I304</f>
        <v>0</v>
      </c>
      <c r="U304" s="81"/>
      <c r="W304" s="20" t="s">
        <v>20</v>
      </c>
      <c r="X304" s="27">
        <f>X303-X302</f>
        <v>0</v>
      </c>
      <c r="Y304" s="37"/>
      <c r="Z304" s="66">
        <f>Z294+X304</f>
        <v>0</v>
      </c>
    </row>
    <row r="305" spans="1:28" x14ac:dyDescent="0.3">
      <c r="B305" s="34" t="str">
        <f>TEXT(Tabelle1217303029720828[[#This Row],[Datum]],"tttt")</f>
        <v>Donnerstag</v>
      </c>
      <c r="C305" s="56">
        <f t="shared" si="163"/>
        <v>44386</v>
      </c>
      <c r="D305" s="31"/>
      <c r="E305" s="31"/>
      <c r="F305" s="31"/>
      <c r="G305" s="31"/>
      <c r="H305" s="31"/>
      <c r="I305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4" t="str">
        <f>TEXT(Tabelle121730302972082882[[#This Row],[Datum]],"tttt")</f>
        <v>Donnerstag</v>
      </c>
      <c r="L305" s="56">
        <f t="shared" si="164"/>
        <v>44386</v>
      </c>
      <c r="M305" s="31"/>
      <c r="N305" s="31"/>
      <c r="O305" s="31"/>
      <c r="P305" s="31"/>
      <c r="Q305" s="31"/>
      <c r="R305" s="50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5" s="81">
        <f>R305-I305</f>
        <v>0</v>
      </c>
      <c r="U305" s="81"/>
      <c r="Y305" s="37"/>
    </row>
    <row r="306" spans="1:28" x14ac:dyDescent="0.3">
      <c r="B306" s="36" t="str">
        <f>TEXT(Tabelle1217303029720828[[#This Row],[Datum]],"tttt")</f>
        <v>Freitag</v>
      </c>
      <c r="C306" s="56">
        <f t="shared" si="163"/>
        <v>44387</v>
      </c>
      <c r="D306" s="32"/>
      <c r="E306" s="32"/>
      <c r="F306" s="32"/>
      <c r="G306" s="32"/>
      <c r="H306" s="32"/>
      <c r="I306" s="52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6" t="str">
        <f>TEXT(Tabelle121730302972082882[[#This Row],[Datum]],"tttt")</f>
        <v>Freitag</v>
      </c>
      <c r="L306" s="56">
        <f t="shared" si="164"/>
        <v>44387</v>
      </c>
      <c r="M306" s="32"/>
      <c r="N306" s="32"/>
      <c r="O306" s="32"/>
      <c r="P306" s="32"/>
      <c r="Q306" s="32"/>
      <c r="R306" s="52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6" s="81">
        <f>R306-I306</f>
        <v>0</v>
      </c>
      <c r="U306" s="81"/>
      <c r="Y306" s="37"/>
    </row>
    <row r="307" spans="1:28" x14ac:dyDescent="0.3">
      <c r="B307" s="34" t="str">
        <f>TEXT(Tabelle1217303029720828[[#This Row],[Datum]],"tttt")</f>
        <v>Samstag</v>
      </c>
      <c r="C307" s="56">
        <f t="shared" si="163"/>
        <v>44388</v>
      </c>
      <c r="D307" s="31"/>
      <c r="E307" s="31"/>
      <c r="F307" s="31"/>
      <c r="G307" s="31"/>
      <c r="H307" s="31"/>
      <c r="I307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4" t="str">
        <f>TEXT(Tabelle121730302972082882[[#This Row],[Datum]],"tttt")</f>
        <v>Samstag</v>
      </c>
      <c r="L307" s="56">
        <f t="shared" si="164"/>
        <v>44388</v>
      </c>
      <c r="M307" s="31"/>
      <c r="N307" s="31"/>
      <c r="O307" s="31"/>
      <c r="P307" s="31"/>
      <c r="Q307" s="31"/>
      <c r="R307" s="50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7" s="81">
        <f t="shared" ref="T307:T308" si="165">R307-I307</f>
        <v>0</v>
      </c>
      <c r="U307" s="81"/>
      <c r="Y307" s="37"/>
    </row>
    <row r="308" spans="1:28" s="40" customFormat="1" x14ac:dyDescent="0.3">
      <c r="B308" s="36" t="str">
        <f>TEXT(Tabelle1217303029720828[[#This Row],[Datum]],"tttt")</f>
        <v>Sonntag</v>
      </c>
      <c r="C308" s="57">
        <f t="shared" si="163"/>
        <v>44389</v>
      </c>
      <c r="D308" s="32"/>
      <c r="E308" s="32"/>
      <c r="F308" s="32"/>
      <c r="G308" s="32"/>
      <c r="H308" s="32"/>
      <c r="I308" s="53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6" t="str">
        <f>TEXT(Tabelle121730302972082882[[#This Row],[Datum]],"tttt")</f>
        <v>Sonntag</v>
      </c>
      <c r="L308" s="57">
        <f t="shared" si="164"/>
        <v>44389</v>
      </c>
      <c r="M308" s="32"/>
      <c r="N308" s="32"/>
      <c r="O308" s="32"/>
      <c r="P308" s="32"/>
      <c r="Q308" s="32"/>
      <c r="R308" s="53" t="str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0:00</v>
      </c>
      <c r="T308" s="81">
        <f t="shared" si="165"/>
        <v>0</v>
      </c>
      <c r="U308" s="81"/>
      <c r="V308" s="42"/>
      <c r="W308" s="42"/>
      <c r="X308" s="45"/>
      <c r="Y308" s="37"/>
      <c r="AB308" s="41"/>
    </row>
    <row r="309" spans="1:28" x14ac:dyDescent="0.3">
      <c r="B309" s="5"/>
      <c r="C309" s="3"/>
      <c r="D309" s="1"/>
      <c r="E309" s="1"/>
      <c r="F309" s="1"/>
      <c r="G309" s="1">
        <f t="shared" ref="G309:H309" si="166">SUM(G302:G308)</f>
        <v>0</v>
      </c>
      <c r="H309" s="1">
        <f t="shared" si="166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167">SUM(P302:P308)</f>
        <v>0</v>
      </c>
      <c r="Q309" s="1">
        <f t="shared" si="167"/>
        <v>0</v>
      </c>
      <c r="R309" s="1">
        <f>SUBTOTAL(109,R302:R308)</f>
        <v>0</v>
      </c>
      <c r="Y309" s="37"/>
    </row>
    <row r="310" spans="1:28" x14ac:dyDescent="0.3">
      <c r="A310" s="37"/>
      <c r="B310" s="38"/>
      <c r="C310" s="37"/>
      <c r="D310" s="37"/>
      <c r="E310" s="37"/>
      <c r="F310" s="37"/>
      <c r="G310" s="37"/>
      <c r="H310" s="37"/>
      <c r="I310" s="38"/>
      <c r="J310" s="37"/>
      <c r="K310" s="38"/>
      <c r="L310" s="37"/>
      <c r="M310" s="37"/>
      <c r="N310" s="37"/>
      <c r="O310" s="37"/>
      <c r="P310" s="37"/>
      <c r="Q310" s="37"/>
      <c r="R310" s="38"/>
      <c r="S310" s="37"/>
      <c r="T310" s="82"/>
      <c r="U310" s="82"/>
      <c r="V310" s="37"/>
      <c r="W310" s="37"/>
      <c r="X310" s="39"/>
      <c r="Y310" s="37"/>
    </row>
    <row r="311" spans="1:28" x14ac:dyDescent="0.3">
      <c r="A311" s="44" t="s">
        <v>33</v>
      </c>
      <c r="B311" s="6" t="s">
        <v>2</v>
      </c>
      <c r="C311" s="7" t="s">
        <v>3</v>
      </c>
      <c r="D311" s="4" t="s">
        <v>4</v>
      </c>
      <c r="E311" s="4" t="s">
        <v>5</v>
      </c>
      <c r="F311" s="4" t="s">
        <v>6</v>
      </c>
      <c r="G311" s="4" t="s">
        <v>7</v>
      </c>
      <c r="H311" s="4" t="s">
        <v>8</v>
      </c>
      <c r="I311" s="4" t="s">
        <v>9</v>
      </c>
      <c r="J311" s="44" t="s">
        <v>33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81" t="s">
        <v>11</v>
      </c>
      <c r="U311" s="81"/>
      <c r="W311" s="13" t="s">
        <v>21</v>
      </c>
      <c r="X311" s="15" t="s">
        <v>17</v>
      </c>
      <c r="Y311" s="37"/>
    </row>
    <row r="312" spans="1:28" x14ac:dyDescent="0.3">
      <c r="A312" s="44">
        <f>A302+1</f>
        <v>29</v>
      </c>
      <c r="B312" s="34" t="str">
        <f>TEXT(Tabelle12173030297208329[[#This Row],[Datum]],"tttt")</f>
        <v>Montag</v>
      </c>
      <c r="C312" s="58">
        <f>C308+1</f>
        <v>44390</v>
      </c>
      <c r="D312" s="31"/>
      <c r="E312" s="31"/>
      <c r="F312" s="31"/>
      <c r="G312" s="31"/>
      <c r="H312" s="31"/>
      <c r="I312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4">
        <f>J302+1</f>
        <v>29</v>
      </c>
      <c r="K312" s="34" t="str">
        <f>TEXT(Tabelle1217303029720832983[[#This Row],[Datum]],"tttt")</f>
        <v>Montag</v>
      </c>
      <c r="L312" s="58">
        <f>L308+1</f>
        <v>44390</v>
      </c>
      <c r="M312" s="31"/>
      <c r="N312" s="31"/>
      <c r="O312" s="31"/>
      <c r="P312" s="31"/>
      <c r="Q312" s="31"/>
      <c r="R312" s="49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2" s="81">
        <f t="shared" ref="T312:T313" si="168">R312-I312</f>
        <v>0</v>
      </c>
      <c r="U312" s="81"/>
      <c r="W312" s="17" t="s">
        <v>18</v>
      </c>
      <c r="X312" s="26">
        <f>I319</f>
        <v>0</v>
      </c>
      <c r="Y312" s="37"/>
    </row>
    <row r="313" spans="1:28" x14ac:dyDescent="0.3">
      <c r="B313" s="34" t="str">
        <f>TEXT(Tabelle12173030297208329[[#This Row],[Datum]],"tttt")</f>
        <v>Dienstag</v>
      </c>
      <c r="C313" s="56">
        <f>C312+1</f>
        <v>44391</v>
      </c>
      <c r="D313" s="31"/>
      <c r="E313" s="31"/>
      <c r="F313" s="31"/>
      <c r="G313" s="31"/>
      <c r="H313" s="31"/>
      <c r="I313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4" t="str">
        <f>TEXT(Tabelle1217303029720832983[[#This Row],[Datum]],"tttt")</f>
        <v>Dienstag</v>
      </c>
      <c r="L313" s="56">
        <f>L312+1</f>
        <v>44391</v>
      </c>
      <c r="M313" s="31"/>
      <c r="N313" s="31"/>
      <c r="O313" s="31"/>
      <c r="P313" s="31"/>
      <c r="Q313" s="31"/>
      <c r="R313" s="50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3" s="81">
        <f t="shared" si="168"/>
        <v>0</v>
      </c>
      <c r="U313" s="81"/>
      <c r="W313" s="17" t="s">
        <v>19</v>
      </c>
      <c r="X313" s="26">
        <f>R319</f>
        <v>0</v>
      </c>
      <c r="Y313" s="37"/>
    </row>
    <row r="314" spans="1:28" x14ac:dyDescent="0.3">
      <c r="B314" s="35" t="str">
        <f>TEXT(Tabelle12173030297208329[[#This Row],[Datum]],"tttt")</f>
        <v>Mittwoch</v>
      </c>
      <c r="C314" s="56">
        <f t="shared" ref="C314:C318" si="169">C313+1</f>
        <v>44392</v>
      </c>
      <c r="D314" s="32"/>
      <c r="E314" s="32"/>
      <c r="F314" s="32"/>
      <c r="G314" s="32"/>
      <c r="H314" s="32"/>
      <c r="I314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5" t="str">
        <f>TEXT(Tabelle1217303029720832983[[#This Row],[Datum]],"tttt")</f>
        <v>Mittwoch</v>
      </c>
      <c r="L314" s="56">
        <f t="shared" ref="L314:L318" si="170">L313+1</f>
        <v>44392</v>
      </c>
      <c r="M314" s="32"/>
      <c r="N314" s="32"/>
      <c r="O314" s="32"/>
      <c r="P314" s="32"/>
      <c r="Q314" s="32"/>
      <c r="R314" s="51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4" s="81">
        <f>R314-I314</f>
        <v>0</v>
      </c>
      <c r="U314" s="81"/>
      <c r="W314" s="20" t="s">
        <v>20</v>
      </c>
      <c r="X314" s="27">
        <f>X313-X312</f>
        <v>0</v>
      </c>
      <c r="Y314" s="37"/>
      <c r="Z314" s="66">
        <f>Z304+X314</f>
        <v>0</v>
      </c>
    </row>
    <row r="315" spans="1:28" x14ac:dyDescent="0.3">
      <c r="B315" s="34" t="str">
        <f>TEXT(Tabelle12173030297208329[[#This Row],[Datum]],"tttt")</f>
        <v>Donnerstag</v>
      </c>
      <c r="C315" s="56">
        <f t="shared" si="169"/>
        <v>44393</v>
      </c>
      <c r="D315" s="31"/>
      <c r="E315" s="31"/>
      <c r="F315" s="31"/>
      <c r="G315" s="31"/>
      <c r="H315" s="31"/>
      <c r="I315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4" t="str">
        <f>TEXT(Tabelle1217303029720832983[[#This Row],[Datum]],"tttt")</f>
        <v>Donnerstag</v>
      </c>
      <c r="L315" s="56">
        <f t="shared" si="170"/>
        <v>44393</v>
      </c>
      <c r="M315" s="31"/>
      <c r="N315" s="31"/>
      <c r="O315" s="31"/>
      <c r="P315" s="31"/>
      <c r="Q315" s="31"/>
      <c r="R315" s="50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5" s="81">
        <f>R315-I315</f>
        <v>0</v>
      </c>
      <c r="U315" s="81"/>
      <c r="Y315" s="37"/>
    </row>
    <row r="316" spans="1:28" x14ac:dyDescent="0.3">
      <c r="B316" s="36" t="str">
        <f>TEXT(Tabelle12173030297208329[[#This Row],[Datum]],"tttt")</f>
        <v>Freitag</v>
      </c>
      <c r="C316" s="56">
        <f t="shared" si="169"/>
        <v>44394</v>
      </c>
      <c r="D316" s="32"/>
      <c r="E316" s="32"/>
      <c r="F316" s="32"/>
      <c r="G316" s="32"/>
      <c r="H316" s="32"/>
      <c r="I316" s="52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6" t="str">
        <f>TEXT(Tabelle1217303029720832983[[#This Row],[Datum]],"tttt")</f>
        <v>Freitag</v>
      </c>
      <c r="L316" s="56">
        <f t="shared" si="170"/>
        <v>44394</v>
      </c>
      <c r="M316" s="32"/>
      <c r="N316" s="32"/>
      <c r="O316" s="32"/>
      <c r="P316" s="32"/>
      <c r="Q316" s="32"/>
      <c r="R316" s="52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6" s="81">
        <f>R316-I316</f>
        <v>0</v>
      </c>
      <c r="U316" s="81"/>
      <c r="Y316" s="37"/>
    </row>
    <row r="317" spans="1:28" x14ac:dyDescent="0.3">
      <c r="B317" s="34" t="str">
        <f>TEXT(Tabelle12173030297208329[[#This Row],[Datum]],"tttt")</f>
        <v>Samstag</v>
      </c>
      <c r="C317" s="56">
        <f t="shared" si="169"/>
        <v>44395</v>
      </c>
      <c r="D317" s="31"/>
      <c r="E317" s="31"/>
      <c r="F317" s="31"/>
      <c r="G317" s="31"/>
      <c r="H317" s="31"/>
      <c r="I317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4" t="str">
        <f>TEXT(Tabelle1217303029720832983[[#This Row],[Datum]],"tttt")</f>
        <v>Samstag</v>
      </c>
      <c r="L317" s="56">
        <f t="shared" si="170"/>
        <v>44395</v>
      </c>
      <c r="M317" s="31"/>
      <c r="N317" s="31"/>
      <c r="O317" s="31"/>
      <c r="P317" s="31"/>
      <c r="Q317" s="31"/>
      <c r="R317" s="50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7" s="81">
        <f t="shared" ref="T317:T318" si="171">R317-I317</f>
        <v>0</v>
      </c>
      <c r="U317" s="81"/>
      <c r="Y317" s="37"/>
    </row>
    <row r="318" spans="1:28" s="40" customFormat="1" x14ac:dyDescent="0.3">
      <c r="B318" s="36" t="str">
        <f>TEXT(Tabelle12173030297208329[[#This Row],[Datum]],"tttt")</f>
        <v>Sonntag</v>
      </c>
      <c r="C318" s="57">
        <f t="shared" si="169"/>
        <v>44396</v>
      </c>
      <c r="D318" s="32"/>
      <c r="E318" s="32"/>
      <c r="F318" s="32"/>
      <c r="G318" s="32"/>
      <c r="H318" s="32"/>
      <c r="I318" s="53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6" t="str">
        <f>TEXT(Tabelle1217303029720832983[[#This Row],[Datum]],"tttt")</f>
        <v>Sonntag</v>
      </c>
      <c r="L318" s="57">
        <f t="shared" si="170"/>
        <v>44396</v>
      </c>
      <c r="M318" s="32"/>
      <c r="N318" s="32"/>
      <c r="O318" s="32"/>
      <c r="P318" s="32"/>
      <c r="Q318" s="32"/>
      <c r="R318" s="53" t="str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0:00</v>
      </c>
      <c r="T318" s="81">
        <f t="shared" si="171"/>
        <v>0</v>
      </c>
      <c r="U318" s="81"/>
      <c r="V318" s="42"/>
      <c r="W318" s="42"/>
      <c r="X318" s="45"/>
      <c r="Y318" s="37"/>
      <c r="AB318" s="41"/>
    </row>
    <row r="319" spans="1:28" x14ac:dyDescent="0.3">
      <c r="B319" s="5"/>
      <c r="C319" s="3"/>
      <c r="D319" s="1"/>
      <c r="E319" s="1"/>
      <c r="F319" s="1"/>
      <c r="G319" s="1">
        <f t="shared" ref="G319:H319" si="172">SUM(G312:G318)</f>
        <v>0</v>
      </c>
      <c r="H319" s="1">
        <f t="shared" si="172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173">SUM(P312:P318)</f>
        <v>0</v>
      </c>
      <c r="Q319" s="1">
        <f t="shared" si="173"/>
        <v>0</v>
      </c>
      <c r="R319" s="1">
        <f>SUBTOTAL(109,R312:R318)</f>
        <v>0</v>
      </c>
      <c r="Y319" s="37"/>
    </row>
    <row r="320" spans="1:28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82"/>
      <c r="U320" s="82"/>
      <c r="V320" s="37"/>
      <c r="W320" s="37"/>
      <c r="X320" s="39"/>
      <c r="Y320" s="37"/>
    </row>
    <row r="321" spans="1:28" x14ac:dyDescent="0.3">
      <c r="A321" s="44" t="s">
        <v>33</v>
      </c>
      <c r="B321" s="6" t="s">
        <v>2</v>
      </c>
      <c r="C321" s="7" t="s">
        <v>3</v>
      </c>
      <c r="D321" s="4" t="s">
        <v>4</v>
      </c>
      <c r="E321" s="4" t="s">
        <v>5</v>
      </c>
      <c r="F321" s="4" t="s">
        <v>6</v>
      </c>
      <c r="G321" s="4" t="s">
        <v>7</v>
      </c>
      <c r="H321" s="4" t="s">
        <v>8</v>
      </c>
      <c r="I321" s="4" t="s">
        <v>9</v>
      </c>
      <c r="J321" s="44" t="s">
        <v>33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81" t="s">
        <v>11</v>
      </c>
      <c r="U321" s="81"/>
      <c r="W321" s="13" t="s">
        <v>21</v>
      </c>
      <c r="X321" s="15" t="s">
        <v>17</v>
      </c>
      <c r="Y321" s="37"/>
    </row>
    <row r="322" spans="1:28" x14ac:dyDescent="0.3">
      <c r="A322" s="44">
        <f>A312+1</f>
        <v>30</v>
      </c>
      <c r="B322" s="34" t="str">
        <f>TEXT(Tabelle12173030297208431[[#This Row],[Datum]],"tttt")</f>
        <v>Montag</v>
      </c>
      <c r="C322" s="58">
        <f>C318+1</f>
        <v>44397</v>
      </c>
      <c r="D322" s="31"/>
      <c r="E322" s="31"/>
      <c r="F322" s="31"/>
      <c r="G322" s="31"/>
      <c r="H322" s="31"/>
      <c r="I322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4">
        <f>J312+1</f>
        <v>30</v>
      </c>
      <c r="K322" s="34" t="str">
        <f>TEXT(Tabelle1217303029720843184[[#This Row],[Datum]],"tttt")</f>
        <v>Montag</v>
      </c>
      <c r="L322" s="58">
        <f>L318+1</f>
        <v>44397</v>
      </c>
      <c r="M322" s="31"/>
      <c r="N322" s="31"/>
      <c r="O322" s="31"/>
      <c r="P322" s="31"/>
      <c r="Q322" s="31"/>
      <c r="R322" s="49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2" s="81">
        <f t="shared" ref="T322:T323" si="174">R322-I322</f>
        <v>0</v>
      </c>
      <c r="U322" s="81"/>
      <c r="W322" s="17" t="s">
        <v>18</v>
      </c>
      <c r="X322" s="26">
        <f>I329</f>
        <v>0</v>
      </c>
      <c r="Y322" s="37"/>
    </row>
    <row r="323" spans="1:28" x14ac:dyDescent="0.3">
      <c r="B323" s="34" t="str">
        <f>TEXT(Tabelle12173030297208431[[#This Row],[Datum]],"tttt")</f>
        <v>Dienstag</v>
      </c>
      <c r="C323" s="56">
        <f>C322+1</f>
        <v>44398</v>
      </c>
      <c r="D323" s="31"/>
      <c r="E323" s="31"/>
      <c r="F323" s="31"/>
      <c r="G323" s="31"/>
      <c r="H323" s="31"/>
      <c r="I323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4" t="str">
        <f>TEXT(Tabelle1217303029720843184[[#This Row],[Datum]],"tttt")</f>
        <v>Dienstag</v>
      </c>
      <c r="L323" s="56">
        <f>L322+1</f>
        <v>44398</v>
      </c>
      <c r="M323" s="31"/>
      <c r="N323" s="31"/>
      <c r="O323" s="31"/>
      <c r="P323" s="31"/>
      <c r="Q323" s="31"/>
      <c r="R323" s="50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3" s="81">
        <f t="shared" si="174"/>
        <v>0</v>
      </c>
      <c r="U323" s="81"/>
      <c r="W323" s="17" t="s">
        <v>19</v>
      </c>
      <c r="X323" s="26">
        <f>R329</f>
        <v>0</v>
      </c>
      <c r="Y323" s="37"/>
    </row>
    <row r="324" spans="1:28" x14ac:dyDescent="0.3">
      <c r="B324" s="35" t="str">
        <f>TEXT(Tabelle12173030297208431[[#This Row],[Datum]],"tttt")</f>
        <v>Mittwoch</v>
      </c>
      <c r="C324" s="56">
        <f t="shared" ref="C324:C328" si="175">C323+1</f>
        <v>44399</v>
      </c>
      <c r="D324" s="32"/>
      <c r="E324" s="32"/>
      <c r="F324" s="32"/>
      <c r="G324" s="32"/>
      <c r="H324" s="32"/>
      <c r="I324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5" t="str">
        <f>TEXT(Tabelle1217303029720843184[[#This Row],[Datum]],"tttt")</f>
        <v>Mittwoch</v>
      </c>
      <c r="L324" s="56">
        <f t="shared" ref="L324:L328" si="176">L323+1</f>
        <v>44399</v>
      </c>
      <c r="M324" s="32"/>
      <c r="N324" s="32"/>
      <c r="O324" s="32"/>
      <c r="P324" s="32"/>
      <c r="Q324" s="32"/>
      <c r="R324" s="51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4" s="81">
        <f>R324-I324</f>
        <v>0</v>
      </c>
      <c r="U324" s="81"/>
      <c r="W324" s="20" t="s">
        <v>20</v>
      </c>
      <c r="X324" s="27">
        <f>X323-X322</f>
        <v>0</v>
      </c>
      <c r="Y324" s="37"/>
      <c r="Z324" s="66">
        <f>Z314+X324</f>
        <v>0</v>
      </c>
    </row>
    <row r="325" spans="1:28" x14ac:dyDescent="0.3">
      <c r="B325" s="34" t="str">
        <f>TEXT(Tabelle12173030297208431[[#This Row],[Datum]],"tttt")</f>
        <v>Donnerstag</v>
      </c>
      <c r="C325" s="56">
        <f t="shared" si="175"/>
        <v>44400</v>
      </c>
      <c r="D325" s="31"/>
      <c r="E325" s="31"/>
      <c r="F325" s="31"/>
      <c r="G325" s="31"/>
      <c r="H325" s="31"/>
      <c r="I325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4" t="str">
        <f>TEXT(Tabelle1217303029720843184[[#This Row],[Datum]],"tttt")</f>
        <v>Donnerstag</v>
      </c>
      <c r="L325" s="56">
        <f t="shared" si="176"/>
        <v>44400</v>
      </c>
      <c r="M325" s="31"/>
      <c r="N325" s="31"/>
      <c r="O325" s="31"/>
      <c r="P325" s="31"/>
      <c r="Q325" s="31"/>
      <c r="R325" s="50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5" s="81">
        <f>R325-I325</f>
        <v>0</v>
      </c>
      <c r="U325" s="81"/>
      <c r="Y325" s="37"/>
    </row>
    <row r="326" spans="1:28" x14ac:dyDescent="0.3">
      <c r="B326" s="36" t="str">
        <f>TEXT(Tabelle12173030297208431[[#This Row],[Datum]],"tttt")</f>
        <v>Freitag</v>
      </c>
      <c r="C326" s="56">
        <f t="shared" si="175"/>
        <v>44401</v>
      </c>
      <c r="D326" s="32"/>
      <c r="E326" s="32"/>
      <c r="F326" s="32"/>
      <c r="G326" s="32"/>
      <c r="H326" s="32"/>
      <c r="I326" s="52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6" t="str">
        <f>TEXT(Tabelle1217303029720843184[[#This Row],[Datum]],"tttt")</f>
        <v>Freitag</v>
      </c>
      <c r="L326" s="56">
        <f t="shared" si="176"/>
        <v>44401</v>
      </c>
      <c r="M326" s="32"/>
      <c r="N326" s="32"/>
      <c r="O326" s="32"/>
      <c r="P326" s="32"/>
      <c r="Q326" s="32"/>
      <c r="R326" s="52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6" s="81">
        <f>R326-I326</f>
        <v>0</v>
      </c>
      <c r="U326" s="81"/>
      <c r="Y326" s="37"/>
    </row>
    <row r="327" spans="1:28" x14ac:dyDescent="0.3">
      <c r="B327" s="34" t="str">
        <f>TEXT(Tabelle12173030297208431[[#This Row],[Datum]],"tttt")</f>
        <v>Samstag</v>
      </c>
      <c r="C327" s="56">
        <f t="shared" si="175"/>
        <v>44402</v>
      </c>
      <c r="D327" s="31"/>
      <c r="E327" s="31"/>
      <c r="F327" s="31"/>
      <c r="G327" s="31"/>
      <c r="H327" s="31"/>
      <c r="I327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4" t="str">
        <f>TEXT(Tabelle1217303029720843184[[#This Row],[Datum]],"tttt")</f>
        <v>Samstag</v>
      </c>
      <c r="L327" s="56">
        <f t="shared" si="176"/>
        <v>44402</v>
      </c>
      <c r="M327" s="31"/>
      <c r="N327" s="31"/>
      <c r="O327" s="31"/>
      <c r="P327" s="31"/>
      <c r="Q327" s="31"/>
      <c r="R327" s="50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7" s="81">
        <f t="shared" ref="T327:T328" si="177">R327-I327</f>
        <v>0</v>
      </c>
      <c r="U327" s="81"/>
      <c r="Y327" s="37"/>
    </row>
    <row r="328" spans="1:28" s="40" customFormat="1" x14ac:dyDescent="0.3">
      <c r="B328" s="36" t="str">
        <f>TEXT(Tabelle12173030297208431[[#This Row],[Datum]],"tttt")</f>
        <v>Sonntag</v>
      </c>
      <c r="C328" s="57">
        <f t="shared" si="175"/>
        <v>44403</v>
      </c>
      <c r="D328" s="32"/>
      <c r="E328" s="32"/>
      <c r="F328" s="32"/>
      <c r="G328" s="32"/>
      <c r="H328" s="32"/>
      <c r="I328" s="53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6" t="str">
        <f>TEXT(Tabelle1217303029720843184[[#This Row],[Datum]],"tttt")</f>
        <v>Sonntag</v>
      </c>
      <c r="L328" s="57">
        <f t="shared" si="176"/>
        <v>44403</v>
      </c>
      <c r="M328" s="32"/>
      <c r="N328" s="32"/>
      <c r="O328" s="32"/>
      <c r="P328" s="32"/>
      <c r="Q328" s="32"/>
      <c r="R328" s="53" t="str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0:00</v>
      </c>
      <c r="T328" s="81">
        <f t="shared" si="177"/>
        <v>0</v>
      </c>
      <c r="U328" s="81"/>
      <c r="V328" s="42"/>
      <c r="W328" s="42"/>
      <c r="X328" s="45"/>
      <c r="Y328" s="37"/>
      <c r="AB328" s="41"/>
    </row>
    <row r="329" spans="1:28" x14ac:dyDescent="0.3">
      <c r="B329" s="5"/>
      <c r="C329" s="3"/>
      <c r="D329" s="1"/>
      <c r="E329" s="1"/>
      <c r="F329" s="1"/>
      <c r="G329" s="1">
        <f t="shared" ref="G329:H329" si="178">SUM(G322:G328)</f>
        <v>0</v>
      </c>
      <c r="H329" s="1">
        <f t="shared" si="178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179">SUM(P322:P328)</f>
        <v>0</v>
      </c>
      <c r="Q329" s="1">
        <f t="shared" si="179"/>
        <v>0</v>
      </c>
      <c r="R329" s="1">
        <f>SUBTOTAL(109,R322:R328)</f>
        <v>0</v>
      </c>
      <c r="Y329" s="37"/>
    </row>
    <row r="330" spans="1:28" x14ac:dyDescent="0.3">
      <c r="A330" s="37"/>
      <c r="B330" s="38"/>
      <c r="C330" s="37"/>
      <c r="D330" s="37"/>
      <c r="E330" s="37"/>
      <c r="F330" s="37"/>
      <c r="G330" s="37"/>
      <c r="H330" s="37"/>
      <c r="I330" s="38"/>
      <c r="J330" s="37"/>
      <c r="K330" s="38"/>
      <c r="L330" s="37"/>
      <c r="M330" s="37"/>
      <c r="N330" s="37"/>
      <c r="O330" s="37"/>
      <c r="P330" s="37"/>
      <c r="Q330" s="37"/>
      <c r="R330" s="38"/>
      <c r="S330" s="37"/>
      <c r="T330" s="82"/>
      <c r="U330" s="82"/>
      <c r="V330" s="37"/>
      <c r="W330" s="37"/>
      <c r="X330" s="39"/>
      <c r="Y330" s="37"/>
    </row>
    <row r="331" spans="1:28" x14ac:dyDescent="0.3">
      <c r="A331" s="44" t="s">
        <v>33</v>
      </c>
      <c r="B331" s="6" t="s">
        <v>2</v>
      </c>
      <c r="C331" s="7" t="s">
        <v>3</v>
      </c>
      <c r="D331" s="4" t="s">
        <v>4</v>
      </c>
      <c r="E331" s="4" t="s">
        <v>5</v>
      </c>
      <c r="F331" s="4" t="s">
        <v>6</v>
      </c>
      <c r="G331" s="4" t="s">
        <v>7</v>
      </c>
      <c r="H331" s="4" t="s">
        <v>8</v>
      </c>
      <c r="I331" s="4" t="s">
        <v>9</v>
      </c>
      <c r="J331" s="44" t="s">
        <v>33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81" t="s">
        <v>11</v>
      </c>
      <c r="U331" s="81"/>
      <c r="W331" s="13" t="s">
        <v>21</v>
      </c>
      <c r="X331" s="15" t="s">
        <v>17</v>
      </c>
      <c r="Y331" s="37"/>
    </row>
    <row r="332" spans="1:28" x14ac:dyDescent="0.3">
      <c r="A332" s="44">
        <f>A322+1</f>
        <v>31</v>
      </c>
      <c r="B332" s="34" t="str">
        <f>TEXT(Tabelle1217303029720832[[#This Row],[Datum]],"tttt")</f>
        <v>Montag</v>
      </c>
      <c r="C332" s="58">
        <f>C328+1</f>
        <v>44404</v>
      </c>
      <c r="D332" s="31"/>
      <c r="E332" s="31"/>
      <c r="F332" s="31"/>
      <c r="G332" s="31"/>
      <c r="H332" s="31"/>
      <c r="I332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4">
        <f>J322+1</f>
        <v>31</v>
      </c>
      <c r="K332" s="34" t="str">
        <f>TEXT(Tabelle121730302972083285[[#This Row],[Datum]],"tttt")</f>
        <v>Montag</v>
      </c>
      <c r="L332" s="58">
        <f>L328+1</f>
        <v>44404</v>
      </c>
      <c r="M332" s="31"/>
      <c r="N332" s="31"/>
      <c r="O332" s="31"/>
      <c r="P332" s="31"/>
      <c r="Q332" s="31"/>
      <c r="R332" s="49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2" s="81">
        <f t="shared" ref="T332:T333" si="180">R332-I332</f>
        <v>0</v>
      </c>
      <c r="U332" s="81"/>
      <c r="W332" s="17" t="s">
        <v>18</v>
      </c>
      <c r="X332" s="26">
        <f>I339</f>
        <v>0</v>
      </c>
      <c r="Y332" s="37"/>
    </row>
    <row r="333" spans="1:28" x14ac:dyDescent="0.3">
      <c r="B333" s="34" t="str">
        <f>TEXT(Tabelle1217303029720832[[#This Row],[Datum]],"tttt")</f>
        <v>Dienstag</v>
      </c>
      <c r="C333" s="56">
        <f>C332+1</f>
        <v>44405</v>
      </c>
      <c r="D333" s="31"/>
      <c r="E333" s="31"/>
      <c r="F333" s="31"/>
      <c r="G333" s="31"/>
      <c r="H333" s="31"/>
      <c r="I333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4" t="str">
        <f>TEXT(Tabelle121730302972083285[[#This Row],[Datum]],"tttt")</f>
        <v>Dienstag</v>
      </c>
      <c r="L333" s="56">
        <f>L332+1</f>
        <v>44405</v>
      </c>
      <c r="M333" s="31"/>
      <c r="N333" s="31"/>
      <c r="O333" s="31"/>
      <c r="P333" s="31"/>
      <c r="Q333" s="31"/>
      <c r="R333" s="50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3" s="81">
        <f t="shared" si="180"/>
        <v>0</v>
      </c>
      <c r="U333" s="81"/>
      <c r="W333" s="17" t="s">
        <v>19</v>
      </c>
      <c r="X333" s="26">
        <f>R339</f>
        <v>0</v>
      </c>
      <c r="Y333" s="37"/>
    </row>
    <row r="334" spans="1:28" x14ac:dyDescent="0.3">
      <c r="B334" s="35" t="str">
        <f>TEXT(Tabelle1217303029720832[[#This Row],[Datum]],"tttt")</f>
        <v>Mittwoch</v>
      </c>
      <c r="C334" s="56">
        <f t="shared" ref="C334:C338" si="181">C333+1</f>
        <v>44406</v>
      </c>
      <c r="D334" s="32"/>
      <c r="E334" s="32"/>
      <c r="F334" s="32"/>
      <c r="G334" s="32"/>
      <c r="H334" s="32"/>
      <c r="I334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5" t="str">
        <f>TEXT(Tabelle121730302972083285[[#This Row],[Datum]],"tttt")</f>
        <v>Mittwoch</v>
      </c>
      <c r="L334" s="56">
        <f t="shared" ref="L334:L338" si="182">L333+1</f>
        <v>44406</v>
      </c>
      <c r="M334" s="32"/>
      <c r="N334" s="32"/>
      <c r="O334" s="32"/>
      <c r="P334" s="32"/>
      <c r="Q334" s="32"/>
      <c r="R334" s="51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4" s="81">
        <f>R334-I334</f>
        <v>0</v>
      </c>
      <c r="U334" s="81"/>
      <c r="W334" s="20" t="s">
        <v>20</v>
      </c>
      <c r="X334" s="27">
        <f>X333-X332</f>
        <v>0</v>
      </c>
      <c r="Y334" s="37"/>
      <c r="Z334" s="66">
        <f>Z324+X334</f>
        <v>0</v>
      </c>
    </row>
    <row r="335" spans="1:28" x14ac:dyDescent="0.3">
      <c r="B335" s="34" t="str">
        <f>TEXT(Tabelle1217303029720832[[#This Row],[Datum]],"tttt")</f>
        <v>Donnerstag</v>
      </c>
      <c r="C335" s="56">
        <f t="shared" si="181"/>
        <v>44407</v>
      </c>
      <c r="D335" s="31"/>
      <c r="E335" s="31"/>
      <c r="F335" s="31"/>
      <c r="G335" s="31"/>
      <c r="H335" s="31"/>
      <c r="I335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4" t="str">
        <f>TEXT(Tabelle121730302972083285[[#This Row],[Datum]],"tttt")</f>
        <v>Donnerstag</v>
      </c>
      <c r="L335" s="56">
        <f t="shared" si="182"/>
        <v>44407</v>
      </c>
      <c r="M335" s="31"/>
      <c r="N335" s="31"/>
      <c r="O335" s="31"/>
      <c r="P335" s="31"/>
      <c r="Q335" s="31"/>
      <c r="R335" s="50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5" s="81">
        <f>R335-I335</f>
        <v>0</v>
      </c>
      <c r="U335" s="81"/>
      <c r="Y335" s="37"/>
    </row>
    <row r="336" spans="1:28" x14ac:dyDescent="0.3">
      <c r="B336" s="36" t="str">
        <f>TEXT(Tabelle1217303029720832[[#This Row],[Datum]],"tttt")</f>
        <v>Freitag</v>
      </c>
      <c r="C336" s="56">
        <f t="shared" si="181"/>
        <v>44408</v>
      </c>
      <c r="D336" s="32"/>
      <c r="E336" s="32"/>
      <c r="F336" s="32"/>
      <c r="G336" s="32"/>
      <c r="H336" s="32"/>
      <c r="I336" s="52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6" t="str">
        <f>TEXT(Tabelle121730302972083285[[#This Row],[Datum]],"tttt")</f>
        <v>Freitag</v>
      </c>
      <c r="L336" s="56">
        <f t="shared" si="182"/>
        <v>44408</v>
      </c>
      <c r="M336" s="32"/>
      <c r="N336" s="32"/>
      <c r="O336" s="32"/>
      <c r="P336" s="32"/>
      <c r="Q336" s="32"/>
      <c r="R336" s="52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6" s="81">
        <f>R336-I336</f>
        <v>0</v>
      </c>
      <c r="U336" s="81"/>
      <c r="Y336" s="37"/>
    </row>
    <row r="337" spans="1:28" x14ac:dyDescent="0.3">
      <c r="B337" s="34" t="str">
        <f>TEXT(Tabelle1217303029720832[[#This Row],[Datum]],"tttt")</f>
        <v>Samstag</v>
      </c>
      <c r="C337" s="56">
        <f t="shared" si="181"/>
        <v>44409</v>
      </c>
      <c r="D337" s="31"/>
      <c r="E337" s="31"/>
      <c r="F337" s="31"/>
      <c r="G337" s="31"/>
      <c r="H337" s="31"/>
      <c r="I337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4" t="str">
        <f>TEXT(Tabelle121730302972083285[[#This Row],[Datum]],"tttt")</f>
        <v>Samstag</v>
      </c>
      <c r="L337" s="56">
        <f t="shared" si="182"/>
        <v>44409</v>
      </c>
      <c r="M337" s="31"/>
      <c r="N337" s="31"/>
      <c r="O337" s="31"/>
      <c r="P337" s="31"/>
      <c r="Q337" s="31"/>
      <c r="R337" s="50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7" s="81">
        <f t="shared" ref="T337:T338" si="183">R337-I337</f>
        <v>0</v>
      </c>
      <c r="U337" s="81"/>
      <c r="Y337" s="37"/>
    </row>
    <row r="338" spans="1:28" s="40" customFormat="1" x14ac:dyDescent="0.3">
      <c r="B338" s="36" t="str">
        <f>TEXT(Tabelle1217303029720832[[#This Row],[Datum]],"tttt")</f>
        <v>Sonntag</v>
      </c>
      <c r="C338" s="57">
        <f t="shared" si="181"/>
        <v>44410</v>
      </c>
      <c r="D338" s="32"/>
      <c r="E338" s="32"/>
      <c r="F338" s="32"/>
      <c r="G338" s="32"/>
      <c r="H338" s="32"/>
      <c r="I338" s="53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6" t="str">
        <f>TEXT(Tabelle121730302972083285[[#This Row],[Datum]],"tttt")</f>
        <v>Sonntag</v>
      </c>
      <c r="L338" s="57">
        <f t="shared" si="182"/>
        <v>44410</v>
      </c>
      <c r="M338" s="32"/>
      <c r="N338" s="32"/>
      <c r="O338" s="32"/>
      <c r="P338" s="32"/>
      <c r="Q338" s="32"/>
      <c r="R338" s="53" t="str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0:00</v>
      </c>
      <c r="T338" s="81">
        <f t="shared" si="183"/>
        <v>0</v>
      </c>
      <c r="U338" s="81"/>
      <c r="V338" s="42"/>
      <c r="W338" s="42"/>
      <c r="X338" s="45"/>
      <c r="Y338" s="37"/>
      <c r="AB338" s="41"/>
    </row>
    <row r="339" spans="1:28" x14ac:dyDescent="0.3">
      <c r="B339" s="5"/>
      <c r="C339" s="3"/>
      <c r="D339" s="1"/>
      <c r="E339" s="1"/>
      <c r="F339" s="1"/>
      <c r="G339" s="1">
        <f t="shared" ref="G339:H339" si="184">SUM(G332:G338)</f>
        <v>0</v>
      </c>
      <c r="H339" s="1">
        <f t="shared" si="18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185">SUM(P332:P338)</f>
        <v>0</v>
      </c>
      <c r="Q339" s="1">
        <f t="shared" si="185"/>
        <v>0</v>
      </c>
      <c r="R339" s="1">
        <f>SUBTOTAL(109,R332:R338)</f>
        <v>0</v>
      </c>
      <c r="Y339" s="37"/>
    </row>
    <row r="340" spans="1:28" x14ac:dyDescent="0.3">
      <c r="A340" s="37"/>
      <c r="B340" s="38"/>
      <c r="C340" s="37"/>
      <c r="D340" s="37"/>
      <c r="E340" s="37"/>
      <c r="F340" s="37"/>
      <c r="G340" s="37"/>
      <c r="H340" s="37"/>
      <c r="I340" s="38"/>
      <c r="J340" s="37"/>
      <c r="K340" s="38"/>
      <c r="L340" s="37"/>
      <c r="M340" s="37"/>
      <c r="N340" s="37"/>
      <c r="O340" s="37"/>
      <c r="P340" s="37"/>
      <c r="Q340" s="37"/>
      <c r="R340" s="38"/>
      <c r="S340" s="37"/>
      <c r="T340" s="82"/>
      <c r="U340" s="82"/>
      <c r="V340" s="37"/>
      <c r="W340" s="37"/>
      <c r="X340" s="39"/>
      <c r="Y340" s="37"/>
    </row>
    <row r="341" spans="1:28" x14ac:dyDescent="0.3">
      <c r="A341" s="44" t="s">
        <v>33</v>
      </c>
      <c r="B341" s="6" t="s">
        <v>2</v>
      </c>
      <c r="C341" s="7" t="s">
        <v>3</v>
      </c>
      <c r="D341" s="4" t="s">
        <v>4</v>
      </c>
      <c r="E341" s="4" t="s">
        <v>5</v>
      </c>
      <c r="F341" s="4" t="s">
        <v>6</v>
      </c>
      <c r="G341" s="4" t="s">
        <v>7</v>
      </c>
      <c r="H341" s="4" t="s">
        <v>8</v>
      </c>
      <c r="I341" s="4" t="s">
        <v>9</v>
      </c>
      <c r="J341" s="44" t="s">
        <v>33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81" t="s">
        <v>11</v>
      </c>
      <c r="U341" s="81"/>
      <c r="W341" s="13" t="s">
        <v>21</v>
      </c>
      <c r="X341" s="15" t="s">
        <v>17</v>
      </c>
      <c r="Y341" s="37"/>
    </row>
    <row r="342" spans="1:28" x14ac:dyDescent="0.3">
      <c r="A342" s="44">
        <f>A332+1</f>
        <v>32</v>
      </c>
      <c r="B342" s="34" t="str">
        <f>TEXT(Tabelle12173030297208333[[#This Row],[Datum]],"tttt")</f>
        <v>Montag</v>
      </c>
      <c r="C342" s="58">
        <f>C338+1</f>
        <v>44411</v>
      </c>
      <c r="D342" s="31"/>
      <c r="E342" s="31"/>
      <c r="F342" s="31"/>
      <c r="G342" s="31"/>
      <c r="H342" s="31"/>
      <c r="I342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4">
        <f>J332+1</f>
        <v>32</v>
      </c>
      <c r="K342" s="34" t="str">
        <f>TEXT(Tabelle1217303029720833386[[#This Row],[Datum]],"tttt")</f>
        <v>Montag</v>
      </c>
      <c r="L342" s="58">
        <f>L338+1</f>
        <v>44411</v>
      </c>
      <c r="M342" s="31"/>
      <c r="N342" s="31"/>
      <c r="O342" s="31"/>
      <c r="P342" s="31"/>
      <c r="Q342" s="31"/>
      <c r="R342" s="49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2" s="81">
        <f t="shared" ref="T342:T343" si="186">R342-I342</f>
        <v>0</v>
      </c>
      <c r="U342" s="81"/>
      <c r="W342" s="17" t="s">
        <v>18</v>
      </c>
      <c r="X342" s="26">
        <f>I349</f>
        <v>0</v>
      </c>
      <c r="Y342" s="37"/>
    </row>
    <row r="343" spans="1:28" x14ac:dyDescent="0.3">
      <c r="B343" s="34" t="str">
        <f>TEXT(Tabelle12173030297208333[[#This Row],[Datum]],"tttt")</f>
        <v>Dienstag</v>
      </c>
      <c r="C343" s="56">
        <f>C342+1</f>
        <v>44412</v>
      </c>
      <c r="D343" s="31"/>
      <c r="E343" s="31"/>
      <c r="F343" s="31"/>
      <c r="G343" s="31"/>
      <c r="H343" s="31"/>
      <c r="I343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4" t="str">
        <f>TEXT(Tabelle1217303029720833386[[#This Row],[Datum]],"tttt")</f>
        <v>Dienstag</v>
      </c>
      <c r="L343" s="56">
        <f>L342+1</f>
        <v>44412</v>
      </c>
      <c r="M343" s="31"/>
      <c r="N343" s="31"/>
      <c r="O343" s="31"/>
      <c r="P343" s="31"/>
      <c r="Q343" s="31"/>
      <c r="R343" s="50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3" s="81">
        <f t="shared" si="186"/>
        <v>0</v>
      </c>
      <c r="U343" s="81"/>
      <c r="W343" s="17" t="s">
        <v>19</v>
      </c>
      <c r="X343" s="26">
        <f>R349</f>
        <v>0</v>
      </c>
      <c r="Y343" s="37"/>
    </row>
    <row r="344" spans="1:28" x14ac:dyDescent="0.3">
      <c r="B344" s="35" t="str">
        <f>TEXT(Tabelle12173030297208333[[#This Row],[Datum]],"tttt")</f>
        <v>Mittwoch</v>
      </c>
      <c r="C344" s="56">
        <f t="shared" ref="C344:C348" si="187">C343+1</f>
        <v>44413</v>
      </c>
      <c r="D344" s="32"/>
      <c r="E344" s="32"/>
      <c r="F344" s="32"/>
      <c r="G344" s="32"/>
      <c r="H344" s="32"/>
      <c r="I344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5" t="str">
        <f>TEXT(Tabelle1217303029720833386[[#This Row],[Datum]],"tttt")</f>
        <v>Mittwoch</v>
      </c>
      <c r="L344" s="56">
        <f t="shared" ref="L344:L348" si="188">L343+1</f>
        <v>44413</v>
      </c>
      <c r="M344" s="32"/>
      <c r="N344" s="32"/>
      <c r="O344" s="32"/>
      <c r="P344" s="32"/>
      <c r="Q344" s="32"/>
      <c r="R344" s="51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4" s="81">
        <f>R344-I344</f>
        <v>0</v>
      </c>
      <c r="U344" s="81"/>
      <c r="W344" s="20" t="s">
        <v>20</v>
      </c>
      <c r="X344" s="27">
        <f>X343-X342</f>
        <v>0</v>
      </c>
      <c r="Y344" s="37"/>
      <c r="Z344" s="66">
        <f>Z334+X344</f>
        <v>0</v>
      </c>
    </row>
    <row r="345" spans="1:28" x14ac:dyDescent="0.3">
      <c r="B345" s="34" t="str">
        <f>TEXT(Tabelle12173030297208333[[#This Row],[Datum]],"tttt")</f>
        <v>Donnerstag</v>
      </c>
      <c r="C345" s="56">
        <f t="shared" si="187"/>
        <v>44414</v>
      </c>
      <c r="D345" s="31"/>
      <c r="E345" s="31"/>
      <c r="F345" s="31"/>
      <c r="G345" s="31"/>
      <c r="H345" s="31"/>
      <c r="I345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4" t="str">
        <f>TEXT(Tabelle1217303029720833386[[#This Row],[Datum]],"tttt")</f>
        <v>Donnerstag</v>
      </c>
      <c r="L345" s="56">
        <f t="shared" si="188"/>
        <v>44414</v>
      </c>
      <c r="M345" s="31"/>
      <c r="N345" s="31"/>
      <c r="O345" s="31"/>
      <c r="P345" s="31"/>
      <c r="Q345" s="31"/>
      <c r="R345" s="50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5" s="81">
        <f>R345-I345</f>
        <v>0</v>
      </c>
      <c r="U345" s="81"/>
      <c r="Y345" s="37"/>
    </row>
    <row r="346" spans="1:28" x14ac:dyDescent="0.3">
      <c r="B346" s="36" t="str">
        <f>TEXT(Tabelle12173030297208333[[#This Row],[Datum]],"tttt")</f>
        <v>Freitag</v>
      </c>
      <c r="C346" s="56">
        <f t="shared" si="187"/>
        <v>44415</v>
      </c>
      <c r="D346" s="32"/>
      <c r="E346" s="32"/>
      <c r="F346" s="32"/>
      <c r="G346" s="32"/>
      <c r="H346" s="32"/>
      <c r="I346" s="52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6" t="str">
        <f>TEXT(Tabelle1217303029720833386[[#This Row],[Datum]],"tttt")</f>
        <v>Freitag</v>
      </c>
      <c r="L346" s="56">
        <f t="shared" si="188"/>
        <v>44415</v>
      </c>
      <c r="M346" s="32"/>
      <c r="N346" s="32"/>
      <c r="O346" s="32"/>
      <c r="P346" s="32"/>
      <c r="Q346" s="32"/>
      <c r="R346" s="52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6" s="81">
        <f>R346-I346</f>
        <v>0</v>
      </c>
      <c r="U346" s="81"/>
      <c r="Y346" s="37"/>
    </row>
    <row r="347" spans="1:28" x14ac:dyDescent="0.3">
      <c r="B347" s="34" t="str">
        <f>TEXT(Tabelle12173030297208333[[#This Row],[Datum]],"tttt")</f>
        <v>Samstag</v>
      </c>
      <c r="C347" s="56">
        <f t="shared" si="187"/>
        <v>44416</v>
      </c>
      <c r="D347" s="31"/>
      <c r="E347" s="31"/>
      <c r="F347" s="31"/>
      <c r="G347" s="31"/>
      <c r="H347" s="31"/>
      <c r="I347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4" t="str">
        <f>TEXT(Tabelle1217303029720833386[[#This Row],[Datum]],"tttt")</f>
        <v>Samstag</v>
      </c>
      <c r="L347" s="56">
        <f t="shared" si="188"/>
        <v>44416</v>
      </c>
      <c r="M347" s="31"/>
      <c r="N347" s="31"/>
      <c r="O347" s="31"/>
      <c r="P347" s="31"/>
      <c r="Q347" s="31"/>
      <c r="R347" s="50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7" s="81">
        <f t="shared" ref="T347:T348" si="189">R347-I347</f>
        <v>0</v>
      </c>
      <c r="U347" s="81"/>
      <c r="Y347" s="37"/>
    </row>
    <row r="348" spans="1:28" s="40" customFormat="1" x14ac:dyDescent="0.3">
      <c r="B348" s="36" t="str">
        <f>TEXT(Tabelle12173030297208333[[#This Row],[Datum]],"tttt")</f>
        <v>Sonntag</v>
      </c>
      <c r="C348" s="57">
        <f t="shared" si="187"/>
        <v>44417</v>
      </c>
      <c r="D348" s="32"/>
      <c r="E348" s="32"/>
      <c r="F348" s="32"/>
      <c r="G348" s="32"/>
      <c r="H348" s="32"/>
      <c r="I348" s="53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6" t="str">
        <f>TEXT(Tabelle1217303029720833386[[#This Row],[Datum]],"tttt")</f>
        <v>Sonntag</v>
      </c>
      <c r="L348" s="57">
        <f t="shared" si="188"/>
        <v>44417</v>
      </c>
      <c r="M348" s="32"/>
      <c r="N348" s="32"/>
      <c r="O348" s="32"/>
      <c r="P348" s="32"/>
      <c r="Q348" s="32"/>
      <c r="R348" s="53" t="str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0:00</v>
      </c>
      <c r="T348" s="81">
        <f t="shared" si="189"/>
        <v>0</v>
      </c>
      <c r="U348" s="81"/>
      <c r="V348" s="42"/>
      <c r="W348" s="42"/>
      <c r="X348" s="45"/>
      <c r="Y348" s="37"/>
      <c r="AB348" s="41"/>
    </row>
    <row r="349" spans="1:28" x14ac:dyDescent="0.3">
      <c r="B349" s="5"/>
      <c r="C349" s="3"/>
      <c r="D349" s="1"/>
      <c r="E349" s="1"/>
      <c r="F349" s="1"/>
      <c r="G349" s="1">
        <f t="shared" ref="G349:H349" si="190">SUM(G342:G348)</f>
        <v>0</v>
      </c>
      <c r="H349" s="1">
        <f t="shared" si="190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191">SUM(P342:P348)</f>
        <v>0</v>
      </c>
      <c r="Q349" s="1">
        <f t="shared" si="191"/>
        <v>0</v>
      </c>
      <c r="R349" s="1">
        <f>SUBTOTAL(109,R342:R348)</f>
        <v>0</v>
      </c>
      <c r="Y349" s="37"/>
    </row>
    <row r="350" spans="1:28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82"/>
      <c r="U350" s="82"/>
      <c r="V350" s="37"/>
      <c r="W350" s="37"/>
      <c r="X350" s="39"/>
      <c r="Y350" s="37"/>
    </row>
    <row r="351" spans="1:28" x14ac:dyDescent="0.3">
      <c r="A351" s="44" t="s">
        <v>33</v>
      </c>
      <c r="B351" s="6" t="s">
        <v>2</v>
      </c>
      <c r="C351" s="7" t="s">
        <v>3</v>
      </c>
      <c r="D351" s="4" t="s">
        <v>4</v>
      </c>
      <c r="E351" s="4" t="s">
        <v>5</v>
      </c>
      <c r="F351" s="4" t="s">
        <v>6</v>
      </c>
      <c r="G351" s="4" t="s">
        <v>7</v>
      </c>
      <c r="H351" s="4" t="s">
        <v>8</v>
      </c>
      <c r="I351" s="4" t="s">
        <v>9</v>
      </c>
      <c r="J351" s="44" t="s">
        <v>33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81" t="s">
        <v>11</v>
      </c>
      <c r="U351" s="81"/>
      <c r="W351" s="13" t="s">
        <v>21</v>
      </c>
      <c r="X351" s="15" t="s">
        <v>17</v>
      </c>
      <c r="Y351" s="37"/>
    </row>
    <row r="352" spans="1:28" x14ac:dyDescent="0.3">
      <c r="A352" s="44">
        <f>A342+1</f>
        <v>33</v>
      </c>
      <c r="B352" s="34" t="str">
        <f>TEXT(Tabelle12173030297208434[[#This Row],[Datum]],"tttt")</f>
        <v>Montag</v>
      </c>
      <c r="C352" s="58">
        <f>C348+1</f>
        <v>44418</v>
      </c>
      <c r="D352" s="31"/>
      <c r="E352" s="31"/>
      <c r="F352" s="31"/>
      <c r="G352" s="31"/>
      <c r="H352" s="31"/>
      <c r="I352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4">
        <f>J342+1</f>
        <v>33</v>
      </c>
      <c r="K352" s="34" t="str">
        <f>TEXT(Tabelle1217303029720843487[[#This Row],[Datum]],"tttt")</f>
        <v>Montag</v>
      </c>
      <c r="L352" s="58">
        <f>L348+1</f>
        <v>44418</v>
      </c>
      <c r="M352" s="31"/>
      <c r="N352" s="31"/>
      <c r="O352" s="31"/>
      <c r="P352" s="31"/>
      <c r="Q352" s="31"/>
      <c r="R352" s="49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2" s="81">
        <f t="shared" ref="T352:T353" si="192">R352-I352</f>
        <v>0</v>
      </c>
      <c r="U352" s="81"/>
      <c r="W352" s="17" t="s">
        <v>18</v>
      </c>
      <c r="X352" s="26">
        <f>I359</f>
        <v>0</v>
      </c>
      <c r="Y352" s="37"/>
    </row>
    <row r="353" spans="1:28" x14ac:dyDescent="0.3">
      <c r="B353" s="34" t="str">
        <f>TEXT(Tabelle12173030297208434[[#This Row],[Datum]],"tttt")</f>
        <v>Dienstag</v>
      </c>
      <c r="C353" s="56">
        <f>C352+1</f>
        <v>44419</v>
      </c>
      <c r="D353" s="31"/>
      <c r="E353" s="31"/>
      <c r="F353" s="31"/>
      <c r="G353" s="31"/>
      <c r="H353" s="31"/>
      <c r="I353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4" t="str">
        <f>TEXT(Tabelle1217303029720843487[[#This Row],[Datum]],"tttt")</f>
        <v>Dienstag</v>
      </c>
      <c r="L353" s="56">
        <f>L352+1</f>
        <v>44419</v>
      </c>
      <c r="M353" s="31"/>
      <c r="N353" s="31"/>
      <c r="O353" s="31"/>
      <c r="P353" s="31"/>
      <c r="Q353" s="31"/>
      <c r="R353" s="50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3" s="81">
        <f t="shared" si="192"/>
        <v>0</v>
      </c>
      <c r="U353" s="81"/>
      <c r="W353" s="17" t="s">
        <v>19</v>
      </c>
      <c r="X353" s="26">
        <f>R359</f>
        <v>0</v>
      </c>
      <c r="Y353" s="37"/>
    </row>
    <row r="354" spans="1:28" x14ac:dyDescent="0.3">
      <c r="B354" s="35" t="str">
        <f>TEXT(Tabelle12173030297208434[[#This Row],[Datum]],"tttt")</f>
        <v>Mittwoch</v>
      </c>
      <c r="C354" s="56">
        <f t="shared" ref="C354:C358" si="193">C353+1</f>
        <v>44420</v>
      </c>
      <c r="D354" s="32"/>
      <c r="E354" s="32"/>
      <c r="F354" s="32"/>
      <c r="G354" s="32"/>
      <c r="H354" s="32"/>
      <c r="I354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5" t="str">
        <f>TEXT(Tabelle1217303029720843487[[#This Row],[Datum]],"tttt")</f>
        <v>Mittwoch</v>
      </c>
      <c r="L354" s="56">
        <f t="shared" ref="L354:L358" si="194">L353+1</f>
        <v>44420</v>
      </c>
      <c r="M354" s="32"/>
      <c r="N354" s="32"/>
      <c r="O354" s="32"/>
      <c r="P354" s="32"/>
      <c r="Q354" s="32"/>
      <c r="R354" s="51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4" s="81">
        <f>R354-I354</f>
        <v>0</v>
      </c>
      <c r="U354" s="81"/>
      <c r="W354" s="20" t="s">
        <v>20</v>
      </c>
      <c r="X354" s="27">
        <f>X353-X352</f>
        <v>0</v>
      </c>
      <c r="Y354" s="37"/>
      <c r="Z354" s="66">
        <f>Z344+X354</f>
        <v>0</v>
      </c>
    </row>
    <row r="355" spans="1:28" x14ac:dyDescent="0.3">
      <c r="B355" s="34" t="str">
        <f>TEXT(Tabelle12173030297208434[[#This Row],[Datum]],"tttt")</f>
        <v>Donnerstag</v>
      </c>
      <c r="C355" s="56">
        <f t="shared" si="193"/>
        <v>44421</v>
      </c>
      <c r="D355" s="31"/>
      <c r="E355" s="31"/>
      <c r="F355" s="31"/>
      <c r="G355" s="31"/>
      <c r="H355" s="31"/>
      <c r="I355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4" t="str">
        <f>TEXT(Tabelle1217303029720843487[[#This Row],[Datum]],"tttt")</f>
        <v>Donnerstag</v>
      </c>
      <c r="L355" s="56">
        <f t="shared" si="194"/>
        <v>44421</v>
      </c>
      <c r="M355" s="31"/>
      <c r="N355" s="31"/>
      <c r="O355" s="31"/>
      <c r="P355" s="31"/>
      <c r="Q355" s="31"/>
      <c r="R355" s="50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5" s="81">
        <f>R355-I355</f>
        <v>0</v>
      </c>
      <c r="U355" s="81"/>
      <c r="Y355" s="37"/>
    </row>
    <row r="356" spans="1:28" x14ac:dyDescent="0.3">
      <c r="B356" s="36" t="str">
        <f>TEXT(Tabelle12173030297208434[[#This Row],[Datum]],"tttt")</f>
        <v>Freitag</v>
      </c>
      <c r="C356" s="56">
        <f t="shared" si="193"/>
        <v>44422</v>
      </c>
      <c r="D356" s="32"/>
      <c r="E356" s="32"/>
      <c r="F356" s="32"/>
      <c r="G356" s="32"/>
      <c r="H356" s="32"/>
      <c r="I356" s="52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6" t="str">
        <f>TEXT(Tabelle1217303029720843487[[#This Row],[Datum]],"tttt")</f>
        <v>Freitag</v>
      </c>
      <c r="L356" s="56">
        <f t="shared" si="194"/>
        <v>44422</v>
      </c>
      <c r="M356" s="32"/>
      <c r="N356" s="32"/>
      <c r="O356" s="32"/>
      <c r="P356" s="32"/>
      <c r="Q356" s="32"/>
      <c r="R356" s="52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6" s="81">
        <f>R356-I356</f>
        <v>0</v>
      </c>
      <c r="U356" s="81"/>
      <c r="Y356" s="37"/>
    </row>
    <row r="357" spans="1:28" x14ac:dyDescent="0.3">
      <c r="B357" s="34" t="str">
        <f>TEXT(Tabelle12173030297208434[[#This Row],[Datum]],"tttt")</f>
        <v>Samstag</v>
      </c>
      <c r="C357" s="56">
        <f t="shared" si="193"/>
        <v>44423</v>
      </c>
      <c r="D357" s="31"/>
      <c r="E357" s="31"/>
      <c r="F357" s="31"/>
      <c r="G357" s="31"/>
      <c r="H357" s="31"/>
      <c r="I357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4" t="str">
        <f>TEXT(Tabelle1217303029720843487[[#This Row],[Datum]],"tttt")</f>
        <v>Samstag</v>
      </c>
      <c r="L357" s="56">
        <f t="shared" si="194"/>
        <v>44423</v>
      </c>
      <c r="M357" s="31"/>
      <c r="N357" s="31"/>
      <c r="O357" s="31"/>
      <c r="P357" s="31"/>
      <c r="Q357" s="31"/>
      <c r="R357" s="50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7" s="81">
        <f t="shared" ref="T357:T358" si="195">R357-I357</f>
        <v>0</v>
      </c>
      <c r="U357" s="81"/>
      <c r="Y357" s="37"/>
    </row>
    <row r="358" spans="1:28" s="40" customFormat="1" x14ac:dyDescent="0.3">
      <c r="B358" s="36" t="str">
        <f>TEXT(Tabelle12173030297208434[[#This Row],[Datum]],"tttt")</f>
        <v>Sonntag</v>
      </c>
      <c r="C358" s="57">
        <f t="shared" si="193"/>
        <v>44424</v>
      </c>
      <c r="D358" s="32"/>
      <c r="E358" s="32"/>
      <c r="F358" s="32"/>
      <c r="G358" s="32"/>
      <c r="H358" s="32"/>
      <c r="I358" s="53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6" t="str">
        <f>TEXT(Tabelle1217303029720843487[[#This Row],[Datum]],"tttt")</f>
        <v>Sonntag</v>
      </c>
      <c r="L358" s="57">
        <f t="shared" si="194"/>
        <v>44424</v>
      </c>
      <c r="M358" s="32"/>
      <c r="N358" s="32"/>
      <c r="O358" s="32"/>
      <c r="P358" s="32"/>
      <c r="Q358" s="32"/>
      <c r="R358" s="53" t="str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0:00</v>
      </c>
      <c r="T358" s="81">
        <f t="shared" si="195"/>
        <v>0</v>
      </c>
      <c r="U358" s="81"/>
      <c r="V358" s="42"/>
      <c r="W358" s="42"/>
      <c r="X358" s="45"/>
      <c r="Y358" s="37"/>
      <c r="AB358" s="41"/>
    </row>
    <row r="359" spans="1:28" x14ac:dyDescent="0.3">
      <c r="B359" s="5"/>
      <c r="C359" s="3"/>
      <c r="D359" s="1"/>
      <c r="E359" s="1"/>
      <c r="F359" s="1"/>
      <c r="G359" s="1">
        <f t="shared" ref="G359:H359" si="196">SUM(G352:G358)</f>
        <v>0</v>
      </c>
      <c r="H359" s="1">
        <f t="shared" si="196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197">SUM(P352:P358)</f>
        <v>0</v>
      </c>
      <c r="Q359" s="1">
        <f t="shared" si="197"/>
        <v>0</v>
      </c>
      <c r="R359" s="1">
        <f>SUBTOTAL(109,R352:R358)</f>
        <v>0</v>
      </c>
      <c r="Y359" s="37"/>
    </row>
    <row r="360" spans="1:28" x14ac:dyDescent="0.3">
      <c r="A360" s="37"/>
      <c r="B360" s="38"/>
      <c r="C360" s="37"/>
      <c r="D360" s="37"/>
      <c r="E360" s="37"/>
      <c r="F360" s="37"/>
      <c r="G360" s="37"/>
      <c r="H360" s="37"/>
      <c r="I360" s="38"/>
      <c r="J360" s="37"/>
      <c r="K360" s="38"/>
      <c r="L360" s="37"/>
      <c r="M360" s="37"/>
      <c r="N360" s="37"/>
      <c r="O360" s="37"/>
      <c r="P360" s="37"/>
      <c r="Q360" s="37"/>
      <c r="R360" s="38"/>
      <c r="S360" s="37"/>
      <c r="T360" s="82"/>
      <c r="U360" s="82"/>
      <c r="V360" s="37"/>
      <c r="W360" s="37"/>
      <c r="X360" s="39"/>
      <c r="Y360" s="37"/>
    </row>
    <row r="361" spans="1:28" x14ac:dyDescent="0.3">
      <c r="A361" s="44" t="s">
        <v>33</v>
      </c>
      <c r="B361" s="6" t="s">
        <v>2</v>
      </c>
      <c r="C361" s="7" t="s">
        <v>3</v>
      </c>
      <c r="D361" s="4" t="s">
        <v>4</v>
      </c>
      <c r="E361" s="4" t="s">
        <v>5</v>
      </c>
      <c r="F361" s="4" t="s">
        <v>6</v>
      </c>
      <c r="G361" s="4" t="s">
        <v>7</v>
      </c>
      <c r="H361" s="4" t="s">
        <v>8</v>
      </c>
      <c r="I361" s="4" t="s">
        <v>9</v>
      </c>
      <c r="J361" s="44" t="s">
        <v>33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81" t="s">
        <v>11</v>
      </c>
      <c r="U361" s="81"/>
      <c r="W361" s="13" t="s">
        <v>21</v>
      </c>
      <c r="X361" s="15" t="s">
        <v>17</v>
      </c>
      <c r="Y361" s="37"/>
    </row>
    <row r="362" spans="1:28" x14ac:dyDescent="0.3">
      <c r="A362" s="44">
        <f>A352+1</f>
        <v>34</v>
      </c>
      <c r="B362" s="34" t="str">
        <f>TEXT(Tabelle1217303029720835[[#This Row],[Datum]],"tttt")</f>
        <v>Montag</v>
      </c>
      <c r="C362" s="58">
        <f>C358+1</f>
        <v>44425</v>
      </c>
      <c r="D362" s="31"/>
      <c r="E362" s="31"/>
      <c r="F362" s="31"/>
      <c r="G362" s="31"/>
      <c r="H362" s="31"/>
      <c r="I362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4">
        <f>J352+1</f>
        <v>34</v>
      </c>
      <c r="K362" s="34" t="str">
        <f>TEXT(Tabelle121730302972083588[[#This Row],[Datum]],"tttt")</f>
        <v>Montag</v>
      </c>
      <c r="L362" s="58">
        <f>L358+1</f>
        <v>44425</v>
      </c>
      <c r="M362" s="31"/>
      <c r="N362" s="31"/>
      <c r="O362" s="31"/>
      <c r="P362" s="31"/>
      <c r="Q362" s="31"/>
      <c r="R362" s="49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2" s="81">
        <f t="shared" ref="T362:T363" si="198">R362-I362</f>
        <v>0</v>
      </c>
      <c r="U362" s="81"/>
      <c r="W362" s="17" t="s">
        <v>18</v>
      </c>
      <c r="X362" s="26">
        <f>I369</f>
        <v>0</v>
      </c>
      <c r="Y362" s="37"/>
    </row>
    <row r="363" spans="1:28" x14ac:dyDescent="0.3">
      <c r="B363" s="34" t="str">
        <f>TEXT(Tabelle1217303029720835[[#This Row],[Datum]],"tttt")</f>
        <v>Dienstag</v>
      </c>
      <c r="C363" s="56">
        <f>C362+1</f>
        <v>44426</v>
      </c>
      <c r="D363" s="31"/>
      <c r="E363" s="31"/>
      <c r="F363" s="31"/>
      <c r="G363" s="31"/>
      <c r="H363" s="31"/>
      <c r="I363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4" t="str">
        <f>TEXT(Tabelle121730302972083588[[#This Row],[Datum]],"tttt")</f>
        <v>Dienstag</v>
      </c>
      <c r="L363" s="56">
        <f>L362+1</f>
        <v>44426</v>
      </c>
      <c r="M363" s="31"/>
      <c r="N363" s="31"/>
      <c r="O363" s="31"/>
      <c r="P363" s="31"/>
      <c r="Q363" s="31"/>
      <c r="R363" s="50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3" s="81">
        <f t="shared" si="198"/>
        <v>0</v>
      </c>
      <c r="U363" s="81"/>
      <c r="W363" s="17" t="s">
        <v>19</v>
      </c>
      <c r="X363" s="26">
        <f>R369</f>
        <v>0</v>
      </c>
      <c r="Y363" s="37"/>
    </row>
    <row r="364" spans="1:28" x14ac:dyDescent="0.3">
      <c r="B364" s="35" t="str">
        <f>TEXT(Tabelle1217303029720835[[#This Row],[Datum]],"tttt")</f>
        <v>Mittwoch</v>
      </c>
      <c r="C364" s="56">
        <f t="shared" ref="C364:C368" si="199">C363+1</f>
        <v>44427</v>
      </c>
      <c r="D364" s="32"/>
      <c r="E364" s="32"/>
      <c r="F364" s="32"/>
      <c r="G364" s="32"/>
      <c r="H364" s="32"/>
      <c r="I364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5" t="str">
        <f>TEXT(Tabelle121730302972083588[[#This Row],[Datum]],"tttt")</f>
        <v>Mittwoch</v>
      </c>
      <c r="L364" s="56">
        <f t="shared" ref="L364:L368" si="200">L363+1</f>
        <v>44427</v>
      </c>
      <c r="M364" s="32"/>
      <c r="N364" s="32"/>
      <c r="O364" s="32"/>
      <c r="P364" s="32"/>
      <c r="Q364" s="32"/>
      <c r="R364" s="51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4" s="81">
        <f>R364-I364</f>
        <v>0</v>
      </c>
      <c r="U364" s="81"/>
      <c r="W364" s="20" t="s">
        <v>20</v>
      </c>
      <c r="X364" s="27">
        <f>X363-X362</f>
        <v>0</v>
      </c>
      <c r="Y364" s="37"/>
      <c r="Z364" s="66">
        <f>Z354+X364</f>
        <v>0</v>
      </c>
    </row>
    <row r="365" spans="1:28" x14ac:dyDescent="0.3">
      <c r="B365" s="34" t="str">
        <f>TEXT(Tabelle1217303029720835[[#This Row],[Datum]],"tttt")</f>
        <v>Donnerstag</v>
      </c>
      <c r="C365" s="56">
        <f t="shared" si="199"/>
        <v>44428</v>
      </c>
      <c r="D365" s="31"/>
      <c r="E365" s="31"/>
      <c r="F365" s="31"/>
      <c r="G365" s="31"/>
      <c r="H365" s="31"/>
      <c r="I365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4" t="str">
        <f>TEXT(Tabelle121730302972083588[[#This Row],[Datum]],"tttt")</f>
        <v>Donnerstag</v>
      </c>
      <c r="L365" s="56">
        <f t="shared" si="200"/>
        <v>44428</v>
      </c>
      <c r="M365" s="31"/>
      <c r="N365" s="31"/>
      <c r="O365" s="31"/>
      <c r="P365" s="31"/>
      <c r="Q365" s="31"/>
      <c r="R365" s="50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5" s="81">
        <f>R365-I365</f>
        <v>0</v>
      </c>
      <c r="U365" s="81"/>
      <c r="Y365" s="37"/>
    </row>
    <row r="366" spans="1:28" x14ac:dyDescent="0.3">
      <c r="B366" s="36" t="str">
        <f>TEXT(Tabelle1217303029720835[[#This Row],[Datum]],"tttt")</f>
        <v>Freitag</v>
      </c>
      <c r="C366" s="56">
        <f t="shared" si="199"/>
        <v>44429</v>
      </c>
      <c r="D366" s="32"/>
      <c r="E366" s="32"/>
      <c r="F366" s="32"/>
      <c r="G366" s="32"/>
      <c r="H366" s="32"/>
      <c r="I366" s="52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6" t="str">
        <f>TEXT(Tabelle121730302972083588[[#This Row],[Datum]],"tttt")</f>
        <v>Freitag</v>
      </c>
      <c r="L366" s="56">
        <f t="shared" si="200"/>
        <v>44429</v>
      </c>
      <c r="M366" s="32"/>
      <c r="N366" s="32"/>
      <c r="O366" s="32"/>
      <c r="P366" s="32"/>
      <c r="Q366" s="32"/>
      <c r="R366" s="52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6" s="81">
        <f>R366-I366</f>
        <v>0</v>
      </c>
      <c r="U366" s="81"/>
      <c r="Y366" s="37"/>
    </row>
    <row r="367" spans="1:28" x14ac:dyDescent="0.3">
      <c r="B367" s="34" t="str">
        <f>TEXT(Tabelle1217303029720835[[#This Row],[Datum]],"tttt")</f>
        <v>Samstag</v>
      </c>
      <c r="C367" s="56">
        <f t="shared" si="199"/>
        <v>44430</v>
      </c>
      <c r="D367" s="31"/>
      <c r="E367" s="31"/>
      <c r="F367" s="31"/>
      <c r="G367" s="31"/>
      <c r="H367" s="31"/>
      <c r="I367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4" t="str">
        <f>TEXT(Tabelle121730302972083588[[#This Row],[Datum]],"tttt")</f>
        <v>Samstag</v>
      </c>
      <c r="L367" s="56">
        <f t="shared" si="200"/>
        <v>44430</v>
      </c>
      <c r="M367" s="31"/>
      <c r="N367" s="31"/>
      <c r="O367" s="31"/>
      <c r="P367" s="31"/>
      <c r="Q367" s="31"/>
      <c r="R367" s="50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7" s="81">
        <f t="shared" ref="T367:T368" si="201">R367-I367</f>
        <v>0</v>
      </c>
      <c r="U367" s="81"/>
      <c r="Y367" s="37"/>
    </row>
    <row r="368" spans="1:28" s="40" customFormat="1" x14ac:dyDescent="0.3">
      <c r="B368" s="36" t="str">
        <f>TEXT(Tabelle1217303029720835[[#This Row],[Datum]],"tttt")</f>
        <v>Sonntag</v>
      </c>
      <c r="C368" s="57">
        <f t="shared" si="199"/>
        <v>44431</v>
      </c>
      <c r="D368" s="32"/>
      <c r="E368" s="32"/>
      <c r="F368" s="32"/>
      <c r="G368" s="32"/>
      <c r="H368" s="32"/>
      <c r="I368" s="53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6" t="str">
        <f>TEXT(Tabelle121730302972083588[[#This Row],[Datum]],"tttt")</f>
        <v>Sonntag</v>
      </c>
      <c r="L368" s="57">
        <f t="shared" si="200"/>
        <v>44431</v>
      </c>
      <c r="M368" s="32"/>
      <c r="N368" s="32"/>
      <c r="O368" s="32"/>
      <c r="P368" s="32"/>
      <c r="Q368" s="32"/>
      <c r="R368" s="53" t="str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0:00</v>
      </c>
      <c r="T368" s="81">
        <f t="shared" si="201"/>
        <v>0</v>
      </c>
      <c r="U368" s="81"/>
      <c r="V368" s="42"/>
      <c r="W368" s="42"/>
      <c r="X368" s="45"/>
      <c r="Y368" s="37"/>
      <c r="AB368" s="41"/>
    </row>
    <row r="369" spans="1:28" x14ac:dyDescent="0.3">
      <c r="B369" s="5"/>
      <c r="C369" s="3"/>
      <c r="D369" s="1"/>
      <c r="E369" s="1"/>
      <c r="F369" s="1"/>
      <c r="G369" s="1">
        <f t="shared" ref="G369:H369" si="202">SUM(G362:G368)</f>
        <v>0</v>
      </c>
      <c r="H369" s="1">
        <f t="shared" si="202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203">SUM(P362:P368)</f>
        <v>0</v>
      </c>
      <c r="Q369" s="1">
        <f t="shared" si="203"/>
        <v>0</v>
      </c>
      <c r="R369" s="1">
        <f>SUBTOTAL(109,R362:R368)</f>
        <v>0</v>
      </c>
      <c r="Y369" s="37"/>
    </row>
    <row r="370" spans="1:28" x14ac:dyDescent="0.3">
      <c r="A370" s="37"/>
      <c r="B370" s="38"/>
      <c r="C370" s="37"/>
      <c r="D370" s="37"/>
      <c r="E370" s="37"/>
      <c r="F370" s="37"/>
      <c r="G370" s="37"/>
      <c r="H370" s="37"/>
      <c r="I370" s="38"/>
      <c r="J370" s="37"/>
      <c r="K370" s="38"/>
      <c r="L370" s="37"/>
      <c r="M370" s="37"/>
      <c r="N370" s="37"/>
      <c r="O370" s="37"/>
      <c r="P370" s="37"/>
      <c r="Q370" s="37"/>
      <c r="R370" s="38"/>
      <c r="S370" s="37"/>
      <c r="T370" s="82"/>
      <c r="U370" s="82"/>
      <c r="V370" s="37"/>
      <c r="W370" s="37"/>
      <c r="X370" s="39"/>
      <c r="Y370" s="37"/>
    </row>
    <row r="371" spans="1:28" x14ac:dyDescent="0.3">
      <c r="A371" s="44" t="s">
        <v>33</v>
      </c>
      <c r="B371" s="6" t="s">
        <v>2</v>
      </c>
      <c r="C371" s="7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4" t="s">
        <v>33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81" t="s">
        <v>11</v>
      </c>
      <c r="U371" s="81"/>
      <c r="W371" s="13" t="s">
        <v>21</v>
      </c>
      <c r="X371" s="15" t="s">
        <v>17</v>
      </c>
      <c r="Y371" s="37"/>
    </row>
    <row r="372" spans="1:28" x14ac:dyDescent="0.3">
      <c r="A372" s="44">
        <f>A362+1</f>
        <v>35</v>
      </c>
      <c r="B372" s="34" t="str">
        <f>TEXT(Tabelle12173030297208336[[#This Row],[Datum]],"tttt")</f>
        <v>Montag</v>
      </c>
      <c r="C372" s="58">
        <f>C368+1</f>
        <v>44432</v>
      </c>
      <c r="D372" s="31"/>
      <c r="E372" s="31"/>
      <c r="F372" s="31"/>
      <c r="G372" s="31"/>
      <c r="H372" s="31"/>
      <c r="I372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4">
        <f>J362+1</f>
        <v>35</v>
      </c>
      <c r="K372" s="34" t="str">
        <f>TEXT(Tabelle1217303029720833689[[#This Row],[Datum]],"tttt")</f>
        <v>Montag</v>
      </c>
      <c r="L372" s="58">
        <f>L368+1</f>
        <v>44432</v>
      </c>
      <c r="M372" s="31"/>
      <c r="N372" s="31"/>
      <c r="O372" s="31"/>
      <c r="P372" s="31"/>
      <c r="Q372" s="31"/>
      <c r="R372" s="49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2" s="81">
        <f t="shared" ref="T372:T373" si="204">R372-I372</f>
        <v>0</v>
      </c>
      <c r="U372" s="81"/>
      <c r="W372" s="17" t="s">
        <v>18</v>
      </c>
      <c r="X372" s="26">
        <f>I379</f>
        <v>0</v>
      </c>
      <c r="Y372" s="37"/>
    </row>
    <row r="373" spans="1:28" x14ac:dyDescent="0.3">
      <c r="B373" s="34" t="str">
        <f>TEXT(Tabelle12173030297208336[[#This Row],[Datum]],"tttt")</f>
        <v>Dienstag</v>
      </c>
      <c r="C373" s="56">
        <f>C372+1</f>
        <v>44433</v>
      </c>
      <c r="D373" s="31"/>
      <c r="E373" s="31"/>
      <c r="F373" s="31"/>
      <c r="G373" s="31"/>
      <c r="H373" s="31"/>
      <c r="I373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4" t="str">
        <f>TEXT(Tabelle1217303029720833689[[#This Row],[Datum]],"tttt")</f>
        <v>Dienstag</v>
      </c>
      <c r="L373" s="56">
        <f>L372+1</f>
        <v>44433</v>
      </c>
      <c r="M373" s="31"/>
      <c r="N373" s="31"/>
      <c r="O373" s="31"/>
      <c r="P373" s="31"/>
      <c r="Q373" s="31"/>
      <c r="R373" s="50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3" s="81">
        <f t="shared" si="204"/>
        <v>0</v>
      </c>
      <c r="U373" s="81"/>
      <c r="W373" s="17" t="s">
        <v>19</v>
      </c>
      <c r="X373" s="26">
        <f>R379</f>
        <v>0</v>
      </c>
      <c r="Y373" s="37"/>
    </row>
    <row r="374" spans="1:28" x14ac:dyDescent="0.3">
      <c r="B374" s="35" t="str">
        <f>TEXT(Tabelle12173030297208336[[#This Row],[Datum]],"tttt")</f>
        <v>Mittwoch</v>
      </c>
      <c r="C374" s="56">
        <f t="shared" ref="C374:C378" si="205">C373+1</f>
        <v>44434</v>
      </c>
      <c r="D374" s="32"/>
      <c r="E374" s="32"/>
      <c r="F374" s="32"/>
      <c r="G374" s="32"/>
      <c r="H374" s="32"/>
      <c r="I374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5" t="str">
        <f>TEXT(Tabelle1217303029720833689[[#This Row],[Datum]],"tttt")</f>
        <v>Mittwoch</v>
      </c>
      <c r="L374" s="56">
        <f t="shared" ref="L374:L378" si="206">L373+1</f>
        <v>44434</v>
      </c>
      <c r="M374" s="32"/>
      <c r="N374" s="32"/>
      <c r="O374" s="32"/>
      <c r="P374" s="32"/>
      <c r="Q374" s="32"/>
      <c r="R374" s="51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4" s="81">
        <f>R374-I374</f>
        <v>0</v>
      </c>
      <c r="U374" s="81"/>
      <c r="W374" s="20" t="s">
        <v>20</v>
      </c>
      <c r="X374" s="27">
        <f>X373-X372</f>
        <v>0</v>
      </c>
      <c r="Y374" s="37"/>
      <c r="Z374" s="66">
        <f>Z364+X374</f>
        <v>0</v>
      </c>
    </row>
    <row r="375" spans="1:28" x14ac:dyDescent="0.3">
      <c r="B375" s="34" t="str">
        <f>TEXT(Tabelle12173030297208336[[#This Row],[Datum]],"tttt")</f>
        <v>Donnerstag</v>
      </c>
      <c r="C375" s="56">
        <f t="shared" si="205"/>
        <v>44435</v>
      </c>
      <c r="D375" s="31"/>
      <c r="E375" s="31"/>
      <c r="F375" s="31"/>
      <c r="G375" s="31"/>
      <c r="H375" s="31"/>
      <c r="I375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4" t="str">
        <f>TEXT(Tabelle1217303029720833689[[#This Row],[Datum]],"tttt")</f>
        <v>Donnerstag</v>
      </c>
      <c r="L375" s="56">
        <f t="shared" si="206"/>
        <v>44435</v>
      </c>
      <c r="M375" s="31"/>
      <c r="N375" s="31"/>
      <c r="O375" s="31"/>
      <c r="P375" s="31"/>
      <c r="Q375" s="31"/>
      <c r="R375" s="50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5" s="81">
        <f>R375-I375</f>
        <v>0</v>
      </c>
      <c r="U375" s="81"/>
      <c r="Y375" s="37"/>
    </row>
    <row r="376" spans="1:28" x14ac:dyDescent="0.3">
      <c r="B376" s="36" t="str">
        <f>TEXT(Tabelle12173030297208336[[#This Row],[Datum]],"tttt")</f>
        <v>Freitag</v>
      </c>
      <c r="C376" s="56">
        <f t="shared" si="205"/>
        <v>44436</v>
      </c>
      <c r="D376" s="32"/>
      <c r="E376" s="32"/>
      <c r="F376" s="32"/>
      <c r="G376" s="32"/>
      <c r="H376" s="32"/>
      <c r="I376" s="52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6" t="str">
        <f>TEXT(Tabelle1217303029720833689[[#This Row],[Datum]],"tttt")</f>
        <v>Freitag</v>
      </c>
      <c r="L376" s="56">
        <f t="shared" si="206"/>
        <v>44436</v>
      </c>
      <c r="M376" s="32"/>
      <c r="N376" s="32"/>
      <c r="O376" s="32"/>
      <c r="P376" s="32"/>
      <c r="Q376" s="32"/>
      <c r="R376" s="52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6" s="81">
        <f>R376-I376</f>
        <v>0</v>
      </c>
      <c r="U376" s="81"/>
      <c r="Y376" s="37"/>
    </row>
    <row r="377" spans="1:28" x14ac:dyDescent="0.3">
      <c r="B377" s="34" t="str">
        <f>TEXT(Tabelle12173030297208336[[#This Row],[Datum]],"tttt")</f>
        <v>Samstag</v>
      </c>
      <c r="C377" s="56">
        <f t="shared" si="205"/>
        <v>44437</v>
      </c>
      <c r="D377" s="31"/>
      <c r="E377" s="31"/>
      <c r="F377" s="31"/>
      <c r="G377" s="31"/>
      <c r="H377" s="31"/>
      <c r="I377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4" t="str">
        <f>TEXT(Tabelle1217303029720833689[[#This Row],[Datum]],"tttt")</f>
        <v>Samstag</v>
      </c>
      <c r="L377" s="56">
        <f t="shared" si="206"/>
        <v>44437</v>
      </c>
      <c r="M377" s="31"/>
      <c r="N377" s="31"/>
      <c r="O377" s="31"/>
      <c r="P377" s="31"/>
      <c r="Q377" s="31"/>
      <c r="R377" s="50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7" s="81">
        <f t="shared" ref="T377:T378" si="207">R377-I377</f>
        <v>0</v>
      </c>
      <c r="U377" s="81"/>
      <c r="Y377" s="37"/>
    </row>
    <row r="378" spans="1:28" s="40" customFormat="1" x14ac:dyDescent="0.3">
      <c r="B378" s="36" t="str">
        <f>TEXT(Tabelle12173030297208336[[#This Row],[Datum]],"tttt")</f>
        <v>Sonntag</v>
      </c>
      <c r="C378" s="57">
        <f t="shared" si="205"/>
        <v>44438</v>
      </c>
      <c r="D378" s="32"/>
      <c r="E378" s="32"/>
      <c r="F378" s="32"/>
      <c r="G378" s="32"/>
      <c r="H378" s="32"/>
      <c r="I378" s="53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6" t="str">
        <f>TEXT(Tabelle1217303029720833689[[#This Row],[Datum]],"tttt")</f>
        <v>Sonntag</v>
      </c>
      <c r="L378" s="57">
        <f t="shared" si="206"/>
        <v>44438</v>
      </c>
      <c r="M378" s="32"/>
      <c r="N378" s="32"/>
      <c r="O378" s="32"/>
      <c r="P378" s="32"/>
      <c r="Q378" s="32"/>
      <c r="R378" s="53" t="str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0:00</v>
      </c>
      <c r="T378" s="81">
        <f t="shared" si="207"/>
        <v>0</v>
      </c>
      <c r="U378" s="81"/>
      <c r="V378" s="42"/>
      <c r="W378" s="42"/>
      <c r="X378" s="45"/>
      <c r="Y378" s="37"/>
      <c r="AB378" s="41"/>
    </row>
    <row r="379" spans="1:28" x14ac:dyDescent="0.3">
      <c r="B379" s="5"/>
      <c r="C379" s="3"/>
      <c r="D379" s="1"/>
      <c r="E379" s="1"/>
      <c r="F379" s="1"/>
      <c r="G379" s="1">
        <f t="shared" ref="G379:H379" si="208">SUM(G372:G378)</f>
        <v>0</v>
      </c>
      <c r="H379" s="1">
        <f t="shared" si="208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209">SUM(P372:P378)</f>
        <v>0</v>
      </c>
      <c r="Q379" s="1">
        <f t="shared" si="209"/>
        <v>0</v>
      </c>
      <c r="R379" s="1">
        <f>SUBTOTAL(109,R372:R378)</f>
        <v>0</v>
      </c>
      <c r="Y379" s="37"/>
    </row>
    <row r="380" spans="1:28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82"/>
      <c r="U380" s="82"/>
      <c r="V380" s="37"/>
      <c r="W380" s="37"/>
      <c r="X380" s="39"/>
      <c r="Y380" s="37"/>
    </row>
    <row r="381" spans="1:28" x14ac:dyDescent="0.3">
      <c r="A381" s="44" t="s">
        <v>33</v>
      </c>
      <c r="B381" s="6" t="s">
        <v>2</v>
      </c>
      <c r="C381" s="7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  <c r="I381" s="4" t="s">
        <v>9</v>
      </c>
      <c r="J381" s="44" t="s">
        <v>33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81" t="s">
        <v>11</v>
      </c>
      <c r="U381" s="81"/>
      <c r="W381" s="13" t="s">
        <v>21</v>
      </c>
      <c r="X381" s="15" t="s">
        <v>17</v>
      </c>
      <c r="Y381" s="37"/>
    </row>
    <row r="382" spans="1:28" x14ac:dyDescent="0.3">
      <c r="A382" s="44">
        <f>A372+1</f>
        <v>36</v>
      </c>
      <c r="B382" s="34" t="str">
        <f>TEXT(Tabelle12173030297208437[[#This Row],[Datum]],"tttt")</f>
        <v>Montag</v>
      </c>
      <c r="C382" s="58">
        <f>C378+1</f>
        <v>44439</v>
      </c>
      <c r="D382" s="31"/>
      <c r="E382" s="31"/>
      <c r="F382" s="31"/>
      <c r="G382" s="31"/>
      <c r="H382" s="31"/>
      <c r="I382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4">
        <f>J372+1</f>
        <v>36</v>
      </c>
      <c r="K382" s="34" t="str">
        <f>TEXT(Tabelle1217303029720843790[[#This Row],[Datum]],"tttt")</f>
        <v>Montag</v>
      </c>
      <c r="L382" s="58">
        <f>L378+1</f>
        <v>44439</v>
      </c>
      <c r="M382" s="31"/>
      <c r="N382" s="31"/>
      <c r="O382" s="31"/>
      <c r="P382" s="31"/>
      <c r="Q382" s="31"/>
      <c r="R382" s="49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2" s="81">
        <f t="shared" ref="T382:T383" si="210">R382-I382</f>
        <v>0</v>
      </c>
      <c r="U382" s="81"/>
      <c r="W382" s="17" t="s">
        <v>18</v>
      </c>
      <c r="X382" s="26">
        <f>I389</f>
        <v>0</v>
      </c>
      <c r="Y382" s="37"/>
    </row>
    <row r="383" spans="1:28" x14ac:dyDescent="0.3">
      <c r="B383" s="34" t="str">
        <f>TEXT(Tabelle12173030297208437[[#This Row],[Datum]],"tttt")</f>
        <v>Dienstag</v>
      </c>
      <c r="C383" s="56">
        <f>C382+1</f>
        <v>44440</v>
      </c>
      <c r="D383" s="31"/>
      <c r="E383" s="31"/>
      <c r="F383" s="31"/>
      <c r="G383" s="31"/>
      <c r="H383" s="31"/>
      <c r="I383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4" t="str">
        <f>TEXT(Tabelle1217303029720843790[[#This Row],[Datum]],"tttt")</f>
        <v>Dienstag</v>
      </c>
      <c r="L383" s="56">
        <f>L382+1</f>
        <v>44440</v>
      </c>
      <c r="M383" s="31"/>
      <c r="N383" s="31"/>
      <c r="O383" s="31"/>
      <c r="P383" s="31"/>
      <c r="Q383" s="31"/>
      <c r="R383" s="50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3" s="81">
        <f t="shared" si="210"/>
        <v>0</v>
      </c>
      <c r="U383" s="81"/>
      <c r="W383" s="17" t="s">
        <v>19</v>
      </c>
      <c r="X383" s="26">
        <f>R389</f>
        <v>0</v>
      </c>
      <c r="Y383" s="37"/>
    </row>
    <row r="384" spans="1:28" x14ac:dyDescent="0.3">
      <c r="B384" s="35" t="str">
        <f>TEXT(Tabelle12173030297208437[[#This Row],[Datum]],"tttt")</f>
        <v>Mittwoch</v>
      </c>
      <c r="C384" s="56">
        <f t="shared" ref="C384:C388" si="211">C383+1</f>
        <v>44441</v>
      </c>
      <c r="D384" s="32"/>
      <c r="E384" s="32"/>
      <c r="F384" s="32"/>
      <c r="G384" s="32"/>
      <c r="H384" s="32"/>
      <c r="I384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5" t="str">
        <f>TEXT(Tabelle1217303029720843790[[#This Row],[Datum]],"tttt")</f>
        <v>Mittwoch</v>
      </c>
      <c r="L384" s="56">
        <f t="shared" ref="L384:L388" si="212">L383+1</f>
        <v>44441</v>
      </c>
      <c r="M384" s="32"/>
      <c r="N384" s="32"/>
      <c r="O384" s="32"/>
      <c r="P384" s="32"/>
      <c r="Q384" s="32"/>
      <c r="R384" s="51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4" s="81">
        <f>R384-I384</f>
        <v>0</v>
      </c>
      <c r="U384" s="81"/>
      <c r="W384" s="20" t="s">
        <v>20</v>
      </c>
      <c r="X384" s="27">
        <f>X383-X382</f>
        <v>0</v>
      </c>
      <c r="Y384" s="37"/>
      <c r="Z384" s="66">
        <f>Z374+X384</f>
        <v>0</v>
      </c>
    </row>
    <row r="385" spans="1:28" x14ac:dyDescent="0.3">
      <c r="B385" s="34" t="str">
        <f>TEXT(Tabelle12173030297208437[[#This Row],[Datum]],"tttt")</f>
        <v>Donnerstag</v>
      </c>
      <c r="C385" s="56">
        <f t="shared" si="211"/>
        <v>44442</v>
      </c>
      <c r="D385" s="31"/>
      <c r="E385" s="31"/>
      <c r="F385" s="31"/>
      <c r="G385" s="31"/>
      <c r="H385" s="31"/>
      <c r="I385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4" t="str">
        <f>TEXT(Tabelle1217303029720843790[[#This Row],[Datum]],"tttt")</f>
        <v>Donnerstag</v>
      </c>
      <c r="L385" s="56">
        <f t="shared" si="212"/>
        <v>44442</v>
      </c>
      <c r="M385" s="31"/>
      <c r="N385" s="31"/>
      <c r="O385" s="31"/>
      <c r="P385" s="31"/>
      <c r="Q385" s="31"/>
      <c r="R385" s="50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5" s="81">
        <f>R385-I385</f>
        <v>0</v>
      </c>
      <c r="U385" s="81"/>
      <c r="Y385" s="37"/>
    </row>
    <row r="386" spans="1:28" x14ac:dyDescent="0.3">
      <c r="B386" s="36" t="str">
        <f>TEXT(Tabelle12173030297208437[[#This Row],[Datum]],"tttt")</f>
        <v>Freitag</v>
      </c>
      <c r="C386" s="56">
        <f t="shared" si="211"/>
        <v>44443</v>
      </c>
      <c r="D386" s="32"/>
      <c r="E386" s="32"/>
      <c r="F386" s="32"/>
      <c r="G386" s="32"/>
      <c r="H386" s="32"/>
      <c r="I386" s="52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6" t="str">
        <f>TEXT(Tabelle1217303029720843790[[#This Row],[Datum]],"tttt")</f>
        <v>Freitag</v>
      </c>
      <c r="L386" s="56">
        <f t="shared" si="212"/>
        <v>44443</v>
      </c>
      <c r="M386" s="32"/>
      <c r="N386" s="32"/>
      <c r="O386" s="32"/>
      <c r="P386" s="32"/>
      <c r="Q386" s="32"/>
      <c r="R386" s="52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6" s="81">
        <f>R386-I386</f>
        <v>0</v>
      </c>
      <c r="U386" s="81"/>
      <c r="Y386" s="37"/>
    </row>
    <row r="387" spans="1:28" x14ac:dyDescent="0.3">
      <c r="B387" s="34" t="str">
        <f>TEXT(Tabelle12173030297208437[[#This Row],[Datum]],"tttt")</f>
        <v>Samstag</v>
      </c>
      <c r="C387" s="56">
        <f t="shared" si="211"/>
        <v>44444</v>
      </c>
      <c r="D387" s="31"/>
      <c r="E387" s="31"/>
      <c r="F387" s="31"/>
      <c r="G387" s="31"/>
      <c r="H387" s="31"/>
      <c r="I387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4" t="str">
        <f>TEXT(Tabelle1217303029720843790[[#This Row],[Datum]],"tttt")</f>
        <v>Samstag</v>
      </c>
      <c r="L387" s="56">
        <f t="shared" si="212"/>
        <v>44444</v>
      </c>
      <c r="M387" s="31"/>
      <c r="N387" s="31"/>
      <c r="O387" s="31"/>
      <c r="P387" s="31"/>
      <c r="Q387" s="31"/>
      <c r="R387" s="50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7" s="81">
        <f t="shared" ref="T387:T388" si="213">R387-I387</f>
        <v>0</v>
      </c>
      <c r="U387" s="81"/>
      <c r="Y387" s="37"/>
    </row>
    <row r="388" spans="1:28" s="40" customFormat="1" x14ac:dyDescent="0.3">
      <c r="B388" s="36" t="str">
        <f>TEXT(Tabelle12173030297208437[[#This Row],[Datum]],"tttt")</f>
        <v>Sonntag</v>
      </c>
      <c r="C388" s="57">
        <f t="shared" si="211"/>
        <v>44445</v>
      </c>
      <c r="D388" s="32"/>
      <c r="E388" s="32"/>
      <c r="F388" s="32"/>
      <c r="G388" s="32"/>
      <c r="H388" s="32"/>
      <c r="I388" s="53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6" t="str">
        <f>TEXT(Tabelle1217303029720843790[[#This Row],[Datum]],"tttt")</f>
        <v>Sonntag</v>
      </c>
      <c r="L388" s="57">
        <f t="shared" si="212"/>
        <v>44445</v>
      </c>
      <c r="M388" s="32"/>
      <c r="N388" s="32"/>
      <c r="O388" s="32"/>
      <c r="P388" s="32"/>
      <c r="Q388" s="32"/>
      <c r="R388" s="53" t="str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0:00</v>
      </c>
      <c r="T388" s="81">
        <f t="shared" si="213"/>
        <v>0</v>
      </c>
      <c r="U388" s="81"/>
      <c r="V388" s="42"/>
      <c r="W388" s="42"/>
      <c r="X388" s="45"/>
      <c r="Y388" s="37"/>
      <c r="AB388" s="41"/>
    </row>
    <row r="389" spans="1:28" x14ac:dyDescent="0.3">
      <c r="B389" s="5"/>
      <c r="C389" s="3"/>
      <c r="D389" s="1"/>
      <c r="E389" s="1"/>
      <c r="F389" s="1"/>
      <c r="G389" s="1">
        <f t="shared" ref="G389:H389" si="214">SUM(G382:G388)</f>
        <v>0</v>
      </c>
      <c r="H389" s="1">
        <f t="shared" si="21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215">SUM(P382:P388)</f>
        <v>0</v>
      </c>
      <c r="Q389" s="1">
        <f t="shared" si="215"/>
        <v>0</v>
      </c>
      <c r="R389" s="1">
        <f>SUBTOTAL(109,R382:R388)</f>
        <v>0</v>
      </c>
      <c r="Y389" s="37"/>
    </row>
    <row r="390" spans="1:28" x14ac:dyDescent="0.3">
      <c r="A390" s="37"/>
      <c r="B390" s="38"/>
      <c r="C390" s="37"/>
      <c r="D390" s="37"/>
      <c r="E390" s="37"/>
      <c r="F390" s="37"/>
      <c r="G390" s="37"/>
      <c r="H390" s="37"/>
      <c r="I390" s="38"/>
      <c r="J390" s="37"/>
      <c r="K390" s="38"/>
      <c r="L390" s="37"/>
      <c r="M390" s="37"/>
      <c r="N390" s="37"/>
      <c r="O390" s="37"/>
      <c r="P390" s="37"/>
      <c r="Q390" s="37"/>
      <c r="R390" s="38"/>
      <c r="S390" s="37"/>
      <c r="T390" s="82"/>
      <c r="U390" s="82"/>
      <c r="V390" s="37"/>
      <c r="W390" s="37"/>
      <c r="X390" s="39"/>
      <c r="Y390" s="37"/>
    </row>
    <row r="391" spans="1:28" x14ac:dyDescent="0.3">
      <c r="A391" s="44" t="s">
        <v>33</v>
      </c>
      <c r="B391" s="6" t="s">
        <v>2</v>
      </c>
      <c r="C391" s="7" t="s">
        <v>3</v>
      </c>
      <c r="D391" s="4" t="s">
        <v>4</v>
      </c>
      <c r="E391" s="4" t="s">
        <v>5</v>
      </c>
      <c r="F391" s="4" t="s">
        <v>6</v>
      </c>
      <c r="G391" s="4" t="s">
        <v>7</v>
      </c>
      <c r="H391" s="4" t="s">
        <v>8</v>
      </c>
      <c r="I391" s="4" t="s">
        <v>9</v>
      </c>
      <c r="J391" s="44" t="s">
        <v>33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81" t="s">
        <v>11</v>
      </c>
      <c r="U391" s="81"/>
      <c r="W391" s="13" t="s">
        <v>21</v>
      </c>
      <c r="X391" s="15" t="s">
        <v>17</v>
      </c>
      <c r="Y391" s="37"/>
    </row>
    <row r="392" spans="1:28" x14ac:dyDescent="0.3">
      <c r="A392" s="44">
        <f>A382+1</f>
        <v>37</v>
      </c>
      <c r="B392" s="34" t="str">
        <f>TEXT(Tabelle1217303029720839[[#This Row],[Datum]],"tttt")</f>
        <v>Montag</v>
      </c>
      <c r="C392" s="58">
        <f>C388+1</f>
        <v>44446</v>
      </c>
      <c r="D392" s="31"/>
      <c r="E392" s="31"/>
      <c r="F392" s="31"/>
      <c r="G392" s="31"/>
      <c r="H392" s="31"/>
      <c r="I392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4">
        <f>J382+1</f>
        <v>37</v>
      </c>
      <c r="K392" s="34" t="str">
        <f>TEXT(Tabelle121730302972083991[[#This Row],[Datum]],"tttt")</f>
        <v>Montag</v>
      </c>
      <c r="L392" s="58">
        <f>L388+1</f>
        <v>44446</v>
      </c>
      <c r="M392" s="31"/>
      <c r="N392" s="31"/>
      <c r="O392" s="31"/>
      <c r="P392" s="31"/>
      <c r="Q392" s="31"/>
      <c r="R392" s="49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2" s="81">
        <f t="shared" ref="T392:T393" si="216">R392-I392</f>
        <v>0</v>
      </c>
      <c r="U392" s="81"/>
      <c r="W392" s="17" t="s">
        <v>18</v>
      </c>
      <c r="X392" s="26">
        <f>I399</f>
        <v>0</v>
      </c>
      <c r="Y392" s="37"/>
    </row>
    <row r="393" spans="1:28" x14ac:dyDescent="0.3">
      <c r="B393" s="34" t="str">
        <f>TEXT(Tabelle1217303029720839[[#This Row],[Datum]],"tttt")</f>
        <v>Dienstag</v>
      </c>
      <c r="C393" s="56">
        <f>C392+1</f>
        <v>44447</v>
      </c>
      <c r="D393" s="31"/>
      <c r="E393" s="31"/>
      <c r="F393" s="31"/>
      <c r="G393" s="31"/>
      <c r="H393" s="31"/>
      <c r="I393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4" t="str">
        <f>TEXT(Tabelle121730302972083991[[#This Row],[Datum]],"tttt")</f>
        <v>Dienstag</v>
      </c>
      <c r="L393" s="56">
        <f>L392+1</f>
        <v>44447</v>
      </c>
      <c r="M393" s="31"/>
      <c r="N393" s="31"/>
      <c r="O393" s="31"/>
      <c r="P393" s="31"/>
      <c r="Q393" s="31"/>
      <c r="R393" s="50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3" s="81">
        <f t="shared" si="216"/>
        <v>0</v>
      </c>
      <c r="U393" s="81"/>
      <c r="W393" s="17" t="s">
        <v>19</v>
      </c>
      <c r="X393" s="26">
        <f>R399</f>
        <v>0</v>
      </c>
      <c r="Y393" s="37"/>
    </row>
    <row r="394" spans="1:28" x14ac:dyDescent="0.3">
      <c r="B394" s="35" t="str">
        <f>TEXT(Tabelle1217303029720839[[#This Row],[Datum]],"tttt")</f>
        <v>Mittwoch</v>
      </c>
      <c r="C394" s="56">
        <f t="shared" ref="C394:C398" si="217">C393+1</f>
        <v>44448</v>
      </c>
      <c r="D394" s="32"/>
      <c r="E394" s="32"/>
      <c r="F394" s="32"/>
      <c r="G394" s="32"/>
      <c r="H394" s="32"/>
      <c r="I394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5" t="str">
        <f>TEXT(Tabelle121730302972083991[[#This Row],[Datum]],"tttt")</f>
        <v>Mittwoch</v>
      </c>
      <c r="L394" s="56">
        <f t="shared" ref="L394:L398" si="218">L393+1</f>
        <v>44448</v>
      </c>
      <c r="M394" s="32"/>
      <c r="N394" s="32"/>
      <c r="O394" s="32"/>
      <c r="P394" s="32"/>
      <c r="Q394" s="32"/>
      <c r="R394" s="51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4" s="81">
        <f>R394-I394</f>
        <v>0</v>
      </c>
      <c r="U394" s="81"/>
      <c r="W394" s="20" t="s">
        <v>20</v>
      </c>
      <c r="X394" s="27">
        <f>X393-X392</f>
        <v>0</v>
      </c>
      <c r="Y394" s="37"/>
      <c r="Z394" s="66">
        <f>Z384+X394</f>
        <v>0</v>
      </c>
    </row>
    <row r="395" spans="1:28" x14ac:dyDescent="0.3">
      <c r="B395" s="34" t="str">
        <f>TEXT(Tabelle1217303029720839[[#This Row],[Datum]],"tttt")</f>
        <v>Donnerstag</v>
      </c>
      <c r="C395" s="56">
        <f t="shared" si="217"/>
        <v>44449</v>
      </c>
      <c r="D395" s="31"/>
      <c r="E395" s="31"/>
      <c r="F395" s="31"/>
      <c r="G395" s="31"/>
      <c r="H395" s="31"/>
      <c r="I395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4" t="str">
        <f>TEXT(Tabelle121730302972083991[[#This Row],[Datum]],"tttt")</f>
        <v>Donnerstag</v>
      </c>
      <c r="L395" s="56">
        <f t="shared" si="218"/>
        <v>44449</v>
      </c>
      <c r="M395" s="31"/>
      <c r="N395" s="31"/>
      <c r="O395" s="31"/>
      <c r="P395" s="31"/>
      <c r="Q395" s="31"/>
      <c r="R395" s="50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5" s="81">
        <f>R395-I395</f>
        <v>0</v>
      </c>
      <c r="U395" s="81"/>
      <c r="Y395" s="37"/>
    </row>
    <row r="396" spans="1:28" x14ac:dyDescent="0.3">
      <c r="B396" s="36" t="str">
        <f>TEXT(Tabelle1217303029720839[[#This Row],[Datum]],"tttt")</f>
        <v>Freitag</v>
      </c>
      <c r="C396" s="56">
        <f t="shared" si="217"/>
        <v>44450</v>
      </c>
      <c r="D396" s="32"/>
      <c r="E396" s="32"/>
      <c r="F396" s="32"/>
      <c r="G396" s="32"/>
      <c r="H396" s="32"/>
      <c r="I396" s="52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6" t="str">
        <f>TEXT(Tabelle121730302972083991[[#This Row],[Datum]],"tttt")</f>
        <v>Freitag</v>
      </c>
      <c r="L396" s="56">
        <f t="shared" si="218"/>
        <v>44450</v>
      </c>
      <c r="M396" s="32"/>
      <c r="N396" s="32"/>
      <c r="O396" s="32"/>
      <c r="P396" s="32"/>
      <c r="Q396" s="32"/>
      <c r="R396" s="52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6" s="81">
        <f>R396-I396</f>
        <v>0</v>
      </c>
      <c r="U396" s="81"/>
      <c r="Y396" s="37"/>
    </row>
    <row r="397" spans="1:28" x14ac:dyDescent="0.3">
      <c r="B397" s="34" t="str">
        <f>TEXT(Tabelle1217303029720839[[#This Row],[Datum]],"tttt")</f>
        <v>Samstag</v>
      </c>
      <c r="C397" s="56">
        <f t="shared" si="217"/>
        <v>44451</v>
      </c>
      <c r="D397" s="31"/>
      <c r="E397" s="31"/>
      <c r="F397" s="31"/>
      <c r="G397" s="31"/>
      <c r="H397" s="31"/>
      <c r="I397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4" t="str">
        <f>TEXT(Tabelle121730302972083991[[#This Row],[Datum]],"tttt")</f>
        <v>Samstag</v>
      </c>
      <c r="L397" s="56">
        <f t="shared" si="218"/>
        <v>44451</v>
      </c>
      <c r="M397" s="31"/>
      <c r="N397" s="31"/>
      <c r="O397" s="31"/>
      <c r="P397" s="31"/>
      <c r="Q397" s="31"/>
      <c r="R397" s="50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7" s="81">
        <f t="shared" ref="T397:T398" si="219">R397-I397</f>
        <v>0</v>
      </c>
      <c r="U397" s="81"/>
      <c r="Y397" s="37"/>
    </row>
    <row r="398" spans="1:28" s="40" customFormat="1" x14ac:dyDescent="0.3">
      <c r="B398" s="36" t="str">
        <f>TEXT(Tabelle1217303029720839[[#This Row],[Datum]],"tttt")</f>
        <v>Sonntag</v>
      </c>
      <c r="C398" s="57">
        <f t="shared" si="217"/>
        <v>44452</v>
      </c>
      <c r="D398" s="32"/>
      <c r="E398" s="32"/>
      <c r="F398" s="32"/>
      <c r="G398" s="32"/>
      <c r="H398" s="32"/>
      <c r="I398" s="53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6" t="str">
        <f>TEXT(Tabelle121730302972083991[[#This Row],[Datum]],"tttt")</f>
        <v>Sonntag</v>
      </c>
      <c r="L398" s="57">
        <f t="shared" si="218"/>
        <v>44452</v>
      </c>
      <c r="M398" s="32"/>
      <c r="N398" s="32"/>
      <c r="O398" s="32"/>
      <c r="P398" s="32"/>
      <c r="Q398" s="32"/>
      <c r="R398" s="53" t="str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0:00</v>
      </c>
      <c r="T398" s="81">
        <f t="shared" si="219"/>
        <v>0</v>
      </c>
      <c r="U398" s="81"/>
      <c r="V398" s="42"/>
      <c r="W398" s="42"/>
      <c r="X398" s="45"/>
      <c r="Y398" s="37"/>
      <c r="AB398" s="41"/>
    </row>
    <row r="399" spans="1:28" x14ac:dyDescent="0.3">
      <c r="B399" s="5"/>
      <c r="C399" s="3"/>
      <c r="D399" s="1"/>
      <c r="E399" s="1"/>
      <c r="F399" s="1"/>
      <c r="G399" s="1">
        <f t="shared" ref="G399:H399" si="220">SUM(G392:G398)</f>
        <v>0</v>
      </c>
      <c r="H399" s="1">
        <f t="shared" si="220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221">SUM(P392:P398)</f>
        <v>0</v>
      </c>
      <c r="Q399" s="1">
        <f t="shared" si="221"/>
        <v>0</v>
      </c>
      <c r="R399" s="1">
        <f>SUBTOTAL(109,R392:R398)</f>
        <v>0</v>
      </c>
      <c r="Y399" s="37"/>
    </row>
    <row r="400" spans="1:28" x14ac:dyDescent="0.3">
      <c r="A400" s="37"/>
      <c r="B400" s="38"/>
      <c r="C400" s="37"/>
      <c r="D400" s="37"/>
      <c r="E400" s="37"/>
      <c r="F400" s="37"/>
      <c r="G400" s="37"/>
      <c r="H400" s="37"/>
      <c r="I400" s="38"/>
      <c r="J400" s="37"/>
      <c r="K400" s="38"/>
      <c r="L400" s="37"/>
      <c r="M400" s="37"/>
      <c r="N400" s="37"/>
      <c r="O400" s="37"/>
      <c r="P400" s="37"/>
      <c r="Q400" s="37"/>
      <c r="R400" s="38"/>
      <c r="S400" s="37"/>
      <c r="T400" s="82"/>
      <c r="U400" s="82"/>
      <c r="V400" s="37"/>
      <c r="W400" s="37"/>
      <c r="X400" s="39"/>
      <c r="Y400" s="37"/>
    </row>
    <row r="401" spans="1:28" x14ac:dyDescent="0.3">
      <c r="A401" s="44" t="s">
        <v>33</v>
      </c>
      <c r="B401" s="6" t="s">
        <v>2</v>
      </c>
      <c r="C401" s="7" t="s">
        <v>3</v>
      </c>
      <c r="D401" s="4" t="s">
        <v>4</v>
      </c>
      <c r="E401" s="4" t="s">
        <v>5</v>
      </c>
      <c r="F401" s="4" t="s">
        <v>6</v>
      </c>
      <c r="G401" s="4" t="s">
        <v>7</v>
      </c>
      <c r="H401" s="4" t="s">
        <v>8</v>
      </c>
      <c r="I401" s="4" t="s">
        <v>9</v>
      </c>
      <c r="J401" s="44" t="s">
        <v>33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81" t="s">
        <v>11</v>
      </c>
      <c r="U401" s="81"/>
      <c r="W401" s="13" t="s">
        <v>21</v>
      </c>
      <c r="X401" s="15" t="s">
        <v>17</v>
      </c>
      <c r="Y401" s="37"/>
    </row>
    <row r="402" spans="1:28" x14ac:dyDescent="0.3">
      <c r="A402" s="44">
        <f>A392+1</f>
        <v>38</v>
      </c>
      <c r="B402" s="34" t="str">
        <f>TEXT(Tabelle12173030297208339[[#This Row],[Datum]],"tttt")</f>
        <v>Montag</v>
      </c>
      <c r="C402" s="58">
        <f>C398+1</f>
        <v>44453</v>
      </c>
      <c r="D402" s="31"/>
      <c r="E402" s="31"/>
      <c r="F402" s="31"/>
      <c r="G402" s="31"/>
      <c r="H402" s="31"/>
      <c r="I402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4">
        <f>J392+1</f>
        <v>38</v>
      </c>
      <c r="K402" s="34" t="str">
        <f>TEXT(Tabelle1217303029720833992[[#This Row],[Datum]],"tttt")</f>
        <v>Montag</v>
      </c>
      <c r="L402" s="58">
        <f>L398+1</f>
        <v>44453</v>
      </c>
      <c r="M402" s="31"/>
      <c r="N402" s="31"/>
      <c r="O402" s="31"/>
      <c r="P402" s="31"/>
      <c r="Q402" s="31"/>
      <c r="R402" s="49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2" s="81">
        <f t="shared" ref="T402:T403" si="222">R402-I402</f>
        <v>0</v>
      </c>
      <c r="U402" s="81"/>
      <c r="W402" s="17" t="s">
        <v>18</v>
      </c>
      <c r="X402" s="26">
        <f>I409</f>
        <v>0</v>
      </c>
      <c r="Y402" s="37"/>
    </row>
    <row r="403" spans="1:28" x14ac:dyDescent="0.3">
      <c r="B403" s="34" t="str">
        <f>TEXT(Tabelle12173030297208339[[#This Row],[Datum]],"tttt")</f>
        <v>Dienstag</v>
      </c>
      <c r="C403" s="56">
        <f>C402+1</f>
        <v>44454</v>
      </c>
      <c r="D403" s="31"/>
      <c r="E403" s="31"/>
      <c r="F403" s="31"/>
      <c r="G403" s="31"/>
      <c r="H403" s="31"/>
      <c r="I403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4" t="str">
        <f>TEXT(Tabelle1217303029720833992[[#This Row],[Datum]],"tttt")</f>
        <v>Dienstag</v>
      </c>
      <c r="L403" s="56">
        <f>L402+1</f>
        <v>44454</v>
      </c>
      <c r="M403" s="31"/>
      <c r="N403" s="31"/>
      <c r="O403" s="31"/>
      <c r="P403" s="31"/>
      <c r="Q403" s="31"/>
      <c r="R403" s="50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3" s="81">
        <f t="shared" si="222"/>
        <v>0</v>
      </c>
      <c r="U403" s="81"/>
      <c r="W403" s="17" t="s">
        <v>19</v>
      </c>
      <c r="X403" s="26">
        <f>R409</f>
        <v>0</v>
      </c>
      <c r="Y403" s="37"/>
    </row>
    <row r="404" spans="1:28" x14ac:dyDescent="0.3">
      <c r="B404" s="35" t="str">
        <f>TEXT(Tabelle12173030297208339[[#This Row],[Datum]],"tttt")</f>
        <v>Mittwoch</v>
      </c>
      <c r="C404" s="56">
        <f t="shared" ref="C404:C408" si="223">C403+1</f>
        <v>44455</v>
      </c>
      <c r="D404" s="32"/>
      <c r="E404" s="32"/>
      <c r="F404" s="32"/>
      <c r="G404" s="32"/>
      <c r="H404" s="32"/>
      <c r="I404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5" t="str">
        <f>TEXT(Tabelle1217303029720833992[[#This Row],[Datum]],"tttt")</f>
        <v>Mittwoch</v>
      </c>
      <c r="L404" s="56">
        <f t="shared" ref="L404:L408" si="224">L403+1</f>
        <v>44455</v>
      </c>
      <c r="M404" s="32"/>
      <c r="N404" s="32"/>
      <c r="O404" s="32"/>
      <c r="P404" s="32"/>
      <c r="Q404" s="32"/>
      <c r="R404" s="51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4" s="81">
        <f>R404-I404</f>
        <v>0</v>
      </c>
      <c r="U404" s="81"/>
      <c r="W404" s="20" t="s">
        <v>20</v>
      </c>
      <c r="X404" s="27">
        <f>X403-X402</f>
        <v>0</v>
      </c>
      <c r="Y404" s="37"/>
      <c r="Z404" s="66">
        <f>Z394+X404</f>
        <v>0</v>
      </c>
    </row>
    <row r="405" spans="1:28" x14ac:dyDescent="0.3">
      <c r="B405" s="34" t="str">
        <f>TEXT(Tabelle12173030297208339[[#This Row],[Datum]],"tttt")</f>
        <v>Donnerstag</v>
      </c>
      <c r="C405" s="56">
        <f t="shared" si="223"/>
        <v>44456</v>
      </c>
      <c r="D405" s="31"/>
      <c r="E405" s="31"/>
      <c r="F405" s="31"/>
      <c r="G405" s="31"/>
      <c r="H405" s="31"/>
      <c r="I405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4" t="str">
        <f>TEXT(Tabelle1217303029720833992[[#This Row],[Datum]],"tttt")</f>
        <v>Donnerstag</v>
      </c>
      <c r="L405" s="56">
        <f t="shared" si="224"/>
        <v>44456</v>
      </c>
      <c r="M405" s="31"/>
      <c r="N405" s="31"/>
      <c r="O405" s="31"/>
      <c r="P405" s="31"/>
      <c r="Q405" s="31"/>
      <c r="R405" s="50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5" s="81">
        <f>R405-I405</f>
        <v>0</v>
      </c>
      <c r="U405" s="81"/>
      <c r="Y405" s="37"/>
    </row>
    <row r="406" spans="1:28" x14ac:dyDescent="0.3">
      <c r="B406" s="36" t="str">
        <f>TEXT(Tabelle12173030297208339[[#This Row],[Datum]],"tttt")</f>
        <v>Freitag</v>
      </c>
      <c r="C406" s="56">
        <f t="shared" si="223"/>
        <v>44457</v>
      </c>
      <c r="D406" s="32"/>
      <c r="E406" s="32"/>
      <c r="F406" s="32"/>
      <c r="G406" s="32"/>
      <c r="H406" s="32"/>
      <c r="I406" s="52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6" t="str">
        <f>TEXT(Tabelle1217303029720833992[[#This Row],[Datum]],"tttt")</f>
        <v>Freitag</v>
      </c>
      <c r="L406" s="56">
        <f t="shared" si="224"/>
        <v>44457</v>
      </c>
      <c r="M406" s="32"/>
      <c r="N406" s="32"/>
      <c r="O406" s="32"/>
      <c r="P406" s="32"/>
      <c r="Q406" s="32"/>
      <c r="R406" s="52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6" s="81">
        <f>R406-I406</f>
        <v>0</v>
      </c>
      <c r="U406" s="81"/>
      <c r="Y406" s="37"/>
    </row>
    <row r="407" spans="1:28" x14ac:dyDescent="0.3">
      <c r="B407" s="34" t="str">
        <f>TEXT(Tabelle12173030297208339[[#This Row],[Datum]],"tttt")</f>
        <v>Samstag</v>
      </c>
      <c r="C407" s="56">
        <f t="shared" si="223"/>
        <v>44458</v>
      </c>
      <c r="D407" s="31"/>
      <c r="E407" s="31"/>
      <c r="F407" s="31"/>
      <c r="G407" s="31"/>
      <c r="H407" s="31"/>
      <c r="I407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4" t="str">
        <f>TEXT(Tabelle1217303029720833992[[#This Row],[Datum]],"tttt")</f>
        <v>Samstag</v>
      </c>
      <c r="L407" s="56">
        <f t="shared" si="224"/>
        <v>44458</v>
      </c>
      <c r="M407" s="31"/>
      <c r="N407" s="31"/>
      <c r="O407" s="31"/>
      <c r="P407" s="31"/>
      <c r="Q407" s="31"/>
      <c r="R407" s="50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7" s="81">
        <f t="shared" ref="T407:T408" si="225">R407-I407</f>
        <v>0</v>
      </c>
      <c r="U407" s="81"/>
      <c r="Y407" s="37"/>
    </row>
    <row r="408" spans="1:28" s="40" customFormat="1" x14ac:dyDescent="0.3">
      <c r="B408" s="36" t="str">
        <f>TEXT(Tabelle12173030297208339[[#This Row],[Datum]],"tttt")</f>
        <v>Sonntag</v>
      </c>
      <c r="C408" s="57">
        <f t="shared" si="223"/>
        <v>44459</v>
      </c>
      <c r="D408" s="32"/>
      <c r="E408" s="32"/>
      <c r="F408" s="32"/>
      <c r="G408" s="32"/>
      <c r="H408" s="32"/>
      <c r="I408" s="53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6" t="str">
        <f>TEXT(Tabelle1217303029720833992[[#This Row],[Datum]],"tttt")</f>
        <v>Sonntag</v>
      </c>
      <c r="L408" s="57">
        <f t="shared" si="224"/>
        <v>44459</v>
      </c>
      <c r="M408" s="32"/>
      <c r="N408" s="32"/>
      <c r="O408" s="32"/>
      <c r="P408" s="32"/>
      <c r="Q408" s="32"/>
      <c r="R408" s="53" t="str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0:00</v>
      </c>
      <c r="T408" s="81">
        <f t="shared" si="225"/>
        <v>0</v>
      </c>
      <c r="U408" s="81"/>
      <c r="V408" s="42"/>
      <c r="W408" s="42"/>
      <c r="X408" s="45"/>
      <c r="Y408" s="37"/>
      <c r="AB408" s="41"/>
    </row>
    <row r="409" spans="1:28" x14ac:dyDescent="0.3">
      <c r="B409" s="5"/>
      <c r="C409" s="3"/>
      <c r="D409" s="1"/>
      <c r="E409" s="1"/>
      <c r="F409" s="1"/>
      <c r="G409" s="1">
        <f t="shared" ref="G409:H409" si="226">SUM(G402:G408)</f>
        <v>0</v>
      </c>
      <c r="H409" s="1">
        <f t="shared" si="226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227">SUM(P402:P408)</f>
        <v>0</v>
      </c>
      <c r="Q409" s="1">
        <f t="shared" si="227"/>
        <v>0</v>
      </c>
      <c r="R409" s="1">
        <f>SUBTOTAL(109,R402:R408)</f>
        <v>0</v>
      </c>
      <c r="Y409" s="37"/>
    </row>
    <row r="410" spans="1:28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82"/>
      <c r="U410" s="82"/>
      <c r="V410" s="37"/>
      <c r="W410" s="37"/>
      <c r="X410" s="39"/>
      <c r="Y410" s="37"/>
    </row>
    <row r="411" spans="1:28" x14ac:dyDescent="0.3">
      <c r="A411" s="44" t="s">
        <v>33</v>
      </c>
      <c r="B411" s="6" t="s">
        <v>2</v>
      </c>
      <c r="C411" s="7" t="s">
        <v>3</v>
      </c>
      <c r="D411" s="4" t="s">
        <v>4</v>
      </c>
      <c r="E411" s="4" t="s">
        <v>5</v>
      </c>
      <c r="F411" s="4" t="s">
        <v>6</v>
      </c>
      <c r="G411" s="4" t="s">
        <v>7</v>
      </c>
      <c r="H411" s="4" t="s">
        <v>8</v>
      </c>
      <c r="I411" s="4" t="s">
        <v>9</v>
      </c>
      <c r="J411" s="44" t="s">
        <v>33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81" t="s">
        <v>11</v>
      </c>
      <c r="U411" s="81"/>
      <c r="W411" s="13" t="s">
        <v>21</v>
      </c>
      <c r="X411" s="15" t="s">
        <v>17</v>
      </c>
      <c r="Y411" s="37"/>
    </row>
    <row r="412" spans="1:28" x14ac:dyDescent="0.3">
      <c r="A412" s="44">
        <f>A402+1</f>
        <v>39</v>
      </c>
      <c r="B412" s="34" t="str">
        <f>TEXT(Tabelle12173030297208440[[#This Row],[Datum]],"tttt")</f>
        <v>Montag</v>
      </c>
      <c r="C412" s="58">
        <f>C408+1</f>
        <v>44460</v>
      </c>
      <c r="D412" s="31"/>
      <c r="E412" s="31"/>
      <c r="F412" s="31"/>
      <c r="G412" s="31"/>
      <c r="H412" s="31"/>
      <c r="I412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4">
        <f>J402+1</f>
        <v>39</v>
      </c>
      <c r="K412" s="34" t="str">
        <f>TEXT(Tabelle1217303029720844093[[#This Row],[Datum]],"tttt")</f>
        <v>Montag</v>
      </c>
      <c r="L412" s="58">
        <f>L408+1</f>
        <v>44460</v>
      </c>
      <c r="M412" s="31"/>
      <c r="N412" s="31"/>
      <c r="O412" s="31"/>
      <c r="P412" s="31"/>
      <c r="Q412" s="31"/>
      <c r="R412" s="49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2" s="81">
        <f t="shared" ref="T412:T413" si="228">R412-I412</f>
        <v>0</v>
      </c>
      <c r="U412" s="81"/>
      <c r="W412" s="17" t="s">
        <v>18</v>
      </c>
      <c r="X412" s="26">
        <f>I419</f>
        <v>0</v>
      </c>
      <c r="Y412" s="37"/>
    </row>
    <row r="413" spans="1:28" x14ac:dyDescent="0.3">
      <c r="B413" s="34" t="str">
        <f>TEXT(Tabelle12173030297208440[[#This Row],[Datum]],"tttt")</f>
        <v>Dienstag</v>
      </c>
      <c r="C413" s="56">
        <f>C412+1</f>
        <v>44461</v>
      </c>
      <c r="D413" s="31"/>
      <c r="E413" s="31"/>
      <c r="F413" s="31"/>
      <c r="G413" s="31"/>
      <c r="H413" s="31"/>
      <c r="I413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4" t="str">
        <f>TEXT(Tabelle1217303029720844093[[#This Row],[Datum]],"tttt")</f>
        <v>Dienstag</v>
      </c>
      <c r="L413" s="56">
        <f>L412+1</f>
        <v>44461</v>
      </c>
      <c r="M413" s="31"/>
      <c r="N413" s="31"/>
      <c r="O413" s="31"/>
      <c r="P413" s="31"/>
      <c r="Q413" s="31"/>
      <c r="R413" s="50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3" s="81">
        <f t="shared" si="228"/>
        <v>0</v>
      </c>
      <c r="U413" s="81"/>
      <c r="W413" s="17" t="s">
        <v>19</v>
      </c>
      <c r="X413" s="26">
        <f>R419</f>
        <v>0</v>
      </c>
      <c r="Y413" s="37"/>
    </row>
    <row r="414" spans="1:28" x14ac:dyDescent="0.3">
      <c r="B414" s="35" t="str">
        <f>TEXT(Tabelle12173030297208440[[#This Row],[Datum]],"tttt")</f>
        <v>Mittwoch</v>
      </c>
      <c r="C414" s="56">
        <f t="shared" ref="C414:C418" si="229">C413+1</f>
        <v>44462</v>
      </c>
      <c r="D414" s="32"/>
      <c r="E414" s="32"/>
      <c r="F414" s="32"/>
      <c r="G414" s="32"/>
      <c r="H414" s="32"/>
      <c r="I414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5" t="str">
        <f>TEXT(Tabelle1217303029720844093[[#This Row],[Datum]],"tttt")</f>
        <v>Mittwoch</v>
      </c>
      <c r="L414" s="56">
        <f t="shared" ref="L414:L418" si="230">L413+1</f>
        <v>44462</v>
      </c>
      <c r="M414" s="32"/>
      <c r="N414" s="32"/>
      <c r="O414" s="32"/>
      <c r="P414" s="32"/>
      <c r="Q414" s="32"/>
      <c r="R414" s="51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4" s="81">
        <f>R414-I414</f>
        <v>0</v>
      </c>
      <c r="U414" s="81"/>
      <c r="W414" s="20" t="s">
        <v>20</v>
      </c>
      <c r="X414" s="27">
        <f>X413-X412</f>
        <v>0</v>
      </c>
      <c r="Y414" s="37"/>
      <c r="Z414" s="66">
        <f>Z404+X414</f>
        <v>0</v>
      </c>
    </row>
    <row r="415" spans="1:28" x14ac:dyDescent="0.3">
      <c r="B415" s="34" t="str">
        <f>TEXT(Tabelle12173030297208440[[#This Row],[Datum]],"tttt")</f>
        <v>Donnerstag</v>
      </c>
      <c r="C415" s="56">
        <f t="shared" si="229"/>
        <v>44463</v>
      </c>
      <c r="D415" s="31"/>
      <c r="E415" s="31"/>
      <c r="F415" s="31"/>
      <c r="G415" s="31"/>
      <c r="H415" s="31"/>
      <c r="I415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4" t="str">
        <f>TEXT(Tabelle1217303029720844093[[#This Row],[Datum]],"tttt")</f>
        <v>Donnerstag</v>
      </c>
      <c r="L415" s="56">
        <f t="shared" si="230"/>
        <v>44463</v>
      </c>
      <c r="M415" s="31"/>
      <c r="N415" s="31"/>
      <c r="O415" s="31"/>
      <c r="P415" s="31"/>
      <c r="Q415" s="31"/>
      <c r="R415" s="50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5" s="81">
        <f>R415-I415</f>
        <v>0</v>
      </c>
      <c r="U415" s="81"/>
      <c r="Y415" s="37"/>
    </row>
    <row r="416" spans="1:28" x14ac:dyDescent="0.3">
      <c r="B416" s="36" t="str">
        <f>TEXT(Tabelle12173030297208440[[#This Row],[Datum]],"tttt")</f>
        <v>Freitag</v>
      </c>
      <c r="C416" s="56">
        <f t="shared" si="229"/>
        <v>44464</v>
      </c>
      <c r="D416" s="32"/>
      <c r="E416" s="32"/>
      <c r="F416" s="32"/>
      <c r="G416" s="32"/>
      <c r="H416" s="32"/>
      <c r="I416" s="52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6" t="str">
        <f>TEXT(Tabelle1217303029720844093[[#This Row],[Datum]],"tttt")</f>
        <v>Freitag</v>
      </c>
      <c r="L416" s="56">
        <f t="shared" si="230"/>
        <v>44464</v>
      </c>
      <c r="M416" s="32"/>
      <c r="N416" s="32"/>
      <c r="O416" s="32"/>
      <c r="P416" s="32"/>
      <c r="Q416" s="32"/>
      <c r="R416" s="52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6" s="81">
        <f>R416-I416</f>
        <v>0</v>
      </c>
      <c r="U416" s="81"/>
      <c r="Y416" s="37"/>
    </row>
    <row r="417" spans="1:28" x14ac:dyDescent="0.3">
      <c r="B417" s="34" t="str">
        <f>TEXT(Tabelle12173030297208440[[#This Row],[Datum]],"tttt")</f>
        <v>Samstag</v>
      </c>
      <c r="C417" s="56">
        <f t="shared" si="229"/>
        <v>44465</v>
      </c>
      <c r="D417" s="31"/>
      <c r="E417" s="31"/>
      <c r="F417" s="31"/>
      <c r="G417" s="31"/>
      <c r="H417" s="31"/>
      <c r="I417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4" t="str">
        <f>TEXT(Tabelle1217303029720844093[[#This Row],[Datum]],"tttt")</f>
        <v>Samstag</v>
      </c>
      <c r="L417" s="56">
        <f t="shared" si="230"/>
        <v>44465</v>
      </c>
      <c r="M417" s="31"/>
      <c r="N417" s="31"/>
      <c r="O417" s="31"/>
      <c r="P417" s="31"/>
      <c r="Q417" s="31"/>
      <c r="R417" s="50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7" s="81">
        <f t="shared" ref="T417:T418" si="231">R417-I417</f>
        <v>0</v>
      </c>
      <c r="U417" s="81"/>
      <c r="Y417" s="37"/>
    </row>
    <row r="418" spans="1:28" s="40" customFormat="1" x14ac:dyDescent="0.3">
      <c r="B418" s="36" t="str">
        <f>TEXT(Tabelle12173030297208440[[#This Row],[Datum]],"tttt")</f>
        <v>Sonntag</v>
      </c>
      <c r="C418" s="57">
        <f t="shared" si="229"/>
        <v>44466</v>
      </c>
      <c r="D418" s="32"/>
      <c r="E418" s="32"/>
      <c r="F418" s="32"/>
      <c r="G418" s="32"/>
      <c r="H418" s="32"/>
      <c r="I418" s="53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6" t="str">
        <f>TEXT(Tabelle1217303029720844093[[#This Row],[Datum]],"tttt")</f>
        <v>Sonntag</v>
      </c>
      <c r="L418" s="57">
        <f t="shared" si="230"/>
        <v>44466</v>
      </c>
      <c r="M418" s="32"/>
      <c r="N418" s="32"/>
      <c r="O418" s="32"/>
      <c r="P418" s="32"/>
      <c r="Q418" s="32"/>
      <c r="R418" s="53" t="str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0:00</v>
      </c>
      <c r="T418" s="81">
        <f t="shared" si="231"/>
        <v>0</v>
      </c>
      <c r="U418" s="81"/>
      <c r="V418" s="42"/>
      <c r="W418" s="42"/>
      <c r="X418" s="45"/>
      <c r="Y418" s="37"/>
      <c r="AB418" s="41"/>
    </row>
    <row r="419" spans="1:28" x14ac:dyDescent="0.3">
      <c r="B419" s="5"/>
      <c r="C419" s="3"/>
      <c r="D419" s="1"/>
      <c r="E419" s="1"/>
      <c r="F419" s="1"/>
      <c r="G419" s="1">
        <f t="shared" ref="G419:H419" si="232">SUM(G412:G418)</f>
        <v>0</v>
      </c>
      <c r="H419" s="1">
        <f t="shared" si="232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233">SUM(P412:P418)</f>
        <v>0</v>
      </c>
      <c r="Q419" s="1">
        <f t="shared" si="233"/>
        <v>0</v>
      </c>
      <c r="R419" s="1">
        <f>SUBTOTAL(109,R412:R418)</f>
        <v>0</v>
      </c>
      <c r="Y419" s="37"/>
    </row>
    <row r="420" spans="1:28" x14ac:dyDescent="0.3">
      <c r="A420" s="37"/>
      <c r="B420" s="38"/>
      <c r="C420" s="37"/>
      <c r="D420" s="37"/>
      <c r="E420" s="37"/>
      <c r="F420" s="37"/>
      <c r="G420" s="37"/>
      <c r="H420" s="37"/>
      <c r="I420" s="38"/>
      <c r="J420" s="37"/>
      <c r="K420" s="38"/>
      <c r="L420" s="37"/>
      <c r="M420" s="37"/>
      <c r="N420" s="37"/>
      <c r="O420" s="37"/>
      <c r="P420" s="37"/>
      <c r="Q420" s="37"/>
      <c r="R420" s="38"/>
      <c r="S420" s="37"/>
      <c r="T420" s="82"/>
      <c r="U420" s="82"/>
      <c r="V420" s="37"/>
      <c r="W420" s="37"/>
      <c r="X420" s="39"/>
      <c r="Y420" s="37"/>
    </row>
    <row r="421" spans="1:28" x14ac:dyDescent="0.3">
      <c r="A421" s="44" t="s">
        <v>33</v>
      </c>
      <c r="B421" s="6" t="s">
        <v>2</v>
      </c>
      <c r="C421" s="7" t="s">
        <v>3</v>
      </c>
      <c r="D421" s="4" t="s">
        <v>4</v>
      </c>
      <c r="E421" s="4" t="s">
        <v>5</v>
      </c>
      <c r="F421" s="4" t="s">
        <v>6</v>
      </c>
      <c r="G421" s="4" t="s">
        <v>7</v>
      </c>
      <c r="H421" s="4" t="s">
        <v>8</v>
      </c>
      <c r="I421" s="4" t="s">
        <v>9</v>
      </c>
      <c r="J421" s="44" t="s">
        <v>33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81" t="s">
        <v>11</v>
      </c>
      <c r="U421" s="81"/>
      <c r="W421" s="13" t="s">
        <v>21</v>
      </c>
      <c r="X421" s="15" t="s">
        <v>17</v>
      </c>
      <c r="Y421" s="37"/>
    </row>
    <row r="422" spans="1:28" x14ac:dyDescent="0.3">
      <c r="A422" s="44">
        <f>A412+1</f>
        <v>40</v>
      </c>
      <c r="B422" s="34" t="str">
        <f>TEXT(Tabelle1217303029720841[[#This Row],[Datum]],"tttt")</f>
        <v>Montag</v>
      </c>
      <c r="C422" s="58">
        <f>C418+1</f>
        <v>44467</v>
      </c>
      <c r="D422" s="31"/>
      <c r="E422" s="31"/>
      <c r="F422" s="31"/>
      <c r="G422" s="31"/>
      <c r="H422" s="31"/>
      <c r="I422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4">
        <f>J412+1</f>
        <v>40</v>
      </c>
      <c r="K422" s="34" t="str">
        <f>TEXT(Tabelle121730302972084194[[#This Row],[Datum]],"tttt")</f>
        <v>Montag</v>
      </c>
      <c r="L422" s="58">
        <f>L418+1</f>
        <v>44467</v>
      </c>
      <c r="M422" s="31"/>
      <c r="N422" s="31"/>
      <c r="O422" s="31"/>
      <c r="P422" s="31"/>
      <c r="Q422" s="31"/>
      <c r="R422" s="49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2" s="81">
        <f t="shared" ref="T422:T423" si="234">R422-I422</f>
        <v>0</v>
      </c>
      <c r="U422" s="81"/>
      <c r="W422" s="17" t="s">
        <v>18</v>
      </c>
      <c r="X422" s="26">
        <f>I429</f>
        <v>0</v>
      </c>
      <c r="Y422" s="37"/>
    </row>
    <row r="423" spans="1:28" x14ac:dyDescent="0.3">
      <c r="B423" s="34" t="str">
        <f>TEXT(Tabelle1217303029720841[[#This Row],[Datum]],"tttt")</f>
        <v>Dienstag</v>
      </c>
      <c r="C423" s="56">
        <f>C422+1</f>
        <v>44468</v>
      </c>
      <c r="D423" s="31"/>
      <c r="E423" s="31"/>
      <c r="F423" s="31"/>
      <c r="G423" s="31"/>
      <c r="H423" s="31"/>
      <c r="I423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4" t="str">
        <f>TEXT(Tabelle121730302972084194[[#This Row],[Datum]],"tttt")</f>
        <v>Dienstag</v>
      </c>
      <c r="L423" s="56">
        <f>L422+1</f>
        <v>44468</v>
      </c>
      <c r="M423" s="31"/>
      <c r="N423" s="31"/>
      <c r="O423" s="31"/>
      <c r="P423" s="31"/>
      <c r="Q423" s="31"/>
      <c r="R423" s="50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3" s="81">
        <f t="shared" si="234"/>
        <v>0</v>
      </c>
      <c r="U423" s="81"/>
      <c r="W423" s="17" t="s">
        <v>19</v>
      </c>
      <c r="X423" s="26">
        <f>R429</f>
        <v>0</v>
      </c>
      <c r="Y423" s="37"/>
    </row>
    <row r="424" spans="1:28" x14ac:dyDescent="0.3">
      <c r="B424" s="35" t="str">
        <f>TEXT(Tabelle1217303029720841[[#This Row],[Datum]],"tttt")</f>
        <v>Mittwoch</v>
      </c>
      <c r="C424" s="56">
        <f t="shared" ref="C424:C428" si="235">C423+1</f>
        <v>44469</v>
      </c>
      <c r="D424" s="32"/>
      <c r="E424" s="32"/>
      <c r="F424" s="32"/>
      <c r="G424" s="32"/>
      <c r="H424" s="32"/>
      <c r="I424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5" t="str">
        <f>TEXT(Tabelle121730302972084194[[#This Row],[Datum]],"tttt")</f>
        <v>Mittwoch</v>
      </c>
      <c r="L424" s="56">
        <f t="shared" ref="L424:L428" si="236">L423+1</f>
        <v>44469</v>
      </c>
      <c r="M424" s="32"/>
      <c r="N424" s="32"/>
      <c r="O424" s="32"/>
      <c r="P424" s="32"/>
      <c r="Q424" s="32"/>
      <c r="R424" s="51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4" s="81">
        <f>R424-I424</f>
        <v>0</v>
      </c>
      <c r="U424" s="81"/>
      <c r="W424" s="20" t="s">
        <v>20</v>
      </c>
      <c r="X424" s="27">
        <f>X423-X422</f>
        <v>0</v>
      </c>
      <c r="Y424" s="37"/>
      <c r="Z424" s="66">
        <f>Z414+X424</f>
        <v>0</v>
      </c>
    </row>
    <row r="425" spans="1:28" x14ac:dyDescent="0.3">
      <c r="B425" s="34" t="str">
        <f>TEXT(Tabelle1217303029720841[[#This Row],[Datum]],"tttt")</f>
        <v>Donnerstag</v>
      </c>
      <c r="C425" s="56">
        <f t="shared" si="235"/>
        <v>44470</v>
      </c>
      <c r="D425" s="31"/>
      <c r="E425" s="31"/>
      <c r="F425" s="31"/>
      <c r="G425" s="31"/>
      <c r="H425" s="31"/>
      <c r="I425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4" t="str">
        <f>TEXT(Tabelle121730302972084194[[#This Row],[Datum]],"tttt")</f>
        <v>Donnerstag</v>
      </c>
      <c r="L425" s="56">
        <f t="shared" si="236"/>
        <v>44470</v>
      </c>
      <c r="M425" s="31"/>
      <c r="N425" s="31"/>
      <c r="O425" s="31"/>
      <c r="P425" s="31"/>
      <c r="Q425" s="31"/>
      <c r="R425" s="50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5" s="81">
        <f>R425-I425</f>
        <v>0</v>
      </c>
      <c r="U425" s="81"/>
      <c r="Y425" s="37"/>
    </row>
    <row r="426" spans="1:28" x14ac:dyDescent="0.3">
      <c r="B426" s="36" t="str">
        <f>TEXT(Tabelle1217303029720841[[#This Row],[Datum]],"tttt")</f>
        <v>Freitag</v>
      </c>
      <c r="C426" s="56">
        <f t="shared" si="235"/>
        <v>44471</v>
      </c>
      <c r="D426" s="32"/>
      <c r="E426" s="32"/>
      <c r="F426" s="32"/>
      <c r="G426" s="32"/>
      <c r="H426" s="32"/>
      <c r="I426" s="52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6" t="str">
        <f>TEXT(Tabelle121730302972084194[[#This Row],[Datum]],"tttt")</f>
        <v>Freitag</v>
      </c>
      <c r="L426" s="56">
        <f t="shared" si="236"/>
        <v>44471</v>
      </c>
      <c r="M426" s="32"/>
      <c r="N426" s="32"/>
      <c r="O426" s="32"/>
      <c r="P426" s="32"/>
      <c r="Q426" s="32"/>
      <c r="R426" s="52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6" s="81">
        <f>R426-I426</f>
        <v>0</v>
      </c>
      <c r="U426" s="81"/>
      <c r="Y426" s="37"/>
    </row>
    <row r="427" spans="1:28" x14ac:dyDescent="0.3">
      <c r="B427" s="34" t="str">
        <f>TEXT(Tabelle1217303029720841[[#This Row],[Datum]],"tttt")</f>
        <v>Samstag</v>
      </c>
      <c r="C427" s="56">
        <f t="shared" si="235"/>
        <v>44472</v>
      </c>
      <c r="D427" s="31"/>
      <c r="E427" s="31"/>
      <c r="F427" s="31"/>
      <c r="G427" s="31"/>
      <c r="H427" s="31"/>
      <c r="I427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4" t="str">
        <f>TEXT(Tabelle121730302972084194[[#This Row],[Datum]],"tttt")</f>
        <v>Samstag</v>
      </c>
      <c r="L427" s="56">
        <f t="shared" si="236"/>
        <v>44472</v>
      </c>
      <c r="M427" s="31"/>
      <c r="N427" s="31"/>
      <c r="O427" s="31"/>
      <c r="P427" s="31"/>
      <c r="Q427" s="31"/>
      <c r="R427" s="50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7" s="81">
        <f t="shared" ref="T427:T428" si="237">R427-I427</f>
        <v>0</v>
      </c>
      <c r="U427" s="81"/>
      <c r="Y427" s="37"/>
    </row>
    <row r="428" spans="1:28" s="40" customFormat="1" x14ac:dyDescent="0.3">
      <c r="B428" s="36" t="str">
        <f>TEXT(Tabelle1217303029720841[[#This Row],[Datum]],"tttt")</f>
        <v>Sonntag</v>
      </c>
      <c r="C428" s="57">
        <f t="shared" si="235"/>
        <v>44473</v>
      </c>
      <c r="D428" s="32"/>
      <c r="E428" s="32"/>
      <c r="F428" s="32"/>
      <c r="G428" s="32"/>
      <c r="H428" s="32"/>
      <c r="I428" s="53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6" t="str">
        <f>TEXT(Tabelle121730302972084194[[#This Row],[Datum]],"tttt")</f>
        <v>Sonntag</v>
      </c>
      <c r="L428" s="57">
        <f t="shared" si="236"/>
        <v>44473</v>
      </c>
      <c r="M428" s="32"/>
      <c r="N428" s="32"/>
      <c r="O428" s="32"/>
      <c r="P428" s="32"/>
      <c r="Q428" s="32"/>
      <c r="R428" s="53" t="str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0:00</v>
      </c>
      <c r="T428" s="81">
        <f t="shared" si="237"/>
        <v>0</v>
      </c>
      <c r="U428" s="81"/>
      <c r="V428" s="42"/>
      <c r="W428" s="42"/>
      <c r="X428" s="45"/>
      <c r="Y428" s="37"/>
      <c r="AB428" s="41"/>
    </row>
    <row r="429" spans="1:28" x14ac:dyDescent="0.3">
      <c r="B429" s="5"/>
      <c r="C429" s="3"/>
      <c r="D429" s="1"/>
      <c r="E429" s="1"/>
      <c r="F429" s="1"/>
      <c r="G429" s="1">
        <f t="shared" ref="G429:H429" si="238">SUM(G422:G428)</f>
        <v>0</v>
      </c>
      <c r="H429" s="1">
        <f t="shared" si="238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239">SUM(P422:P428)</f>
        <v>0</v>
      </c>
      <c r="Q429" s="1">
        <f t="shared" si="239"/>
        <v>0</v>
      </c>
      <c r="R429" s="1">
        <f>SUBTOTAL(109,R422:R428)</f>
        <v>0</v>
      </c>
      <c r="Y429" s="37"/>
    </row>
    <row r="430" spans="1:28" x14ac:dyDescent="0.3">
      <c r="A430" s="37"/>
      <c r="B430" s="38"/>
      <c r="C430" s="37"/>
      <c r="D430" s="37"/>
      <c r="E430" s="37"/>
      <c r="F430" s="37"/>
      <c r="G430" s="37"/>
      <c r="H430" s="37"/>
      <c r="I430" s="38"/>
      <c r="J430" s="37"/>
      <c r="K430" s="38"/>
      <c r="L430" s="37"/>
      <c r="M430" s="37"/>
      <c r="N430" s="37"/>
      <c r="O430" s="37"/>
      <c r="P430" s="37"/>
      <c r="Q430" s="37"/>
      <c r="R430" s="38"/>
      <c r="S430" s="37"/>
      <c r="T430" s="82"/>
      <c r="U430" s="82"/>
      <c r="V430" s="37"/>
      <c r="W430" s="37"/>
      <c r="X430" s="39"/>
      <c r="Y430" s="37"/>
    </row>
    <row r="431" spans="1:28" x14ac:dyDescent="0.3">
      <c r="A431" s="44" t="s">
        <v>33</v>
      </c>
      <c r="B431" s="6" t="s">
        <v>2</v>
      </c>
      <c r="C431" s="7" t="s">
        <v>3</v>
      </c>
      <c r="D431" s="4" t="s">
        <v>4</v>
      </c>
      <c r="E431" s="4" t="s">
        <v>5</v>
      </c>
      <c r="F431" s="4" t="s">
        <v>6</v>
      </c>
      <c r="G431" s="4" t="s">
        <v>7</v>
      </c>
      <c r="H431" s="4" t="s">
        <v>8</v>
      </c>
      <c r="I431" s="4" t="s">
        <v>9</v>
      </c>
      <c r="J431" s="44" t="s">
        <v>33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81" t="s">
        <v>11</v>
      </c>
      <c r="U431" s="81"/>
      <c r="W431" s="13" t="s">
        <v>21</v>
      </c>
      <c r="X431" s="15" t="s">
        <v>17</v>
      </c>
      <c r="Y431" s="37"/>
    </row>
    <row r="432" spans="1:28" x14ac:dyDescent="0.3">
      <c r="A432" s="44">
        <f>A422+1</f>
        <v>41</v>
      </c>
      <c r="B432" s="34" t="str">
        <f>TEXT(Tabelle12173030297208342[[#This Row],[Datum]],"tttt")</f>
        <v>Montag</v>
      </c>
      <c r="C432" s="58">
        <f>C428+1</f>
        <v>44474</v>
      </c>
      <c r="D432" s="31"/>
      <c r="E432" s="31"/>
      <c r="F432" s="31"/>
      <c r="G432" s="31"/>
      <c r="H432" s="31"/>
      <c r="I432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4">
        <f>J422+1</f>
        <v>41</v>
      </c>
      <c r="K432" s="34" t="str">
        <f>TEXT(Tabelle1217303029720834295[[#This Row],[Datum]],"tttt")</f>
        <v>Montag</v>
      </c>
      <c r="L432" s="58">
        <f>L428+1</f>
        <v>44474</v>
      </c>
      <c r="M432" s="31"/>
      <c r="N432" s="31"/>
      <c r="O432" s="31"/>
      <c r="P432" s="31"/>
      <c r="Q432" s="31"/>
      <c r="R432" s="49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2" s="81">
        <f t="shared" ref="T432:T433" si="240">R432-I432</f>
        <v>0</v>
      </c>
      <c r="U432" s="81"/>
      <c r="W432" s="17" t="s">
        <v>18</v>
      </c>
      <c r="X432" s="26">
        <f>I439</f>
        <v>0</v>
      </c>
      <c r="Y432" s="37"/>
    </row>
    <row r="433" spans="1:28" x14ac:dyDescent="0.3">
      <c r="B433" s="34" t="str">
        <f>TEXT(Tabelle12173030297208342[[#This Row],[Datum]],"tttt")</f>
        <v>Dienstag</v>
      </c>
      <c r="C433" s="56">
        <f>C432+1</f>
        <v>44475</v>
      </c>
      <c r="D433" s="31"/>
      <c r="E433" s="31"/>
      <c r="F433" s="31"/>
      <c r="G433" s="31"/>
      <c r="H433" s="31"/>
      <c r="I433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4" t="str">
        <f>TEXT(Tabelle1217303029720834295[[#This Row],[Datum]],"tttt")</f>
        <v>Dienstag</v>
      </c>
      <c r="L433" s="56">
        <f>L432+1</f>
        <v>44475</v>
      </c>
      <c r="M433" s="31"/>
      <c r="N433" s="31"/>
      <c r="O433" s="31"/>
      <c r="P433" s="31"/>
      <c r="Q433" s="31"/>
      <c r="R433" s="50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3" s="81">
        <f t="shared" si="240"/>
        <v>0</v>
      </c>
      <c r="U433" s="81"/>
      <c r="W433" s="17" t="s">
        <v>19</v>
      </c>
      <c r="X433" s="26">
        <f>R439</f>
        <v>0</v>
      </c>
      <c r="Y433" s="37"/>
    </row>
    <row r="434" spans="1:28" x14ac:dyDescent="0.3">
      <c r="B434" s="35" t="str">
        <f>TEXT(Tabelle12173030297208342[[#This Row],[Datum]],"tttt")</f>
        <v>Mittwoch</v>
      </c>
      <c r="C434" s="56">
        <f t="shared" ref="C434:C438" si="241">C433+1</f>
        <v>44476</v>
      </c>
      <c r="D434" s="32"/>
      <c r="E434" s="32"/>
      <c r="F434" s="32"/>
      <c r="G434" s="32"/>
      <c r="H434" s="32"/>
      <c r="I434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5" t="str">
        <f>TEXT(Tabelle1217303029720834295[[#This Row],[Datum]],"tttt")</f>
        <v>Mittwoch</v>
      </c>
      <c r="L434" s="56">
        <f t="shared" ref="L434:L438" si="242">L433+1</f>
        <v>44476</v>
      </c>
      <c r="M434" s="32"/>
      <c r="N434" s="32"/>
      <c r="O434" s="32"/>
      <c r="P434" s="32"/>
      <c r="Q434" s="32"/>
      <c r="R434" s="51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4" s="81">
        <f>R434-I434</f>
        <v>0</v>
      </c>
      <c r="U434" s="81"/>
      <c r="W434" s="20" t="s">
        <v>20</v>
      </c>
      <c r="X434" s="27">
        <f>X433-X432</f>
        <v>0</v>
      </c>
      <c r="Y434" s="37"/>
      <c r="Z434" s="66">
        <f>Z424+X434</f>
        <v>0</v>
      </c>
    </row>
    <row r="435" spans="1:28" x14ac:dyDescent="0.3">
      <c r="B435" s="34" t="str">
        <f>TEXT(Tabelle12173030297208342[[#This Row],[Datum]],"tttt")</f>
        <v>Donnerstag</v>
      </c>
      <c r="C435" s="56">
        <f t="shared" si="241"/>
        <v>44477</v>
      </c>
      <c r="D435" s="31"/>
      <c r="E435" s="31"/>
      <c r="F435" s="31"/>
      <c r="G435" s="31"/>
      <c r="H435" s="31"/>
      <c r="I435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4" t="str">
        <f>TEXT(Tabelle1217303029720834295[[#This Row],[Datum]],"tttt")</f>
        <v>Donnerstag</v>
      </c>
      <c r="L435" s="56">
        <f t="shared" si="242"/>
        <v>44477</v>
      </c>
      <c r="M435" s="31"/>
      <c r="N435" s="31"/>
      <c r="O435" s="31"/>
      <c r="P435" s="31"/>
      <c r="Q435" s="31"/>
      <c r="R435" s="50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5" s="81">
        <f>R435-I435</f>
        <v>0</v>
      </c>
      <c r="U435" s="81"/>
      <c r="Y435" s="37"/>
    </row>
    <row r="436" spans="1:28" x14ac:dyDescent="0.3">
      <c r="B436" s="36" t="str">
        <f>TEXT(Tabelle12173030297208342[[#This Row],[Datum]],"tttt")</f>
        <v>Freitag</v>
      </c>
      <c r="C436" s="56">
        <f t="shared" si="241"/>
        <v>44478</v>
      </c>
      <c r="D436" s="32"/>
      <c r="E436" s="32"/>
      <c r="F436" s="32"/>
      <c r="G436" s="32"/>
      <c r="H436" s="32"/>
      <c r="I436" s="52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6" t="str">
        <f>TEXT(Tabelle1217303029720834295[[#This Row],[Datum]],"tttt")</f>
        <v>Freitag</v>
      </c>
      <c r="L436" s="56">
        <f t="shared" si="242"/>
        <v>44478</v>
      </c>
      <c r="M436" s="32"/>
      <c r="N436" s="32"/>
      <c r="O436" s="32"/>
      <c r="P436" s="32"/>
      <c r="Q436" s="32"/>
      <c r="R436" s="52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6" s="81">
        <f>R436-I436</f>
        <v>0</v>
      </c>
      <c r="U436" s="81"/>
      <c r="Y436" s="37"/>
    </row>
    <row r="437" spans="1:28" x14ac:dyDescent="0.3">
      <c r="B437" s="34" t="str">
        <f>TEXT(Tabelle12173030297208342[[#This Row],[Datum]],"tttt")</f>
        <v>Samstag</v>
      </c>
      <c r="C437" s="56">
        <f t="shared" si="241"/>
        <v>44479</v>
      </c>
      <c r="D437" s="31"/>
      <c r="E437" s="31"/>
      <c r="F437" s="31"/>
      <c r="G437" s="31"/>
      <c r="H437" s="31"/>
      <c r="I437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4" t="str">
        <f>TEXT(Tabelle1217303029720834295[[#This Row],[Datum]],"tttt")</f>
        <v>Samstag</v>
      </c>
      <c r="L437" s="56">
        <f t="shared" si="242"/>
        <v>44479</v>
      </c>
      <c r="M437" s="31"/>
      <c r="N437" s="31"/>
      <c r="O437" s="31"/>
      <c r="P437" s="31"/>
      <c r="Q437" s="31"/>
      <c r="R437" s="50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7" s="81">
        <f t="shared" ref="T437:T438" si="243">R437-I437</f>
        <v>0</v>
      </c>
      <c r="U437" s="81"/>
      <c r="Y437" s="37"/>
    </row>
    <row r="438" spans="1:28" s="40" customFormat="1" x14ac:dyDescent="0.3">
      <c r="B438" s="36" t="str">
        <f>TEXT(Tabelle12173030297208342[[#This Row],[Datum]],"tttt")</f>
        <v>Sonntag</v>
      </c>
      <c r="C438" s="57">
        <f t="shared" si="241"/>
        <v>44480</v>
      </c>
      <c r="D438" s="32"/>
      <c r="E438" s="32"/>
      <c r="F438" s="32"/>
      <c r="G438" s="32"/>
      <c r="H438" s="32"/>
      <c r="I438" s="53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6" t="str">
        <f>TEXT(Tabelle1217303029720834295[[#This Row],[Datum]],"tttt")</f>
        <v>Sonntag</v>
      </c>
      <c r="L438" s="57">
        <f t="shared" si="242"/>
        <v>44480</v>
      </c>
      <c r="M438" s="32"/>
      <c r="N438" s="32"/>
      <c r="O438" s="32"/>
      <c r="P438" s="32"/>
      <c r="Q438" s="32"/>
      <c r="R438" s="53" t="str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0:00</v>
      </c>
      <c r="T438" s="81">
        <f t="shared" si="243"/>
        <v>0</v>
      </c>
      <c r="U438" s="81"/>
      <c r="V438" s="42"/>
      <c r="W438" s="42"/>
      <c r="X438" s="45"/>
      <c r="Y438" s="37"/>
      <c r="AB438" s="41"/>
    </row>
    <row r="439" spans="1:28" x14ac:dyDescent="0.3">
      <c r="B439" s="5"/>
      <c r="C439" s="3"/>
      <c r="D439" s="1"/>
      <c r="E439" s="1"/>
      <c r="F439" s="1"/>
      <c r="G439" s="1">
        <f t="shared" ref="G439:H439" si="244">SUM(G432:G438)</f>
        <v>0</v>
      </c>
      <c r="H439" s="1">
        <f t="shared" si="24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245">SUM(P432:P438)</f>
        <v>0</v>
      </c>
      <c r="Q439" s="1">
        <f t="shared" si="245"/>
        <v>0</v>
      </c>
      <c r="R439" s="1">
        <f>SUBTOTAL(109,R432:R438)</f>
        <v>0</v>
      </c>
      <c r="Y439" s="37"/>
    </row>
    <row r="440" spans="1:28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82"/>
      <c r="U440" s="82"/>
      <c r="V440" s="37"/>
      <c r="W440" s="37"/>
      <c r="X440" s="39"/>
      <c r="Y440" s="37"/>
    </row>
    <row r="441" spans="1:28" x14ac:dyDescent="0.3">
      <c r="A441" s="44" t="s">
        <v>33</v>
      </c>
      <c r="B441" s="6" t="s">
        <v>2</v>
      </c>
      <c r="C441" s="7" t="s">
        <v>3</v>
      </c>
      <c r="D441" s="4" t="s">
        <v>4</v>
      </c>
      <c r="E441" s="4" t="s">
        <v>5</v>
      </c>
      <c r="F441" s="4" t="s">
        <v>6</v>
      </c>
      <c r="G441" s="4" t="s">
        <v>7</v>
      </c>
      <c r="H441" s="4" t="s">
        <v>8</v>
      </c>
      <c r="I441" s="4" t="s">
        <v>9</v>
      </c>
      <c r="J441" s="44" t="s">
        <v>33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81" t="s">
        <v>11</v>
      </c>
      <c r="U441" s="81"/>
      <c r="W441" s="13" t="s">
        <v>21</v>
      </c>
      <c r="X441" s="15" t="s">
        <v>17</v>
      </c>
      <c r="Y441" s="37"/>
    </row>
    <row r="442" spans="1:28" x14ac:dyDescent="0.3">
      <c r="A442" s="44">
        <f>A432+1</f>
        <v>42</v>
      </c>
      <c r="B442" s="34" t="str">
        <f>TEXT(Tabelle12173030297208443[[#This Row],[Datum]],"tttt")</f>
        <v>Montag</v>
      </c>
      <c r="C442" s="58">
        <f>C438+1</f>
        <v>44481</v>
      </c>
      <c r="D442" s="31"/>
      <c r="E442" s="31"/>
      <c r="F442" s="31"/>
      <c r="G442" s="31"/>
      <c r="H442" s="31"/>
      <c r="I442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4">
        <f>J432+1</f>
        <v>42</v>
      </c>
      <c r="K442" s="34" t="str">
        <f>TEXT(Tabelle1217303029720844396[[#This Row],[Datum]],"tttt")</f>
        <v>Montag</v>
      </c>
      <c r="L442" s="58">
        <f>L438+1</f>
        <v>44481</v>
      </c>
      <c r="M442" s="31"/>
      <c r="N442" s="31"/>
      <c r="O442" s="31"/>
      <c r="P442" s="31"/>
      <c r="Q442" s="31"/>
      <c r="R442" s="49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2" s="81">
        <f t="shared" ref="T442:T443" si="246">R442-I442</f>
        <v>0</v>
      </c>
      <c r="U442" s="81"/>
      <c r="W442" s="17" t="s">
        <v>18</v>
      </c>
      <c r="X442" s="26">
        <f>I449</f>
        <v>0</v>
      </c>
      <c r="Y442" s="37"/>
    </row>
    <row r="443" spans="1:28" x14ac:dyDescent="0.3">
      <c r="B443" s="34" t="str">
        <f>TEXT(Tabelle12173030297208443[[#This Row],[Datum]],"tttt")</f>
        <v>Dienstag</v>
      </c>
      <c r="C443" s="56">
        <f>C442+1</f>
        <v>44482</v>
      </c>
      <c r="D443" s="31"/>
      <c r="E443" s="31"/>
      <c r="F443" s="31"/>
      <c r="G443" s="31"/>
      <c r="H443" s="31"/>
      <c r="I443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4" t="str">
        <f>TEXT(Tabelle1217303029720844396[[#This Row],[Datum]],"tttt")</f>
        <v>Dienstag</v>
      </c>
      <c r="L443" s="56">
        <f>L442+1</f>
        <v>44482</v>
      </c>
      <c r="M443" s="31"/>
      <c r="N443" s="31"/>
      <c r="O443" s="31"/>
      <c r="P443" s="31"/>
      <c r="Q443" s="31"/>
      <c r="R443" s="50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3" s="81">
        <f t="shared" si="246"/>
        <v>0</v>
      </c>
      <c r="U443" s="81"/>
      <c r="W443" s="17" t="s">
        <v>19</v>
      </c>
      <c r="X443" s="26">
        <f>R449</f>
        <v>0</v>
      </c>
      <c r="Y443" s="37"/>
    </row>
    <row r="444" spans="1:28" x14ac:dyDescent="0.3">
      <c r="B444" s="35" t="str">
        <f>TEXT(Tabelle12173030297208443[[#This Row],[Datum]],"tttt")</f>
        <v>Mittwoch</v>
      </c>
      <c r="C444" s="56">
        <f t="shared" ref="C444:C448" si="247">C443+1</f>
        <v>44483</v>
      </c>
      <c r="D444" s="32"/>
      <c r="E444" s="32"/>
      <c r="F444" s="32"/>
      <c r="G444" s="32"/>
      <c r="H444" s="32"/>
      <c r="I444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5" t="str">
        <f>TEXT(Tabelle1217303029720844396[[#This Row],[Datum]],"tttt")</f>
        <v>Mittwoch</v>
      </c>
      <c r="L444" s="56">
        <f t="shared" ref="L444:L448" si="248">L443+1</f>
        <v>44483</v>
      </c>
      <c r="M444" s="32"/>
      <c r="N444" s="32"/>
      <c r="O444" s="32"/>
      <c r="P444" s="32"/>
      <c r="Q444" s="32"/>
      <c r="R444" s="51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4" s="81">
        <f>R444-I444</f>
        <v>0</v>
      </c>
      <c r="U444" s="81"/>
      <c r="W444" s="20" t="s">
        <v>20</v>
      </c>
      <c r="X444" s="27">
        <f>X443-X442</f>
        <v>0</v>
      </c>
      <c r="Y444" s="37"/>
      <c r="Z444" s="66">
        <f>Z434+X444</f>
        <v>0</v>
      </c>
    </row>
    <row r="445" spans="1:28" x14ac:dyDescent="0.3">
      <c r="B445" s="34" t="str">
        <f>TEXT(Tabelle12173030297208443[[#This Row],[Datum]],"tttt")</f>
        <v>Donnerstag</v>
      </c>
      <c r="C445" s="56">
        <f t="shared" si="247"/>
        <v>44484</v>
      </c>
      <c r="D445" s="31"/>
      <c r="E445" s="31"/>
      <c r="F445" s="31"/>
      <c r="G445" s="31"/>
      <c r="H445" s="31"/>
      <c r="I445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4" t="str">
        <f>TEXT(Tabelle1217303029720844396[[#This Row],[Datum]],"tttt")</f>
        <v>Donnerstag</v>
      </c>
      <c r="L445" s="56">
        <f t="shared" si="248"/>
        <v>44484</v>
      </c>
      <c r="M445" s="31"/>
      <c r="N445" s="31"/>
      <c r="O445" s="31"/>
      <c r="P445" s="31"/>
      <c r="Q445" s="31"/>
      <c r="R445" s="50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5" s="81">
        <f>R445-I445</f>
        <v>0</v>
      </c>
      <c r="U445" s="81"/>
      <c r="Y445" s="37"/>
    </row>
    <row r="446" spans="1:28" x14ac:dyDescent="0.3">
      <c r="B446" s="36" t="str">
        <f>TEXT(Tabelle12173030297208443[[#This Row],[Datum]],"tttt")</f>
        <v>Freitag</v>
      </c>
      <c r="C446" s="56">
        <f t="shared" si="247"/>
        <v>44485</v>
      </c>
      <c r="D446" s="32"/>
      <c r="E446" s="32"/>
      <c r="F446" s="32"/>
      <c r="G446" s="32"/>
      <c r="H446" s="32"/>
      <c r="I446" s="52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6" t="str">
        <f>TEXT(Tabelle1217303029720844396[[#This Row],[Datum]],"tttt")</f>
        <v>Freitag</v>
      </c>
      <c r="L446" s="56">
        <f t="shared" si="248"/>
        <v>44485</v>
      </c>
      <c r="M446" s="32"/>
      <c r="N446" s="32"/>
      <c r="O446" s="32"/>
      <c r="P446" s="32"/>
      <c r="Q446" s="32"/>
      <c r="R446" s="52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6" s="81">
        <f>R446-I446</f>
        <v>0</v>
      </c>
      <c r="U446" s="81"/>
      <c r="Y446" s="37"/>
    </row>
    <row r="447" spans="1:28" x14ac:dyDescent="0.3">
      <c r="B447" s="34" t="str">
        <f>TEXT(Tabelle12173030297208443[[#This Row],[Datum]],"tttt")</f>
        <v>Samstag</v>
      </c>
      <c r="C447" s="56">
        <f t="shared" si="247"/>
        <v>44486</v>
      </c>
      <c r="D447" s="31"/>
      <c r="E447" s="31"/>
      <c r="F447" s="31"/>
      <c r="G447" s="31"/>
      <c r="H447" s="31"/>
      <c r="I447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4" t="str">
        <f>TEXT(Tabelle1217303029720844396[[#This Row],[Datum]],"tttt")</f>
        <v>Samstag</v>
      </c>
      <c r="L447" s="56">
        <f t="shared" si="248"/>
        <v>44486</v>
      </c>
      <c r="M447" s="31"/>
      <c r="N447" s="31"/>
      <c r="O447" s="31"/>
      <c r="P447" s="31"/>
      <c r="Q447" s="31"/>
      <c r="R447" s="50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7" s="81">
        <f t="shared" ref="T447:T448" si="249">R447-I447</f>
        <v>0</v>
      </c>
      <c r="U447" s="81"/>
      <c r="Y447" s="37"/>
    </row>
    <row r="448" spans="1:28" s="40" customFormat="1" x14ac:dyDescent="0.3">
      <c r="B448" s="36" t="str">
        <f>TEXT(Tabelle12173030297208443[[#This Row],[Datum]],"tttt")</f>
        <v>Sonntag</v>
      </c>
      <c r="C448" s="57">
        <f t="shared" si="247"/>
        <v>44487</v>
      </c>
      <c r="D448" s="32"/>
      <c r="E448" s="32"/>
      <c r="F448" s="32"/>
      <c r="G448" s="32"/>
      <c r="H448" s="32"/>
      <c r="I448" s="53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6" t="str">
        <f>TEXT(Tabelle1217303029720844396[[#This Row],[Datum]],"tttt")</f>
        <v>Sonntag</v>
      </c>
      <c r="L448" s="57">
        <f t="shared" si="248"/>
        <v>44487</v>
      </c>
      <c r="M448" s="32"/>
      <c r="N448" s="32"/>
      <c r="O448" s="32"/>
      <c r="P448" s="32"/>
      <c r="Q448" s="32"/>
      <c r="R448" s="53" t="str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0:00</v>
      </c>
      <c r="T448" s="81">
        <f t="shared" si="249"/>
        <v>0</v>
      </c>
      <c r="U448" s="81"/>
      <c r="V448" s="42"/>
      <c r="W448" s="42"/>
      <c r="X448" s="45"/>
      <c r="Y448" s="37"/>
      <c r="AB448" s="41"/>
    </row>
    <row r="449" spans="1:28" x14ac:dyDescent="0.3">
      <c r="B449" s="5"/>
      <c r="C449" s="3"/>
      <c r="D449" s="1"/>
      <c r="E449" s="1"/>
      <c r="F449" s="1"/>
      <c r="G449" s="1">
        <f t="shared" ref="G449:H449" si="250">SUM(G442:G448)</f>
        <v>0</v>
      </c>
      <c r="H449" s="1">
        <f t="shared" si="250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251">SUM(P442:P448)</f>
        <v>0</v>
      </c>
      <c r="Q449" s="1">
        <f t="shared" si="251"/>
        <v>0</v>
      </c>
      <c r="R449" s="1">
        <f>SUBTOTAL(109,R442:R448)</f>
        <v>0</v>
      </c>
      <c r="Y449" s="37"/>
    </row>
    <row r="450" spans="1:28" x14ac:dyDescent="0.3">
      <c r="A450" s="37"/>
      <c r="B450" s="38"/>
      <c r="C450" s="37"/>
      <c r="D450" s="37"/>
      <c r="E450" s="37"/>
      <c r="F450" s="37"/>
      <c r="G450" s="37"/>
      <c r="H450" s="37"/>
      <c r="I450" s="38"/>
      <c r="J450" s="37"/>
      <c r="K450" s="38"/>
      <c r="L450" s="37"/>
      <c r="M450" s="37"/>
      <c r="N450" s="37"/>
      <c r="O450" s="37"/>
      <c r="P450" s="37"/>
      <c r="Q450" s="37"/>
      <c r="R450" s="38"/>
      <c r="S450" s="37"/>
      <c r="T450" s="82"/>
      <c r="U450" s="82"/>
      <c r="V450" s="37"/>
      <c r="W450" s="37"/>
      <c r="X450" s="39"/>
      <c r="Y450" s="37"/>
    </row>
    <row r="451" spans="1:28" x14ac:dyDescent="0.3">
      <c r="A451" s="44" t="s">
        <v>33</v>
      </c>
      <c r="B451" s="6" t="s">
        <v>2</v>
      </c>
      <c r="C451" s="7" t="s">
        <v>3</v>
      </c>
      <c r="D451" s="4" t="s">
        <v>4</v>
      </c>
      <c r="E451" s="4" t="s">
        <v>5</v>
      </c>
      <c r="F451" s="4" t="s">
        <v>6</v>
      </c>
      <c r="G451" s="4" t="s">
        <v>7</v>
      </c>
      <c r="H451" s="4" t="s">
        <v>8</v>
      </c>
      <c r="I451" s="4" t="s">
        <v>9</v>
      </c>
      <c r="J451" s="44" t="s">
        <v>33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81" t="s">
        <v>11</v>
      </c>
      <c r="U451" s="81"/>
      <c r="W451" s="13" t="s">
        <v>21</v>
      </c>
      <c r="X451" s="15" t="s">
        <v>17</v>
      </c>
      <c r="Y451" s="37"/>
    </row>
    <row r="452" spans="1:28" x14ac:dyDescent="0.3">
      <c r="A452" s="44">
        <f>A442+1</f>
        <v>43</v>
      </c>
      <c r="B452" s="34" t="str">
        <f>TEXT(Tabelle1217303029720844[[#This Row],[Datum]],"tttt")</f>
        <v>Montag</v>
      </c>
      <c r="C452" s="58">
        <f>C448+1</f>
        <v>44488</v>
      </c>
      <c r="D452" s="31"/>
      <c r="E452" s="31"/>
      <c r="F452" s="31"/>
      <c r="G452" s="31"/>
      <c r="H452" s="31"/>
      <c r="I452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4">
        <f>J442+1</f>
        <v>43</v>
      </c>
      <c r="K452" s="34" t="str">
        <f>TEXT(Tabelle121730302972084498[[#This Row],[Datum]],"tttt")</f>
        <v>Montag</v>
      </c>
      <c r="L452" s="58">
        <f>L448+1</f>
        <v>44488</v>
      </c>
      <c r="M452" s="31"/>
      <c r="N452" s="31"/>
      <c r="O452" s="31"/>
      <c r="P452" s="31"/>
      <c r="Q452" s="31"/>
      <c r="R452" s="49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2" s="81">
        <f t="shared" ref="T452:T453" si="252">R452-I452</f>
        <v>0</v>
      </c>
      <c r="U452" s="81"/>
      <c r="W452" s="17" t="s">
        <v>18</v>
      </c>
      <c r="X452" s="26">
        <f>I459</f>
        <v>0</v>
      </c>
      <c r="Y452" s="37"/>
    </row>
    <row r="453" spans="1:28" x14ac:dyDescent="0.3">
      <c r="B453" s="34" t="str">
        <f>TEXT(Tabelle1217303029720844[[#This Row],[Datum]],"tttt")</f>
        <v>Dienstag</v>
      </c>
      <c r="C453" s="56">
        <f>C452+1</f>
        <v>44489</v>
      </c>
      <c r="D453" s="31"/>
      <c r="E453" s="31"/>
      <c r="F453" s="31"/>
      <c r="G453" s="31"/>
      <c r="H453" s="31"/>
      <c r="I453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4" t="str">
        <f>TEXT(Tabelle121730302972084498[[#This Row],[Datum]],"tttt")</f>
        <v>Dienstag</v>
      </c>
      <c r="L453" s="56">
        <f>L452+1</f>
        <v>44489</v>
      </c>
      <c r="M453" s="31"/>
      <c r="N453" s="31"/>
      <c r="O453" s="31"/>
      <c r="P453" s="31"/>
      <c r="Q453" s="31"/>
      <c r="R453" s="50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3" s="81">
        <f t="shared" si="252"/>
        <v>0</v>
      </c>
      <c r="U453" s="81"/>
      <c r="W453" s="17" t="s">
        <v>19</v>
      </c>
      <c r="X453" s="26">
        <f>R459</f>
        <v>0</v>
      </c>
      <c r="Y453" s="37"/>
    </row>
    <row r="454" spans="1:28" x14ac:dyDescent="0.3">
      <c r="B454" s="35" t="str">
        <f>TEXT(Tabelle1217303029720844[[#This Row],[Datum]],"tttt")</f>
        <v>Mittwoch</v>
      </c>
      <c r="C454" s="56">
        <f t="shared" ref="C454:C458" si="253">C453+1</f>
        <v>44490</v>
      </c>
      <c r="D454" s="32"/>
      <c r="E454" s="32"/>
      <c r="F454" s="32"/>
      <c r="G454" s="32"/>
      <c r="H454" s="32"/>
      <c r="I454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5" t="str">
        <f>TEXT(Tabelle121730302972084498[[#This Row],[Datum]],"tttt")</f>
        <v>Mittwoch</v>
      </c>
      <c r="L454" s="56">
        <f t="shared" ref="L454:L458" si="254">L453+1</f>
        <v>44490</v>
      </c>
      <c r="M454" s="32"/>
      <c r="N454" s="32"/>
      <c r="O454" s="32"/>
      <c r="P454" s="32"/>
      <c r="Q454" s="32"/>
      <c r="R454" s="51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4" s="81">
        <f>R454-I454</f>
        <v>0</v>
      </c>
      <c r="U454" s="81"/>
      <c r="W454" s="20" t="s">
        <v>20</v>
      </c>
      <c r="X454" s="27">
        <f>X453-X452</f>
        <v>0</v>
      </c>
      <c r="Y454" s="37"/>
      <c r="Z454" s="66">
        <f>Z444+X454</f>
        <v>0</v>
      </c>
    </row>
    <row r="455" spans="1:28" x14ac:dyDescent="0.3">
      <c r="B455" s="34" t="str">
        <f>TEXT(Tabelle1217303029720844[[#This Row],[Datum]],"tttt")</f>
        <v>Donnerstag</v>
      </c>
      <c r="C455" s="56">
        <f t="shared" si="253"/>
        <v>44491</v>
      </c>
      <c r="D455" s="31"/>
      <c r="E455" s="31"/>
      <c r="F455" s="31"/>
      <c r="G455" s="31"/>
      <c r="H455" s="31"/>
      <c r="I455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4" t="str">
        <f>TEXT(Tabelle121730302972084498[[#This Row],[Datum]],"tttt")</f>
        <v>Donnerstag</v>
      </c>
      <c r="L455" s="56">
        <f t="shared" si="254"/>
        <v>44491</v>
      </c>
      <c r="M455" s="31"/>
      <c r="N455" s="31"/>
      <c r="O455" s="31"/>
      <c r="P455" s="31"/>
      <c r="Q455" s="31"/>
      <c r="R455" s="50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5" s="81">
        <f>R455-I455</f>
        <v>0</v>
      </c>
      <c r="U455" s="81"/>
      <c r="Y455" s="37"/>
    </row>
    <row r="456" spans="1:28" x14ac:dyDescent="0.3">
      <c r="B456" s="36" t="str">
        <f>TEXT(Tabelle1217303029720844[[#This Row],[Datum]],"tttt")</f>
        <v>Freitag</v>
      </c>
      <c r="C456" s="56">
        <f t="shared" si="253"/>
        <v>44492</v>
      </c>
      <c r="D456" s="32"/>
      <c r="E456" s="32"/>
      <c r="F456" s="32"/>
      <c r="G456" s="32"/>
      <c r="H456" s="32"/>
      <c r="I456" s="52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6" t="str">
        <f>TEXT(Tabelle121730302972084498[[#This Row],[Datum]],"tttt")</f>
        <v>Freitag</v>
      </c>
      <c r="L456" s="56">
        <f t="shared" si="254"/>
        <v>44492</v>
      </c>
      <c r="M456" s="32"/>
      <c r="N456" s="32"/>
      <c r="O456" s="32"/>
      <c r="P456" s="32"/>
      <c r="Q456" s="32"/>
      <c r="R456" s="52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6" s="81">
        <f>R456-I456</f>
        <v>0</v>
      </c>
      <c r="U456" s="81"/>
      <c r="Y456" s="37"/>
    </row>
    <row r="457" spans="1:28" x14ac:dyDescent="0.3">
      <c r="B457" s="34" t="str">
        <f>TEXT(Tabelle1217303029720844[[#This Row],[Datum]],"tttt")</f>
        <v>Samstag</v>
      </c>
      <c r="C457" s="56">
        <f t="shared" si="253"/>
        <v>44493</v>
      </c>
      <c r="D457" s="31"/>
      <c r="E457" s="31"/>
      <c r="F457" s="31"/>
      <c r="G457" s="31"/>
      <c r="H457" s="31"/>
      <c r="I457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4" t="str">
        <f>TEXT(Tabelle121730302972084498[[#This Row],[Datum]],"tttt")</f>
        <v>Samstag</v>
      </c>
      <c r="L457" s="56">
        <f t="shared" si="254"/>
        <v>44493</v>
      </c>
      <c r="M457" s="31"/>
      <c r="N457" s="31"/>
      <c r="O457" s="31"/>
      <c r="P457" s="31"/>
      <c r="Q457" s="31"/>
      <c r="R457" s="50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7" s="81">
        <f t="shared" ref="T457:T458" si="255">R457-I457</f>
        <v>0</v>
      </c>
      <c r="U457" s="81"/>
      <c r="Y457" s="37"/>
    </row>
    <row r="458" spans="1:28" s="40" customFormat="1" x14ac:dyDescent="0.3">
      <c r="B458" s="36" t="str">
        <f>TEXT(Tabelle1217303029720844[[#This Row],[Datum]],"tttt")</f>
        <v>Sonntag</v>
      </c>
      <c r="C458" s="57">
        <f t="shared" si="253"/>
        <v>44494</v>
      </c>
      <c r="D458" s="32"/>
      <c r="E458" s="32"/>
      <c r="F458" s="32"/>
      <c r="G458" s="32"/>
      <c r="H458" s="32"/>
      <c r="I458" s="53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6" t="str">
        <f>TEXT(Tabelle121730302972084498[[#This Row],[Datum]],"tttt")</f>
        <v>Sonntag</v>
      </c>
      <c r="L458" s="57">
        <f t="shared" si="254"/>
        <v>44494</v>
      </c>
      <c r="M458" s="32"/>
      <c r="N458" s="32"/>
      <c r="O458" s="32"/>
      <c r="P458" s="32"/>
      <c r="Q458" s="32"/>
      <c r="R458" s="53" t="str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0:00</v>
      </c>
      <c r="T458" s="81">
        <f t="shared" si="255"/>
        <v>0</v>
      </c>
      <c r="U458" s="81"/>
      <c r="V458" s="42"/>
      <c r="W458" s="42"/>
      <c r="X458" s="45"/>
      <c r="Y458" s="37"/>
      <c r="AB458" s="41"/>
    </row>
    <row r="459" spans="1:28" x14ac:dyDescent="0.3">
      <c r="B459" s="5"/>
      <c r="C459" s="3"/>
      <c r="D459" s="1"/>
      <c r="E459" s="1"/>
      <c r="F459" s="1"/>
      <c r="G459" s="1">
        <f t="shared" ref="G459:H459" si="256">SUM(G452:G458)</f>
        <v>0</v>
      </c>
      <c r="H459" s="1">
        <f t="shared" si="256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257">SUM(P452:P458)</f>
        <v>0</v>
      </c>
      <c r="Q459" s="1">
        <f t="shared" si="257"/>
        <v>0</v>
      </c>
      <c r="R459" s="1">
        <f>SUBTOTAL(109,R452:R458)</f>
        <v>0</v>
      </c>
      <c r="Y459" s="37"/>
    </row>
    <row r="460" spans="1:28" x14ac:dyDescent="0.3">
      <c r="A460" s="37"/>
      <c r="B460" s="38"/>
      <c r="C460" s="37"/>
      <c r="D460" s="37"/>
      <c r="E460" s="37"/>
      <c r="F460" s="37"/>
      <c r="G460" s="37"/>
      <c r="H460" s="37"/>
      <c r="I460" s="38"/>
      <c r="J460" s="37"/>
      <c r="K460" s="38"/>
      <c r="L460" s="37"/>
      <c r="M460" s="37"/>
      <c r="N460" s="37"/>
      <c r="O460" s="37"/>
      <c r="P460" s="37"/>
      <c r="Q460" s="37"/>
      <c r="R460" s="38"/>
      <c r="S460" s="37"/>
      <c r="T460" s="82"/>
      <c r="U460" s="82"/>
      <c r="V460" s="37"/>
      <c r="W460" s="37"/>
      <c r="X460" s="39"/>
      <c r="Y460" s="37"/>
    </row>
    <row r="461" spans="1:28" x14ac:dyDescent="0.3">
      <c r="A461" s="44" t="s">
        <v>33</v>
      </c>
      <c r="B461" s="6" t="s">
        <v>2</v>
      </c>
      <c r="C461" s="7" t="s">
        <v>3</v>
      </c>
      <c r="D461" s="4" t="s">
        <v>4</v>
      </c>
      <c r="E461" s="4" t="s">
        <v>5</v>
      </c>
      <c r="F461" s="4" t="s">
        <v>6</v>
      </c>
      <c r="G461" s="4" t="s">
        <v>7</v>
      </c>
      <c r="H461" s="4" t="s">
        <v>8</v>
      </c>
      <c r="I461" s="4" t="s">
        <v>9</v>
      </c>
      <c r="J461" s="44" t="s">
        <v>33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81" t="s">
        <v>11</v>
      </c>
      <c r="U461" s="81"/>
      <c r="W461" s="13" t="s">
        <v>21</v>
      </c>
      <c r="X461" s="15" t="s">
        <v>17</v>
      </c>
      <c r="Y461" s="37"/>
    </row>
    <row r="462" spans="1:28" x14ac:dyDescent="0.3">
      <c r="A462" s="44">
        <f>A452+1</f>
        <v>44</v>
      </c>
      <c r="B462" s="34" t="str">
        <f>TEXT(Tabelle12173030297208345[[#This Row],[Datum]],"tttt")</f>
        <v>Montag</v>
      </c>
      <c r="C462" s="58">
        <f>C458+1</f>
        <v>44495</v>
      </c>
      <c r="D462" s="31"/>
      <c r="E462" s="31"/>
      <c r="F462" s="31"/>
      <c r="G462" s="31"/>
      <c r="H462" s="31"/>
      <c r="I462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4">
        <f>J452+1</f>
        <v>44</v>
      </c>
      <c r="K462" s="34" t="str">
        <f>TEXT(Tabelle1217303029720834599[[#This Row],[Datum]],"tttt")</f>
        <v>Montag</v>
      </c>
      <c r="L462" s="58">
        <f>L458+1</f>
        <v>44495</v>
      </c>
      <c r="M462" s="31"/>
      <c r="N462" s="31"/>
      <c r="O462" s="31"/>
      <c r="P462" s="31"/>
      <c r="Q462" s="31"/>
      <c r="R462" s="49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2" s="81">
        <f t="shared" ref="T462:T463" si="258">R462-I462</f>
        <v>0</v>
      </c>
      <c r="U462" s="81"/>
      <c r="W462" s="17" t="s">
        <v>18</v>
      </c>
      <c r="X462" s="26">
        <f>I469</f>
        <v>0</v>
      </c>
      <c r="Y462" s="37"/>
    </row>
    <row r="463" spans="1:28" x14ac:dyDescent="0.3">
      <c r="B463" s="34" t="str">
        <f>TEXT(Tabelle12173030297208345[[#This Row],[Datum]],"tttt")</f>
        <v>Dienstag</v>
      </c>
      <c r="C463" s="56">
        <f>C462+1</f>
        <v>44496</v>
      </c>
      <c r="D463" s="31"/>
      <c r="E463" s="31"/>
      <c r="F463" s="31"/>
      <c r="G463" s="31"/>
      <c r="H463" s="31"/>
      <c r="I463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4" t="str">
        <f>TEXT(Tabelle1217303029720834599[[#This Row],[Datum]],"tttt")</f>
        <v>Dienstag</v>
      </c>
      <c r="L463" s="56">
        <f>L462+1</f>
        <v>44496</v>
      </c>
      <c r="M463" s="31"/>
      <c r="N463" s="31"/>
      <c r="O463" s="31"/>
      <c r="P463" s="31"/>
      <c r="Q463" s="31"/>
      <c r="R463" s="50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3" s="81">
        <f t="shared" si="258"/>
        <v>0</v>
      </c>
      <c r="U463" s="81"/>
      <c r="W463" s="17" t="s">
        <v>19</v>
      </c>
      <c r="X463" s="26">
        <f>R469</f>
        <v>0</v>
      </c>
      <c r="Y463" s="37"/>
    </row>
    <row r="464" spans="1:28" x14ac:dyDescent="0.3">
      <c r="B464" s="35" t="str">
        <f>TEXT(Tabelle12173030297208345[[#This Row],[Datum]],"tttt")</f>
        <v>Mittwoch</v>
      </c>
      <c r="C464" s="56">
        <f t="shared" ref="C464:C468" si="259">C463+1</f>
        <v>44497</v>
      </c>
      <c r="D464" s="32"/>
      <c r="E464" s="32"/>
      <c r="F464" s="32"/>
      <c r="G464" s="32"/>
      <c r="H464" s="32"/>
      <c r="I464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5" t="str">
        <f>TEXT(Tabelle1217303029720834599[[#This Row],[Datum]],"tttt")</f>
        <v>Mittwoch</v>
      </c>
      <c r="L464" s="56">
        <f t="shared" ref="L464:L468" si="260">L463+1</f>
        <v>44497</v>
      </c>
      <c r="M464" s="32"/>
      <c r="N464" s="32"/>
      <c r="O464" s="32"/>
      <c r="P464" s="32"/>
      <c r="Q464" s="32"/>
      <c r="R464" s="51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4" s="81">
        <f>R464-I464</f>
        <v>0</v>
      </c>
      <c r="U464" s="81"/>
      <c r="W464" s="20" t="s">
        <v>20</v>
      </c>
      <c r="X464" s="27">
        <f>X463-X462</f>
        <v>0</v>
      </c>
      <c r="Y464" s="37"/>
      <c r="Z464" s="66">
        <f>Z454+X464</f>
        <v>0</v>
      </c>
    </row>
    <row r="465" spans="1:28" x14ac:dyDescent="0.3">
      <c r="B465" s="34" t="str">
        <f>TEXT(Tabelle12173030297208345[[#This Row],[Datum]],"tttt")</f>
        <v>Donnerstag</v>
      </c>
      <c r="C465" s="56">
        <f t="shared" si="259"/>
        <v>44498</v>
      </c>
      <c r="D465" s="31"/>
      <c r="E465" s="31"/>
      <c r="F465" s="31"/>
      <c r="G465" s="31"/>
      <c r="H465" s="31"/>
      <c r="I465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4" t="str">
        <f>TEXT(Tabelle1217303029720834599[[#This Row],[Datum]],"tttt")</f>
        <v>Donnerstag</v>
      </c>
      <c r="L465" s="56">
        <f t="shared" si="260"/>
        <v>44498</v>
      </c>
      <c r="M465" s="31"/>
      <c r="N465" s="31"/>
      <c r="O465" s="31"/>
      <c r="P465" s="31"/>
      <c r="Q465" s="31"/>
      <c r="R465" s="50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5" s="81">
        <f>R465-I465</f>
        <v>0</v>
      </c>
      <c r="U465" s="81"/>
      <c r="Y465" s="37"/>
    </row>
    <row r="466" spans="1:28" x14ac:dyDescent="0.3">
      <c r="B466" s="36" t="str">
        <f>TEXT(Tabelle12173030297208345[[#This Row],[Datum]],"tttt")</f>
        <v>Freitag</v>
      </c>
      <c r="C466" s="56">
        <f t="shared" si="259"/>
        <v>44499</v>
      </c>
      <c r="D466" s="32"/>
      <c r="E466" s="32"/>
      <c r="F466" s="32"/>
      <c r="G466" s="32"/>
      <c r="H466" s="32"/>
      <c r="I466" s="52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6" t="str">
        <f>TEXT(Tabelle1217303029720834599[[#This Row],[Datum]],"tttt")</f>
        <v>Freitag</v>
      </c>
      <c r="L466" s="56">
        <f t="shared" si="260"/>
        <v>44499</v>
      </c>
      <c r="M466" s="32"/>
      <c r="N466" s="32"/>
      <c r="O466" s="32"/>
      <c r="P466" s="32"/>
      <c r="Q466" s="32"/>
      <c r="R466" s="52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6" s="81">
        <f>R466-I466</f>
        <v>0</v>
      </c>
      <c r="U466" s="81"/>
      <c r="Y466" s="37"/>
    </row>
    <row r="467" spans="1:28" x14ac:dyDescent="0.3">
      <c r="B467" s="34" t="str">
        <f>TEXT(Tabelle12173030297208345[[#This Row],[Datum]],"tttt")</f>
        <v>Samstag</v>
      </c>
      <c r="C467" s="56">
        <f t="shared" si="259"/>
        <v>44500</v>
      </c>
      <c r="D467" s="31"/>
      <c r="E467" s="31"/>
      <c r="F467" s="31"/>
      <c r="G467" s="31"/>
      <c r="H467" s="31"/>
      <c r="I467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4" t="str">
        <f>TEXT(Tabelle1217303029720834599[[#This Row],[Datum]],"tttt")</f>
        <v>Samstag</v>
      </c>
      <c r="L467" s="56">
        <f t="shared" si="260"/>
        <v>44500</v>
      </c>
      <c r="M467" s="31"/>
      <c r="N467" s="31"/>
      <c r="O467" s="31"/>
      <c r="P467" s="31"/>
      <c r="Q467" s="31"/>
      <c r="R467" s="50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7" s="81">
        <f t="shared" ref="T467:T468" si="261">R467-I467</f>
        <v>0</v>
      </c>
      <c r="U467" s="81"/>
      <c r="Y467" s="37"/>
    </row>
    <row r="468" spans="1:28" s="40" customFormat="1" x14ac:dyDescent="0.3">
      <c r="B468" s="36" t="str">
        <f>TEXT(Tabelle12173030297208345[[#This Row],[Datum]],"tttt")</f>
        <v>Sonntag</v>
      </c>
      <c r="C468" s="57">
        <f t="shared" si="259"/>
        <v>44501</v>
      </c>
      <c r="D468" s="32"/>
      <c r="E468" s="32"/>
      <c r="F468" s="32"/>
      <c r="G468" s="32"/>
      <c r="H468" s="32"/>
      <c r="I468" s="53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6" t="str">
        <f>TEXT(Tabelle1217303029720834599[[#This Row],[Datum]],"tttt")</f>
        <v>Sonntag</v>
      </c>
      <c r="L468" s="57">
        <f t="shared" si="260"/>
        <v>44501</v>
      </c>
      <c r="M468" s="32"/>
      <c r="N468" s="32"/>
      <c r="O468" s="32"/>
      <c r="P468" s="32"/>
      <c r="Q468" s="32"/>
      <c r="R468" s="53" t="str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0:00</v>
      </c>
      <c r="T468" s="81">
        <f t="shared" si="261"/>
        <v>0</v>
      </c>
      <c r="U468" s="81"/>
      <c r="V468" s="42"/>
      <c r="W468" s="42"/>
      <c r="X468" s="45"/>
      <c r="Y468" s="37"/>
      <c r="AB468" s="41"/>
    </row>
    <row r="469" spans="1:28" x14ac:dyDescent="0.3">
      <c r="B469" s="5"/>
      <c r="C469" s="3"/>
      <c r="D469" s="1"/>
      <c r="E469" s="1"/>
      <c r="F469" s="1"/>
      <c r="G469" s="1">
        <f t="shared" ref="G469:H469" si="262">SUM(G462:G468)</f>
        <v>0</v>
      </c>
      <c r="H469" s="1">
        <f t="shared" si="262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263">SUM(P462:P468)</f>
        <v>0</v>
      </c>
      <c r="Q469" s="1">
        <f t="shared" si="263"/>
        <v>0</v>
      </c>
      <c r="R469" s="1">
        <f>SUBTOTAL(109,R462:R468)</f>
        <v>0</v>
      </c>
      <c r="Y469" s="37"/>
    </row>
    <row r="470" spans="1:28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82"/>
      <c r="U470" s="82"/>
      <c r="V470" s="37"/>
      <c r="W470" s="37"/>
      <c r="X470" s="39"/>
      <c r="Y470" s="37"/>
    </row>
    <row r="471" spans="1:28" x14ac:dyDescent="0.3">
      <c r="A471" s="44" t="s">
        <v>33</v>
      </c>
      <c r="B471" s="6" t="s">
        <v>2</v>
      </c>
      <c r="C471" s="7" t="s">
        <v>3</v>
      </c>
      <c r="D471" s="4" t="s">
        <v>4</v>
      </c>
      <c r="E471" s="4" t="s">
        <v>5</v>
      </c>
      <c r="F471" s="4" t="s">
        <v>6</v>
      </c>
      <c r="G471" s="4" t="s">
        <v>7</v>
      </c>
      <c r="H471" s="4" t="s">
        <v>8</v>
      </c>
      <c r="I471" s="4" t="s">
        <v>9</v>
      </c>
      <c r="J471" s="44" t="s">
        <v>33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81" t="s">
        <v>11</v>
      </c>
      <c r="U471" s="81"/>
      <c r="W471" s="13" t="s">
        <v>21</v>
      </c>
      <c r="X471" s="15" t="s">
        <v>17</v>
      </c>
      <c r="Y471" s="37"/>
    </row>
    <row r="472" spans="1:28" x14ac:dyDescent="0.3">
      <c r="A472" s="44">
        <f>A462+1</f>
        <v>45</v>
      </c>
      <c r="B472" s="34" t="str">
        <f>TEXT(Tabelle1217303029720847[[#This Row],[Datum]],"tttt")</f>
        <v>Montag</v>
      </c>
      <c r="C472" s="58">
        <f>C468+1</f>
        <v>44502</v>
      </c>
      <c r="D472" s="31"/>
      <c r="E472" s="31"/>
      <c r="F472" s="31"/>
      <c r="G472" s="31"/>
      <c r="H472" s="31"/>
      <c r="I472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4">
        <f>J462+1</f>
        <v>45</v>
      </c>
      <c r="K472" s="34" t="str">
        <f>TEXT(Tabelle1217303029720847100[[#This Row],[Datum]],"tttt")</f>
        <v>Montag</v>
      </c>
      <c r="L472" s="58">
        <f>L468+1</f>
        <v>44502</v>
      </c>
      <c r="M472" s="31"/>
      <c r="N472" s="31"/>
      <c r="O472" s="31"/>
      <c r="P472" s="31"/>
      <c r="Q472" s="31"/>
      <c r="R472" s="49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2" s="81">
        <f t="shared" ref="T472:T473" si="264">R472-I472</f>
        <v>0</v>
      </c>
      <c r="U472" s="81"/>
      <c r="W472" s="17" t="s">
        <v>18</v>
      </c>
      <c r="X472" s="26">
        <f>I479</f>
        <v>0</v>
      </c>
      <c r="Y472" s="37"/>
    </row>
    <row r="473" spans="1:28" x14ac:dyDescent="0.3">
      <c r="B473" s="34" t="str">
        <f>TEXT(Tabelle1217303029720847[[#This Row],[Datum]],"tttt")</f>
        <v>Dienstag</v>
      </c>
      <c r="C473" s="56">
        <f>C472+1</f>
        <v>44503</v>
      </c>
      <c r="D473" s="31"/>
      <c r="E473" s="31"/>
      <c r="F473" s="31"/>
      <c r="G473" s="31"/>
      <c r="H473" s="31"/>
      <c r="I473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4" t="str">
        <f>TEXT(Tabelle1217303029720847100[[#This Row],[Datum]],"tttt")</f>
        <v>Dienstag</v>
      </c>
      <c r="L473" s="56">
        <f>L472+1</f>
        <v>44503</v>
      </c>
      <c r="M473" s="31"/>
      <c r="N473" s="31"/>
      <c r="O473" s="31"/>
      <c r="P473" s="31"/>
      <c r="Q473" s="31"/>
      <c r="R473" s="50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3" s="81">
        <f t="shared" si="264"/>
        <v>0</v>
      </c>
      <c r="U473" s="81"/>
      <c r="W473" s="17" t="s">
        <v>19</v>
      </c>
      <c r="X473" s="26">
        <f>R479</f>
        <v>0</v>
      </c>
      <c r="Y473" s="37"/>
    </row>
    <row r="474" spans="1:28" x14ac:dyDescent="0.3">
      <c r="B474" s="35" t="str">
        <f>TEXT(Tabelle1217303029720847[[#This Row],[Datum]],"tttt")</f>
        <v>Mittwoch</v>
      </c>
      <c r="C474" s="56">
        <f t="shared" ref="C474:C478" si="265">C473+1</f>
        <v>44504</v>
      </c>
      <c r="D474" s="32"/>
      <c r="E474" s="32"/>
      <c r="F474" s="32"/>
      <c r="G474" s="32"/>
      <c r="H474" s="32"/>
      <c r="I474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5" t="str">
        <f>TEXT(Tabelle1217303029720847100[[#This Row],[Datum]],"tttt")</f>
        <v>Mittwoch</v>
      </c>
      <c r="L474" s="56">
        <f t="shared" ref="L474:L478" si="266">L473+1</f>
        <v>44504</v>
      </c>
      <c r="M474" s="32"/>
      <c r="N474" s="32"/>
      <c r="O474" s="32"/>
      <c r="P474" s="32"/>
      <c r="Q474" s="32"/>
      <c r="R474" s="51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4" s="81">
        <f>R474-I474</f>
        <v>0</v>
      </c>
      <c r="U474" s="81"/>
      <c r="W474" s="20" t="s">
        <v>20</v>
      </c>
      <c r="X474" s="27">
        <f>X473-X472</f>
        <v>0</v>
      </c>
      <c r="Y474" s="37"/>
      <c r="Z474" s="66">
        <f>Z464+X474</f>
        <v>0</v>
      </c>
    </row>
    <row r="475" spans="1:28" x14ac:dyDescent="0.3">
      <c r="B475" s="34" t="str">
        <f>TEXT(Tabelle1217303029720847[[#This Row],[Datum]],"tttt")</f>
        <v>Donnerstag</v>
      </c>
      <c r="C475" s="56">
        <f t="shared" si="265"/>
        <v>44505</v>
      </c>
      <c r="D475" s="31"/>
      <c r="E475" s="31"/>
      <c r="F475" s="31"/>
      <c r="G475" s="31"/>
      <c r="H475" s="31"/>
      <c r="I475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4" t="str">
        <f>TEXT(Tabelle1217303029720847100[[#This Row],[Datum]],"tttt")</f>
        <v>Donnerstag</v>
      </c>
      <c r="L475" s="56">
        <f t="shared" si="266"/>
        <v>44505</v>
      </c>
      <c r="M475" s="31"/>
      <c r="N475" s="31"/>
      <c r="O475" s="31"/>
      <c r="P475" s="31"/>
      <c r="Q475" s="31"/>
      <c r="R475" s="50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5" s="81">
        <f>R475-I475</f>
        <v>0</v>
      </c>
      <c r="U475" s="81"/>
      <c r="Y475" s="37"/>
    </row>
    <row r="476" spans="1:28" x14ac:dyDescent="0.3">
      <c r="B476" s="36" t="str">
        <f>TEXT(Tabelle1217303029720847[[#This Row],[Datum]],"tttt")</f>
        <v>Freitag</v>
      </c>
      <c r="C476" s="56">
        <f t="shared" si="265"/>
        <v>44506</v>
      </c>
      <c r="D476" s="32"/>
      <c r="E476" s="32"/>
      <c r="F476" s="32"/>
      <c r="G476" s="32"/>
      <c r="H476" s="32"/>
      <c r="I476" s="52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6" t="str">
        <f>TEXT(Tabelle1217303029720847100[[#This Row],[Datum]],"tttt")</f>
        <v>Freitag</v>
      </c>
      <c r="L476" s="56">
        <f t="shared" si="266"/>
        <v>44506</v>
      </c>
      <c r="M476" s="32"/>
      <c r="N476" s="32"/>
      <c r="O476" s="32"/>
      <c r="P476" s="32"/>
      <c r="Q476" s="32"/>
      <c r="R476" s="52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6" s="81">
        <f>R476-I476</f>
        <v>0</v>
      </c>
      <c r="U476" s="81"/>
      <c r="Y476" s="37"/>
    </row>
    <row r="477" spans="1:28" x14ac:dyDescent="0.3">
      <c r="B477" s="34" t="str">
        <f>TEXT(Tabelle1217303029720847[[#This Row],[Datum]],"tttt")</f>
        <v>Samstag</v>
      </c>
      <c r="C477" s="56">
        <f t="shared" si="265"/>
        <v>44507</v>
      </c>
      <c r="D477" s="31"/>
      <c r="E477" s="31"/>
      <c r="F477" s="31"/>
      <c r="G477" s="31"/>
      <c r="H477" s="31"/>
      <c r="I477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4" t="str">
        <f>TEXT(Tabelle1217303029720847100[[#This Row],[Datum]],"tttt")</f>
        <v>Samstag</v>
      </c>
      <c r="L477" s="56">
        <f t="shared" si="266"/>
        <v>44507</v>
      </c>
      <c r="M477" s="31"/>
      <c r="N477" s="31"/>
      <c r="O477" s="31"/>
      <c r="P477" s="31"/>
      <c r="Q477" s="31"/>
      <c r="R477" s="50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7" s="81">
        <f t="shared" ref="T477:T478" si="267">R477-I477</f>
        <v>0</v>
      </c>
      <c r="U477" s="81"/>
      <c r="Y477" s="37"/>
    </row>
    <row r="478" spans="1:28" s="40" customFormat="1" x14ac:dyDescent="0.3">
      <c r="B478" s="36" t="str">
        <f>TEXT(Tabelle1217303029720847[[#This Row],[Datum]],"tttt")</f>
        <v>Sonntag</v>
      </c>
      <c r="C478" s="57">
        <f t="shared" si="265"/>
        <v>44508</v>
      </c>
      <c r="D478" s="32"/>
      <c r="E478" s="32"/>
      <c r="F478" s="32"/>
      <c r="G478" s="32"/>
      <c r="H478" s="32"/>
      <c r="I478" s="53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6" t="str">
        <f>TEXT(Tabelle1217303029720847100[[#This Row],[Datum]],"tttt")</f>
        <v>Sonntag</v>
      </c>
      <c r="L478" s="57">
        <f t="shared" si="266"/>
        <v>44508</v>
      </c>
      <c r="M478" s="32"/>
      <c r="N478" s="32"/>
      <c r="O478" s="32"/>
      <c r="P478" s="32"/>
      <c r="Q478" s="32"/>
      <c r="R478" s="53" t="str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0:00</v>
      </c>
      <c r="T478" s="81">
        <f t="shared" si="267"/>
        <v>0</v>
      </c>
      <c r="U478" s="81"/>
      <c r="V478" s="42"/>
      <c r="W478" s="42"/>
      <c r="X478" s="45"/>
      <c r="Y478" s="37"/>
      <c r="AB478" s="41"/>
    </row>
    <row r="479" spans="1:28" x14ac:dyDescent="0.3">
      <c r="B479" s="5"/>
      <c r="C479" s="3"/>
      <c r="D479" s="1"/>
      <c r="E479" s="1"/>
      <c r="F479" s="1"/>
      <c r="G479" s="1">
        <f t="shared" ref="G479:H479" si="268">SUM(G472:G478)</f>
        <v>0</v>
      </c>
      <c r="H479" s="1">
        <f t="shared" si="268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269">SUM(P472:P478)</f>
        <v>0</v>
      </c>
      <c r="Q479" s="1">
        <f t="shared" si="269"/>
        <v>0</v>
      </c>
      <c r="R479" s="1">
        <f>SUBTOTAL(109,R472:R478)</f>
        <v>0</v>
      </c>
      <c r="Y479" s="37"/>
    </row>
    <row r="480" spans="1:28" x14ac:dyDescent="0.3">
      <c r="A480" s="37"/>
      <c r="B480" s="38"/>
      <c r="C480" s="37"/>
      <c r="D480" s="37"/>
      <c r="E480" s="37"/>
      <c r="F480" s="37"/>
      <c r="G480" s="37"/>
      <c r="H480" s="37"/>
      <c r="I480" s="38"/>
      <c r="J480" s="37"/>
      <c r="K480" s="38"/>
      <c r="L480" s="37"/>
      <c r="M480" s="37"/>
      <c r="N480" s="37"/>
      <c r="O480" s="37"/>
      <c r="P480" s="37"/>
      <c r="Q480" s="37"/>
      <c r="R480" s="38"/>
      <c r="S480" s="37"/>
      <c r="T480" s="82"/>
      <c r="U480" s="82"/>
      <c r="V480" s="37"/>
      <c r="W480" s="37"/>
      <c r="X480" s="39"/>
      <c r="Y480" s="37"/>
    </row>
    <row r="481" spans="1:28" x14ac:dyDescent="0.3">
      <c r="A481" s="44" t="s">
        <v>33</v>
      </c>
      <c r="B481" s="6" t="s">
        <v>2</v>
      </c>
      <c r="C481" s="7" t="s">
        <v>3</v>
      </c>
      <c r="D481" s="4" t="s">
        <v>4</v>
      </c>
      <c r="E481" s="4" t="s">
        <v>5</v>
      </c>
      <c r="F481" s="4" t="s">
        <v>6</v>
      </c>
      <c r="G481" s="4" t="s">
        <v>7</v>
      </c>
      <c r="H481" s="4" t="s">
        <v>8</v>
      </c>
      <c r="I481" s="4" t="s">
        <v>9</v>
      </c>
      <c r="J481" s="44" t="s">
        <v>33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81" t="s">
        <v>11</v>
      </c>
      <c r="U481" s="81"/>
      <c r="W481" s="13" t="s">
        <v>21</v>
      </c>
      <c r="X481" s="15" t="s">
        <v>17</v>
      </c>
      <c r="Y481" s="37"/>
    </row>
    <row r="482" spans="1:28" x14ac:dyDescent="0.3">
      <c r="A482" s="44">
        <f>A472+1</f>
        <v>46</v>
      </c>
      <c r="B482" s="34" t="str">
        <f>TEXT(Tabelle12173030297208348[[#This Row],[Datum]],"tttt")</f>
        <v>Montag</v>
      </c>
      <c r="C482" s="58">
        <f>C478+1</f>
        <v>44509</v>
      </c>
      <c r="D482" s="31"/>
      <c r="E482" s="31"/>
      <c r="F482" s="31"/>
      <c r="G482" s="31"/>
      <c r="H482" s="31"/>
      <c r="I482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4">
        <f>J472+1</f>
        <v>46</v>
      </c>
      <c r="K482" s="34" t="str">
        <f>TEXT(Tabelle12173030297208348101[[#This Row],[Datum]],"tttt")</f>
        <v>Montag</v>
      </c>
      <c r="L482" s="58">
        <f>L478+1</f>
        <v>44509</v>
      </c>
      <c r="M482" s="31"/>
      <c r="N482" s="31"/>
      <c r="O482" s="31"/>
      <c r="P482" s="31"/>
      <c r="Q482" s="31"/>
      <c r="R482" s="49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2" s="81">
        <f t="shared" ref="T482:T483" si="270">R482-I482</f>
        <v>0</v>
      </c>
      <c r="U482" s="81"/>
      <c r="W482" s="17" t="s">
        <v>18</v>
      </c>
      <c r="X482" s="26">
        <f>I489</f>
        <v>0</v>
      </c>
      <c r="Y482" s="37"/>
    </row>
    <row r="483" spans="1:28" x14ac:dyDescent="0.3">
      <c r="B483" s="34" t="str">
        <f>TEXT(Tabelle12173030297208348[[#This Row],[Datum]],"tttt")</f>
        <v>Dienstag</v>
      </c>
      <c r="C483" s="56">
        <f>C482+1</f>
        <v>44510</v>
      </c>
      <c r="D483" s="31"/>
      <c r="E483" s="31"/>
      <c r="F483" s="31"/>
      <c r="G483" s="31"/>
      <c r="H483" s="31"/>
      <c r="I483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4" t="str">
        <f>TEXT(Tabelle12173030297208348101[[#This Row],[Datum]],"tttt")</f>
        <v>Dienstag</v>
      </c>
      <c r="L483" s="56">
        <f>L482+1</f>
        <v>44510</v>
      </c>
      <c r="M483" s="31"/>
      <c r="N483" s="31"/>
      <c r="O483" s="31"/>
      <c r="P483" s="31"/>
      <c r="Q483" s="31"/>
      <c r="R483" s="50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3" s="81">
        <f t="shared" si="270"/>
        <v>0</v>
      </c>
      <c r="U483" s="81"/>
      <c r="W483" s="17" t="s">
        <v>19</v>
      </c>
      <c r="X483" s="26">
        <f>R489</f>
        <v>0</v>
      </c>
      <c r="Y483" s="37"/>
    </row>
    <row r="484" spans="1:28" x14ac:dyDescent="0.3">
      <c r="B484" s="35" t="str">
        <f>TEXT(Tabelle12173030297208348[[#This Row],[Datum]],"tttt")</f>
        <v>Mittwoch</v>
      </c>
      <c r="C484" s="56">
        <f t="shared" ref="C484:C488" si="271">C483+1</f>
        <v>44511</v>
      </c>
      <c r="D484" s="32"/>
      <c r="E484" s="32"/>
      <c r="F484" s="32"/>
      <c r="G484" s="32"/>
      <c r="H484" s="32"/>
      <c r="I484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5" t="str">
        <f>TEXT(Tabelle12173030297208348101[[#This Row],[Datum]],"tttt")</f>
        <v>Mittwoch</v>
      </c>
      <c r="L484" s="56">
        <f t="shared" ref="L484:L488" si="272">L483+1</f>
        <v>44511</v>
      </c>
      <c r="M484" s="32"/>
      <c r="N484" s="32"/>
      <c r="O484" s="32"/>
      <c r="P484" s="32"/>
      <c r="Q484" s="32"/>
      <c r="R484" s="51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4" s="81">
        <f>R484-I484</f>
        <v>0</v>
      </c>
      <c r="U484" s="81"/>
      <c r="W484" s="20" t="s">
        <v>20</v>
      </c>
      <c r="X484" s="27">
        <f>X483-X482</f>
        <v>0</v>
      </c>
      <c r="Y484" s="37"/>
      <c r="Z484" s="66">
        <f>Z474+X484</f>
        <v>0</v>
      </c>
    </row>
    <row r="485" spans="1:28" x14ac:dyDescent="0.3">
      <c r="B485" s="34" t="str">
        <f>TEXT(Tabelle12173030297208348[[#This Row],[Datum]],"tttt")</f>
        <v>Donnerstag</v>
      </c>
      <c r="C485" s="56">
        <f t="shared" si="271"/>
        <v>44512</v>
      </c>
      <c r="D485" s="31"/>
      <c r="E485" s="31"/>
      <c r="F485" s="31"/>
      <c r="G485" s="31"/>
      <c r="H485" s="31"/>
      <c r="I485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4" t="str">
        <f>TEXT(Tabelle12173030297208348101[[#This Row],[Datum]],"tttt")</f>
        <v>Donnerstag</v>
      </c>
      <c r="L485" s="56">
        <f t="shared" si="272"/>
        <v>44512</v>
      </c>
      <c r="M485" s="31"/>
      <c r="N485" s="31"/>
      <c r="O485" s="31"/>
      <c r="P485" s="31"/>
      <c r="Q485" s="31"/>
      <c r="R485" s="50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5" s="81">
        <f>R485-I485</f>
        <v>0</v>
      </c>
      <c r="U485" s="81"/>
      <c r="Y485" s="37"/>
    </row>
    <row r="486" spans="1:28" x14ac:dyDescent="0.3">
      <c r="B486" s="36" t="str">
        <f>TEXT(Tabelle12173030297208348[[#This Row],[Datum]],"tttt")</f>
        <v>Freitag</v>
      </c>
      <c r="C486" s="56">
        <f t="shared" si="271"/>
        <v>44513</v>
      </c>
      <c r="D486" s="32"/>
      <c r="E486" s="32"/>
      <c r="F486" s="32"/>
      <c r="G486" s="32"/>
      <c r="H486" s="32"/>
      <c r="I486" s="52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6" t="str">
        <f>TEXT(Tabelle12173030297208348101[[#This Row],[Datum]],"tttt")</f>
        <v>Freitag</v>
      </c>
      <c r="L486" s="56">
        <f t="shared" si="272"/>
        <v>44513</v>
      </c>
      <c r="M486" s="32"/>
      <c r="N486" s="32"/>
      <c r="O486" s="32"/>
      <c r="P486" s="32"/>
      <c r="Q486" s="32"/>
      <c r="R486" s="52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6" s="81">
        <f>R486-I486</f>
        <v>0</v>
      </c>
      <c r="U486" s="81"/>
      <c r="Y486" s="37"/>
    </row>
    <row r="487" spans="1:28" x14ac:dyDescent="0.3">
      <c r="B487" s="34" t="str">
        <f>TEXT(Tabelle12173030297208348[[#This Row],[Datum]],"tttt")</f>
        <v>Samstag</v>
      </c>
      <c r="C487" s="56">
        <f t="shared" si="271"/>
        <v>44514</v>
      </c>
      <c r="D487" s="31"/>
      <c r="E487" s="31"/>
      <c r="F487" s="31"/>
      <c r="G487" s="31"/>
      <c r="H487" s="31"/>
      <c r="I487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4" t="str">
        <f>TEXT(Tabelle12173030297208348101[[#This Row],[Datum]],"tttt")</f>
        <v>Samstag</v>
      </c>
      <c r="L487" s="56">
        <f t="shared" si="272"/>
        <v>44514</v>
      </c>
      <c r="M487" s="31"/>
      <c r="N487" s="31"/>
      <c r="O487" s="31"/>
      <c r="P487" s="31"/>
      <c r="Q487" s="31"/>
      <c r="R487" s="50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7" s="81">
        <f t="shared" ref="T487:T488" si="273">R487-I487</f>
        <v>0</v>
      </c>
      <c r="U487" s="81"/>
      <c r="Y487" s="37"/>
    </row>
    <row r="488" spans="1:28" s="40" customFormat="1" x14ac:dyDescent="0.3">
      <c r="B488" s="36" t="str">
        <f>TEXT(Tabelle12173030297208348[[#This Row],[Datum]],"tttt")</f>
        <v>Sonntag</v>
      </c>
      <c r="C488" s="57">
        <f t="shared" si="271"/>
        <v>44515</v>
      </c>
      <c r="D488" s="32"/>
      <c r="E488" s="32"/>
      <c r="F488" s="32"/>
      <c r="G488" s="32"/>
      <c r="H488" s="32"/>
      <c r="I488" s="53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6" t="str">
        <f>TEXT(Tabelle12173030297208348101[[#This Row],[Datum]],"tttt")</f>
        <v>Sonntag</v>
      </c>
      <c r="L488" s="57">
        <f t="shared" si="272"/>
        <v>44515</v>
      </c>
      <c r="M488" s="32"/>
      <c r="N488" s="32"/>
      <c r="O488" s="32"/>
      <c r="P488" s="32"/>
      <c r="Q488" s="32"/>
      <c r="R488" s="53" t="str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0:00</v>
      </c>
      <c r="T488" s="81">
        <f t="shared" si="273"/>
        <v>0</v>
      </c>
      <c r="U488" s="81"/>
      <c r="V488" s="42"/>
      <c r="W488" s="42"/>
      <c r="X488" s="45"/>
      <c r="Y488" s="37"/>
      <c r="AB488" s="41"/>
    </row>
    <row r="489" spans="1:28" x14ac:dyDescent="0.3">
      <c r="B489" s="5"/>
      <c r="C489" s="3"/>
      <c r="D489" s="1"/>
      <c r="E489" s="1"/>
      <c r="F489" s="1"/>
      <c r="G489" s="1">
        <f t="shared" ref="G489:H489" si="274">SUM(G482:G488)</f>
        <v>0</v>
      </c>
      <c r="H489" s="1">
        <f t="shared" si="27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275">SUM(P482:P488)</f>
        <v>0</v>
      </c>
      <c r="Q489" s="1">
        <f t="shared" si="275"/>
        <v>0</v>
      </c>
      <c r="R489" s="1">
        <f>SUBTOTAL(109,R482:R488)</f>
        <v>0</v>
      </c>
      <c r="Y489" s="37"/>
    </row>
    <row r="490" spans="1:28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82"/>
      <c r="U490" s="82"/>
      <c r="V490" s="37"/>
      <c r="W490" s="37"/>
      <c r="X490" s="39"/>
      <c r="Y490" s="37"/>
    </row>
    <row r="491" spans="1:28" x14ac:dyDescent="0.3">
      <c r="A491" s="44" t="s">
        <v>33</v>
      </c>
      <c r="B491" s="6" t="s">
        <v>2</v>
      </c>
      <c r="C491" s="7" t="s">
        <v>3</v>
      </c>
      <c r="D491" s="4" t="s">
        <v>4</v>
      </c>
      <c r="E491" s="4" t="s">
        <v>5</v>
      </c>
      <c r="F491" s="4" t="s">
        <v>6</v>
      </c>
      <c r="G491" s="4" t="s">
        <v>7</v>
      </c>
      <c r="H491" s="4" t="s">
        <v>8</v>
      </c>
      <c r="I491" s="4" t="s">
        <v>9</v>
      </c>
      <c r="J491" s="44" t="s">
        <v>33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81" t="s">
        <v>11</v>
      </c>
      <c r="U491" s="81"/>
      <c r="W491" s="13" t="s">
        <v>21</v>
      </c>
      <c r="X491" s="15" t="s">
        <v>17</v>
      </c>
      <c r="Y491" s="37"/>
    </row>
    <row r="492" spans="1:28" x14ac:dyDescent="0.3">
      <c r="A492" s="44">
        <f>A482+1</f>
        <v>47</v>
      </c>
      <c r="B492" s="34" t="str">
        <f>TEXT(Tabelle12173030297208449[[#This Row],[Datum]],"tttt")</f>
        <v>Montag</v>
      </c>
      <c r="C492" s="58">
        <f>C488+1</f>
        <v>44516</v>
      </c>
      <c r="D492" s="31"/>
      <c r="E492" s="31"/>
      <c r="F492" s="31"/>
      <c r="G492" s="31"/>
      <c r="H492" s="31"/>
      <c r="I492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4">
        <f>J482+1</f>
        <v>47</v>
      </c>
      <c r="K492" s="34" t="str">
        <f>TEXT(Tabelle12173030297208449102[[#This Row],[Datum]],"tttt")</f>
        <v>Montag</v>
      </c>
      <c r="L492" s="58">
        <f>L488+1</f>
        <v>44516</v>
      </c>
      <c r="M492" s="31"/>
      <c r="N492" s="31"/>
      <c r="O492" s="31"/>
      <c r="P492" s="31"/>
      <c r="Q492" s="31"/>
      <c r="R492" s="49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2" s="81">
        <f t="shared" ref="T492:T493" si="276">R492-I492</f>
        <v>0</v>
      </c>
      <c r="U492" s="81"/>
      <c r="W492" s="17" t="s">
        <v>18</v>
      </c>
      <c r="X492" s="26">
        <f>I499</f>
        <v>0</v>
      </c>
      <c r="Y492" s="37"/>
    </row>
    <row r="493" spans="1:28" x14ac:dyDescent="0.3">
      <c r="B493" s="34" t="str">
        <f>TEXT(Tabelle12173030297208449[[#This Row],[Datum]],"tttt")</f>
        <v>Dienstag</v>
      </c>
      <c r="C493" s="56">
        <f>C492+1</f>
        <v>44517</v>
      </c>
      <c r="D493" s="31"/>
      <c r="E493" s="31"/>
      <c r="F493" s="31"/>
      <c r="G493" s="31"/>
      <c r="H493" s="31"/>
      <c r="I493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4" t="str">
        <f>TEXT(Tabelle12173030297208449102[[#This Row],[Datum]],"tttt")</f>
        <v>Dienstag</v>
      </c>
      <c r="L493" s="56">
        <f>L492+1</f>
        <v>44517</v>
      </c>
      <c r="M493" s="31"/>
      <c r="N493" s="31"/>
      <c r="O493" s="31"/>
      <c r="P493" s="31"/>
      <c r="Q493" s="31"/>
      <c r="R493" s="50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3" s="81">
        <f t="shared" si="276"/>
        <v>0</v>
      </c>
      <c r="U493" s="81"/>
      <c r="W493" s="17" t="s">
        <v>19</v>
      </c>
      <c r="X493" s="26">
        <f>R499</f>
        <v>0</v>
      </c>
      <c r="Y493" s="37"/>
    </row>
    <row r="494" spans="1:28" x14ac:dyDescent="0.3">
      <c r="B494" s="35" t="str">
        <f>TEXT(Tabelle12173030297208449[[#This Row],[Datum]],"tttt")</f>
        <v>Mittwoch</v>
      </c>
      <c r="C494" s="56">
        <f t="shared" ref="C494:C498" si="277">C493+1</f>
        <v>44518</v>
      </c>
      <c r="D494" s="32"/>
      <c r="E494" s="32"/>
      <c r="F494" s="32"/>
      <c r="G494" s="32"/>
      <c r="H494" s="32"/>
      <c r="I494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5" t="str">
        <f>TEXT(Tabelle12173030297208449102[[#This Row],[Datum]],"tttt")</f>
        <v>Mittwoch</v>
      </c>
      <c r="L494" s="56">
        <f t="shared" ref="L494:L498" si="278">L493+1</f>
        <v>44518</v>
      </c>
      <c r="M494" s="32"/>
      <c r="N494" s="32"/>
      <c r="O494" s="32"/>
      <c r="P494" s="32"/>
      <c r="Q494" s="32"/>
      <c r="R494" s="51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4" s="81">
        <f>R494-I494</f>
        <v>0</v>
      </c>
      <c r="U494" s="81"/>
      <c r="W494" s="20" t="s">
        <v>20</v>
      </c>
      <c r="X494" s="27">
        <f>X493-X492</f>
        <v>0</v>
      </c>
      <c r="Y494" s="37"/>
      <c r="Z494" s="66">
        <f>Z484+X494</f>
        <v>0</v>
      </c>
    </row>
    <row r="495" spans="1:28" x14ac:dyDescent="0.3">
      <c r="B495" s="34" t="str">
        <f>TEXT(Tabelle12173030297208449[[#This Row],[Datum]],"tttt")</f>
        <v>Donnerstag</v>
      </c>
      <c r="C495" s="56">
        <f t="shared" si="277"/>
        <v>44519</v>
      </c>
      <c r="D495" s="31"/>
      <c r="E495" s="31"/>
      <c r="F495" s="31"/>
      <c r="G495" s="31"/>
      <c r="H495" s="31"/>
      <c r="I495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4" t="str">
        <f>TEXT(Tabelle12173030297208449102[[#This Row],[Datum]],"tttt")</f>
        <v>Donnerstag</v>
      </c>
      <c r="L495" s="56">
        <f t="shared" si="278"/>
        <v>44519</v>
      </c>
      <c r="M495" s="31"/>
      <c r="N495" s="31"/>
      <c r="O495" s="31"/>
      <c r="P495" s="31"/>
      <c r="Q495" s="31"/>
      <c r="R495" s="50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5" s="81">
        <f>R495-I495</f>
        <v>0</v>
      </c>
      <c r="U495" s="81"/>
      <c r="Y495" s="37"/>
    </row>
    <row r="496" spans="1:28" x14ac:dyDescent="0.3">
      <c r="B496" s="36" t="str">
        <f>TEXT(Tabelle12173030297208449[[#This Row],[Datum]],"tttt")</f>
        <v>Freitag</v>
      </c>
      <c r="C496" s="56">
        <f t="shared" si="277"/>
        <v>44520</v>
      </c>
      <c r="D496" s="32"/>
      <c r="E496" s="32"/>
      <c r="F496" s="32"/>
      <c r="G496" s="32"/>
      <c r="H496" s="32"/>
      <c r="I496" s="52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6" t="str">
        <f>TEXT(Tabelle12173030297208449102[[#This Row],[Datum]],"tttt")</f>
        <v>Freitag</v>
      </c>
      <c r="L496" s="56">
        <f t="shared" si="278"/>
        <v>44520</v>
      </c>
      <c r="M496" s="32"/>
      <c r="N496" s="32"/>
      <c r="O496" s="32"/>
      <c r="P496" s="32"/>
      <c r="Q496" s="32"/>
      <c r="R496" s="52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6" s="81">
        <f>R496-I496</f>
        <v>0</v>
      </c>
      <c r="U496" s="81"/>
      <c r="Y496" s="37"/>
    </row>
    <row r="497" spans="1:28" x14ac:dyDescent="0.3">
      <c r="B497" s="34" t="str">
        <f>TEXT(Tabelle12173030297208449[[#This Row],[Datum]],"tttt")</f>
        <v>Samstag</v>
      </c>
      <c r="C497" s="56">
        <f t="shared" si="277"/>
        <v>44521</v>
      </c>
      <c r="D497" s="31"/>
      <c r="E497" s="31"/>
      <c r="F497" s="31"/>
      <c r="G497" s="31"/>
      <c r="H497" s="31"/>
      <c r="I497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4" t="str">
        <f>TEXT(Tabelle12173030297208449102[[#This Row],[Datum]],"tttt")</f>
        <v>Samstag</v>
      </c>
      <c r="L497" s="56">
        <f t="shared" si="278"/>
        <v>44521</v>
      </c>
      <c r="M497" s="31"/>
      <c r="N497" s="31"/>
      <c r="O497" s="31"/>
      <c r="P497" s="31"/>
      <c r="Q497" s="31"/>
      <c r="R497" s="50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7" s="81">
        <f t="shared" ref="T497:T498" si="279">R497-I497</f>
        <v>0</v>
      </c>
      <c r="U497" s="81"/>
      <c r="Y497" s="37"/>
    </row>
    <row r="498" spans="1:28" s="40" customFormat="1" x14ac:dyDescent="0.3">
      <c r="B498" s="36" t="str">
        <f>TEXT(Tabelle12173030297208449[[#This Row],[Datum]],"tttt")</f>
        <v>Sonntag</v>
      </c>
      <c r="C498" s="57">
        <f t="shared" si="277"/>
        <v>44522</v>
      </c>
      <c r="D498" s="32"/>
      <c r="E498" s="32"/>
      <c r="F498" s="32"/>
      <c r="G498" s="32"/>
      <c r="H498" s="32"/>
      <c r="I498" s="53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6" t="str">
        <f>TEXT(Tabelle12173030297208449102[[#This Row],[Datum]],"tttt")</f>
        <v>Sonntag</v>
      </c>
      <c r="L498" s="57">
        <f t="shared" si="278"/>
        <v>44522</v>
      </c>
      <c r="M498" s="32"/>
      <c r="N498" s="32"/>
      <c r="O498" s="32"/>
      <c r="P498" s="32"/>
      <c r="Q498" s="32"/>
      <c r="R498" s="53" t="str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0:00</v>
      </c>
      <c r="T498" s="81">
        <f t="shared" si="279"/>
        <v>0</v>
      </c>
      <c r="U498" s="81"/>
      <c r="V498" s="42"/>
      <c r="W498" s="42"/>
      <c r="X498" s="45"/>
      <c r="Y498" s="37"/>
      <c r="AB498" s="41"/>
    </row>
    <row r="499" spans="1:28" x14ac:dyDescent="0.3">
      <c r="B499" s="5"/>
      <c r="C499" s="3"/>
      <c r="D499" s="1"/>
      <c r="E499" s="1"/>
      <c r="F499" s="1"/>
      <c r="G499" s="1">
        <f t="shared" ref="G499:H499" si="280">SUM(G492:G498)</f>
        <v>0</v>
      </c>
      <c r="H499" s="1">
        <f t="shared" si="280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281">SUM(P492:P498)</f>
        <v>0</v>
      </c>
      <c r="Q499" s="1">
        <f t="shared" si="281"/>
        <v>0</v>
      </c>
      <c r="R499" s="1">
        <f>SUBTOTAL(109,R492:R498)</f>
        <v>0</v>
      </c>
      <c r="Y499" s="37"/>
    </row>
    <row r="500" spans="1:28" x14ac:dyDescent="0.3">
      <c r="A500" s="37"/>
      <c r="B500" s="38"/>
      <c r="C500" s="37"/>
      <c r="D500" s="37"/>
      <c r="E500" s="37"/>
      <c r="F500" s="37"/>
      <c r="G500" s="37"/>
      <c r="H500" s="37"/>
      <c r="I500" s="38"/>
      <c r="J500" s="37"/>
      <c r="K500" s="38"/>
      <c r="L500" s="37"/>
      <c r="M500" s="37"/>
      <c r="N500" s="37"/>
      <c r="O500" s="37"/>
      <c r="P500" s="37"/>
      <c r="Q500" s="37"/>
      <c r="R500" s="38"/>
      <c r="S500" s="37"/>
      <c r="T500" s="82"/>
      <c r="U500" s="82"/>
      <c r="V500" s="37"/>
      <c r="W500" s="37"/>
      <c r="X500" s="39"/>
      <c r="Y500" s="37"/>
    </row>
    <row r="501" spans="1:28" x14ac:dyDescent="0.3">
      <c r="A501" s="44" t="s">
        <v>33</v>
      </c>
      <c r="B501" s="6" t="s">
        <v>2</v>
      </c>
      <c r="C501" s="7" t="s">
        <v>3</v>
      </c>
      <c r="D501" s="4" t="s">
        <v>4</v>
      </c>
      <c r="E501" s="4" t="s">
        <v>5</v>
      </c>
      <c r="F501" s="4" t="s">
        <v>6</v>
      </c>
      <c r="G501" s="4" t="s">
        <v>7</v>
      </c>
      <c r="H501" s="4" t="s">
        <v>8</v>
      </c>
      <c r="I501" s="4" t="s">
        <v>9</v>
      </c>
      <c r="J501" s="44" t="s">
        <v>33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81" t="s">
        <v>11</v>
      </c>
      <c r="U501" s="81"/>
      <c r="W501" s="13" t="s">
        <v>21</v>
      </c>
      <c r="X501" s="15" t="s">
        <v>17</v>
      </c>
      <c r="Y501" s="37"/>
    </row>
    <row r="502" spans="1:28" x14ac:dyDescent="0.3">
      <c r="A502" s="44">
        <f>A492+1</f>
        <v>48</v>
      </c>
      <c r="B502" s="34" t="str">
        <f>TEXT(Tabelle1217303029720850[[#This Row],[Datum]],"tttt")</f>
        <v>Montag</v>
      </c>
      <c r="C502" s="58">
        <f>C498+1</f>
        <v>44523</v>
      </c>
      <c r="D502" s="31"/>
      <c r="E502" s="31"/>
      <c r="F502" s="31"/>
      <c r="G502" s="31"/>
      <c r="H502" s="31"/>
      <c r="I502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4">
        <f>J492+1</f>
        <v>48</v>
      </c>
      <c r="K502" s="34" t="str">
        <f>TEXT(Tabelle1217303029720850103[[#This Row],[Datum]],"tttt")</f>
        <v>Montag</v>
      </c>
      <c r="L502" s="58">
        <f>L498+1</f>
        <v>44523</v>
      </c>
      <c r="M502" s="31"/>
      <c r="N502" s="31"/>
      <c r="O502" s="31"/>
      <c r="P502" s="31"/>
      <c r="Q502" s="31"/>
      <c r="R502" s="49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2" s="81">
        <f t="shared" ref="T502:T503" si="282">R502-I502</f>
        <v>0</v>
      </c>
      <c r="U502" s="81"/>
      <c r="W502" s="17" t="s">
        <v>18</v>
      </c>
      <c r="X502" s="26">
        <f>I509</f>
        <v>0</v>
      </c>
      <c r="Y502" s="37"/>
    </row>
    <row r="503" spans="1:28" x14ac:dyDescent="0.3">
      <c r="B503" s="34" t="str">
        <f>TEXT(Tabelle1217303029720850[[#This Row],[Datum]],"tttt")</f>
        <v>Dienstag</v>
      </c>
      <c r="C503" s="56">
        <f>C502+1</f>
        <v>44524</v>
      </c>
      <c r="D503" s="31"/>
      <c r="E503" s="31"/>
      <c r="F503" s="31"/>
      <c r="G503" s="31"/>
      <c r="H503" s="31"/>
      <c r="I503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4" t="str">
        <f>TEXT(Tabelle1217303029720850103[[#This Row],[Datum]],"tttt")</f>
        <v>Dienstag</v>
      </c>
      <c r="L503" s="56">
        <f>L502+1</f>
        <v>44524</v>
      </c>
      <c r="M503" s="31"/>
      <c r="N503" s="31"/>
      <c r="O503" s="31"/>
      <c r="P503" s="31"/>
      <c r="Q503" s="31"/>
      <c r="R503" s="50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3" s="81">
        <f t="shared" si="282"/>
        <v>0</v>
      </c>
      <c r="U503" s="81"/>
      <c r="W503" s="17" t="s">
        <v>19</v>
      </c>
      <c r="X503" s="26">
        <f>R509</f>
        <v>0</v>
      </c>
      <c r="Y503" s="37"/>
    </row>
    <row r="504" spans="1:28" x14ac:dyDescent="0.3">
      <c r="B504" s="35" t="str">
        <f>TEXT(Tabelle1217303029720850[[#This Row],[Datum]],"tttt")</f>
        <v>Mittwoch</v>
      </c>
      <c r="C504" s="56">
        <f t="shared" ref="C504:C508" si="283">C503+1</f>
        <v>44525</v>
      </c>
      <c r="D504" s="32"/>
      <c r="E504" s="32"/>
      <c r="F504" s="32"/>
      <c r="G504" s="32"/>
      <c r="H504" s="32"/>
      <c r="I504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5" t="str">
        <f>TEXT(Tabelle1217303029720850103[[#This Row],[Datum]],"tttt")</f>
        <v>Mittwoch</v>
      </c>
      <c r="L504" s="56">
        <f t="shared" ref="L504:L508" si="284">L503+1</f>
        <v>44525</v>
      </c>
      <c r="M504" s="32"/>
      <c r="N504" s="32"/>
      <c r="O504" s="32"/>
      <c r="P504" s="32"/>
      <c r="Q504" s="32"/>
      <c r="R504" s="51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4" s="81">
        <f>R504-I504</f>
        <v>0</v>
      </c>
      <c r="U504" s="81"/>
      <c r="W504" s="20" t="s">
        <v>20</v>
      </c>
      <c r="X504" s="27">
        <f>X503-X502</f>
        <v>0</v>
      </c>
      <c r="Y504" s="37"/>
      <c r="Z504" s="66">
        <f>Z494+X504</f>
        <v>0</v>
      </c>
    </row>
    <row r="505" spans="1:28" x14ac:dyDescent="0.3">
      <c r="B505" s="34" t="str">
        <f>TEXT(Tabelle1217303029720850[[#This Row],[Datum]],"tttt")</f>
        <v>Donnerstag</v>
      </c>
      <c r="C505" s="56">
        <f t="shared" si="283"/>
        <v>44526</v>
      </c>
      <c r="D505" s="31"/>
      <c r="E505" s="31"/>
      <c r="F505" s="31"/>
      <c r="G505" s="31"/>
      <c r="H505" s="31"/>
      <c r="I505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4" t="str">
        <f>TEXT(Tabelle1217303029720850103[[#This Row],[Datum]],"tttt")</f>
        <v>Donnerstag</v>
      </c>
      <c r="L505" s="56">
        <f t="shared" si="284"/>
        <v>44526</v>
      </c>
      <c r="M505" s="31"/>
      <c r="N505" s="31"/>
      <c r="O505" s="31"/>
      <c r="P505" s="31"/>
      <c r="Q505" s="31"/>
      <c r="R505" s="50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5" s="81">
        <f>R505-I505</f>
        <v>0</v>
      </c>
      <c r="U505" s="81"/>
      <c r="Y505" s="37"/>
    </row>
    <row r="506" spans="1:28" x14ac:dyDescent="0.3">
      <c r="B506" s="36" t="str">
        <f>TEXT(Tabelle1217303029720850[[#This Row],[Datum]],"tttt")</f>
        <v>Freitag</v>
      </c>
      <c r="C506" s="56">
        <f t="shared" si="283"/>
        <v>44527</v>
      </c>
      <c r="D506" s="32"/>
      <c r="E506" s="32"/>
      <c r="F506" s="32"/>
      <c r="G506" s="32"/>
      <c r="H506" s="32"/>
      <c r="I506" s="52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6" t="str">
        <f>TEXT(Tabelle1217303029720850103[[#This Row],[Datum]],"tttt")</f>
        <v>Freitag</v>
      </c>
      <c r="L506" s="56">
        <f t="shared" si="284"/>
        <v>44527</v>
      </c>
      <c r="M506" s="32"/>
      <c r="N506" s="32"/>
      <c r="O506" s="32"/>
      <c r="P506" s="32"/>
      <c r="Q506" s="32"/>
      <c r="R506" s="52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6" s="81">
        <f>R506-I506</f>
        <v>0</v>
      </c>
      <c r="U506" s="81"/>
      <c r="Y506" s="37"/>
    </row>
    <row r="507" spans="1:28" x14ac:dyDescent="0.3">
      <c r="B507" s="34" t="str">
        <f>TEXT(Tabelle1217303029720850[[#This Row],[Datum]],"tttt")</f>
        <v>Samstag</v>
      </c>
      <c r="C507" s="56">
        <f t="shared" si="283"/>
        <v>44528</v>
      </c>
      <c r="D507" s="31"/>
      <c r="E507" s="31"/>
      <c r="F507" s="31"/>
      <c r="G507" s="31"/>
      <c r="H507" s="31"/>
      <c r="I507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4" t="str">
        <f>TEXT(Tabelle1217303029720850103[[#This Row],[Datum]],"tttt")</f>
        <v>Samstag</v>
      </c>
      <c r="L507" s="56">
        <f t="shared" si="284"/>
        <v>44528</v>
      </c>
      <c r="M507" s="31"/>
      <c r="N507" s="31"/>
      <c r="O507" s="31"/>
      <c r="P507" s="31"/>
      <c r="Q507" s="31"/>
      <c r="R507" s="50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7" s="81">
        <f t="shared" ref="T507:T508" si="285">R507-I507</f>
        <v>0</v>
      </c>
      <c r="U507" s="81"/>
      <c r="Y507" s="37"/>
    </row>
    <row r="508" spans="1:28" s="40" customFormat="1" x14ac:dyDescent="0.3">
      <c r="B508" s="36" t="str">
        <f>TEXT(Tabelle1217303029720850[[#This Row],[Datum]],"tttt")</f>
        <v>Sonntag</v>
      </c>
      <c r="C508" s="57">
        <f t="shared" si="283"/>
        <v>44529</v>
      </c>
      <c r="D508" s="32"/>
      <c r="E508" s="32"/>
      <c r="F508" s="32"/>
      <c r="G508" s="32"/>
      <c r="H508" s="32"/>
      <c r="I508" s="53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6" t="str">
        <f>TEXT(Tabelle1217303029720850103[[#This Row],[Datum]],"tttt")</f>
        <v>Sonntag</v>
      </c>
      <c r="L508" s="57">
        <f t="shared" si="284"/>
        <v>44529</v>
      </c>
      <c r="M508" s="32"/>
      <c r="N508" s="32"/>
      <c r="O508" s="32"/>
      <c r="P508" s="32"/>
      <c r="Q508" s="32"/>
      <c r="R508" s="53" t="str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0:00</v>
      </c>
      <c r="T508" s="81">
        <f t="shared" si="285"/>
        <v>0</v>
      </c>
      <c r="U508" s="81"/>
      <c r="V508" s="42"/>
      <c r="W508" s="42"/>
      <c r="X508" s="45"/>
      <c r="Y508" s="37"/>
      <c r="AB508" s="41"/>
    </row>
    <row r="509" spans="1:28" x14ac:dyDescent="0.3">
      <c r="B509" s="5"/>
      <c r="C509" s="3"/>
      <c r="D509" s="1"/>
      <c r="E509" s="1"/>
      <c r="F509" s="1"/>
      <c r="G509" s="1">
        <f t="shared" ref="G509:H509" si="286">SUM(G502:G508)</f>
        <v>0</v>
      </c>
      <c r="H509" s="1">
        <f t="shared" si="286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287">SUM(P502:P508)</f>
        <v>0</v>
      </c>
      <c r="Q509" s="1">
        <f t="shared" si="287"/>
        <v>0</v>
      </c>
      <c r="R509" s="1">
        <f>SUBTOTAL(109,R502:R508)</f>
        <v>0</v>
      </c>
      <c r="Y509" s="37"/>
    </row>
    <row r="510" spans="1:28" x14ac:dyDescent="0.3">
      <c r="A510" s="37"/>
      <c r="B510" s="38"/>
      <c r="C510" s="37"/>
      <c r="D510" s="37"/>
      <c r="E510" s="37"/>
      <c r="F510" s="37"/>
      <c r="G510" s="37"/>
      <c r="H510" s="37"/>
      <c r="I510" s="38"/>
      <c r="J510" s="37"/>
      <c r="K510" s="38"/>
      <c r="L510" s="37"/>
      <c r="M510" s="37"/>
      <c r="N510" s="37"/>
      <c r="O510" s="37"/>
      <c r="P510" s="37"/>
      <c r="Q510" s="37"/>
      <c r="R510" s="38"/>
      <c r="S510" s="37"/>
      <c r="T510" s="82"/>
      <c r="U510" s="82"/>
      <c r="V510" s="37"/>
      <c r="W510" s="37"/>
      <c r="X510" s="39"/>
      <c r="Y510" s="37"/>
    </row>
    <row r="511" spans="1:28" x14ac:dyDescent="0.3">
      <c r="A511" s="44" t="s">
        <v>33</v>
      </c>
      <c r="B511" s="6" t="s">
        <v>2</v>
      </c>
      <c r="C511" s="7" t="s">
        <v>3</v>
      </c>
      <c r="D511" s="4" t="s">
        <v>4</v>
      </c>
      <c r="E511" s="4" t="s">
        <v>5</v>
      </c>
      <c r="F511" s="4" t="s">
        <v>6</v>
      </c>
      <c r="G511" s="4" t="s">
        <v>7</v>
      </c>
      <c r="H511" s="4" t="s">
        <v>8</v>
      </c>
      <c r="I511" s="4" t="s">
        <v>9</v>
      </c>
      <c r="J511" s="44" t="s">
        <v>33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81" t="s">
        <v>11</v>
      </c>
      <c r="U511" s="81"/>
      <c r="W511" s="13" t="s">
        <v>21</v>
      </c>
      <c r="X511" s="15" t="s">
        <v>17</v>
      </c>
      <c r="Y511" s="37"/>
    </row>
    <row r="512" spans="1:28" x14ac:dyDescent="0.3">
      <c r="A512" s="44">
        <f>A502+1</f>
        <v>49</v>
      </c>
      <c r="B512" s="34" t="str">
        <f>TEXT(Tabelle12173030297208351[[#This Row],[Datum]],"tttt")</f>
        <v>Montag</v>
      </c>
      <c r="C512" s="58">
        <f>C508+1</f>
        <v>44530</v>
      </c>
      <c r="D512" s="31"/>
      <c r="E512" s="31"/>
      <c r="F512" s="31"/>
      <c r="G512" s="31"/>
      <c r="H512" s="31"/>
      <c r="I512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4">
        <f>J502+1</f>
        <v>49</v>
      </c>
      <c r="K512" s="34" t="str">
        <f>TEXT(Tabelle12173030297208351104[[#This Row],[Datum]],"tttt")</f>
        <v>Montag</v>
      </c>
      <c r="L512" s="58">
        <f>L508+1</f>
        <v>44530</v>
      </c>
      <c r="M512" s="31"/>
      <c r="N512" s="31"/>
      <c r="O512" s="31"/>
      <c r="P512" s="31"/>
      <c r="Q512" s="31"/>
      <c r="R512" s="49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2" s="81">
        <f t="shared" ref="T512:T513" si="288">R512-I512</f>
        <v>0</v>
      </c>
      <c r="U512" s="81"/>
      <c r="W512" s="17" t="s">
        <v>18</v>
      </c>
      <c r="X512" s="26">
        <f>I519</f>
        <v>0</v>
      </c>
      <c r="Y512" s="37"/>
    </row>
    <row r="513" spans="1:28" x14ac:dyDescent="0.3">
      <c r="B513" s="34" t="str">
        <f>TEXT(Tabelle12173030297208351[[#This Row],[Datum]],"tttt")</f>
        <v>Dienstag</v>
      </c>
      <c r="C513" s="56">
        <f>C512+1</f>
        <v>44531</v>
      </c>
      <c r="D513" s="31"/>
      <c r="E513" s="31"/>
      <c r="F513" s="31"/>
      <c r="G513" s="31"/>
      <c r="H513" s="31"/>
      <c r="I513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4" t="str">
        <f>TEXT(Tabelle12173030297208351104[[#This Row],[Datum]],"tttt")</f>
        <v>Dienstag</v>
      </c>
      <c r="L513" s="56">
        <f>L512+1</f>
        <v>44531</v>
      </c>
      <c r="M513" s="31"/>
      <c r="N513" s="31"/>
      <c r="O513" s="31"/>
      <c r="P513" s="31"/>
      <c r="Q513" s="31"/>
      <c r="R513" s="50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3" s="81">
        <f t="shared" si="288"/>
        <v>0</v>
      </c>
      <c r="U513" s="81"/>
      <c r="W513" s="17" t="s">
        <v>19</v>
      </c>
      <c r="X513" s="26">
        <f>R519</f>
        <v>0</v>
      </c>
      <c r="Y513" s="37"/>
    </row>
    <row r="514" spans="1:28" x14ac:dyDescent="0.3">
      <c r="B514" s="35" t="str">
        <f>TEXT(Tabelle12173030297208351[[#This Row],[Datum]],"tttt")</f>
        <v>Mittwoch</v>
      </c>
      <c r="C514" s="56">
        <f t="shared" ref="C514:C518" si="289">C513+1</f>
        <v>44532</v>
      </c>
      <c r="D514" s="32"/>
      <c r="E514" s="32"/>
      <c r="F514" s="32"/>
      <c r="G514" s="32"/>
      <c r="H514" s="32"/>
      <c r="I514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5" t="str">
        <f>TEXT(Tabelle12173030297208351104[[#This Row],[Datum]],"tttt")</f>
        <v>Mittwoch</v>
      </c>
      <c r="L514" s="56">
        <f t="shared" ref="L514:L518" si="290">L513+1</f>
        <v>44532</v>
      </c>
      <c r="M514" s="32"/>
      <c r="N514" s="32"/>
      <c r="O514" s="32"/>
      <c r="P514" s="32"/>
      <c r="Q514" s="32"/>
      <c r="R514" s="51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4" s="81">
        <f>R514-I514</f>
        <v>0</v>
      </c>
      <c r="U514" s="81"/>
      <c r="W514" s="20" t="s">
        <v>20</v>
      </c>
      <c r="X514" s="27">
        <f>X513-X512</f>
        <v>0</v>
      </c>
      <c r="Y514" s="37"/>
      <c r="Z514" s="66">
        <f>Z504+X514</f>
        <v>0</v>
      </c>
    </row>
    <row r="515" spans="1:28" x14ac:dyDescent="0.3">
      <c r="B515" s="34" t="str">
        <f>TEXT(Tabelle12173030297208351[[#This Row],[Datum]],"tttt")</f>
        <v>Donnerstag</v>
      </c>
      <c r="C515" s="56">
        <f t="shared" si="289"/>
        <v>44533</v>
      </c>
      <c r="D515" s="31"/>
      <c r="E515" s="31"/>
      <c r="F515" s="31"/>
      <c r="G515" s="31"/>
      <c r="H515" s="31"/>
      <c r="I515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4" t="str">
        <f>TEXT(Tabelle12173030297208351104[[#This Row],[Datum]],"tttt")</f>
        <v>Donnerstag</v>
      </c>
      <c r="L515" s="56">
        <f t="shared" si="290"/>
        <v>44533</v>
      </c>
      <c r="M515" s="31"/>
      <c r="N515" s="31"/>
      <c r="O515" s="31"/>
      <c r="P515" s="31"/>
      <c r="Q515" s="31"/>
      <c r="R515" s="50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5" s="81">
        <f>R515-I515</f>
        <v>0</v>
      </c>
      <c r="U515" s="81"/>
      <c r="Y515" s="37"/>
    </row>
    <row r="516" spans="1:28" x14ac:dyDescent="0.3">
      <c r="B516" s="36" t="str">
        <f>TEXT(Tabelle12173030297208351[[#This Row],[Datum]],"tttt")</f>
        <v>Freitag</v>
      </c>
      <c r="C516" s="56">
        <f t="shared" si="289"/>
        <v>44534</v>
      </c>
      <c r="D516" s="32"/>
      <c r="E516" s="32"/>
      <c r="F516" s="32"/>
      <c r="G516" s="32"/>
      <c r="H516" s="32"/>
      <c r="I516" s="52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6" t="str">
        <f>TEXT(Tabelle12173030297208351104[[#This Row],[Datum]],"tttt")</f>
        <v>Freitag</v>
      </c>
      <c r="L516" s="56">
        <f t="shared" si="290"/>
        <v>44534</v>
      </c>
      <c r="M516" s="32"/>
      <c r="N516" s="32"/>
      <c r="O516" s="32"/>
      <c r="P516" s="32"/>
      <c r="Q516" s="32"/>
      <c r="R516" s="52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6" s="81">
        <f>R516-I516</f>
        <v>0</v>
      </c>
      <c r="U516" s="81"/>
      <c r="Y516" s="37"/>
    </row>
    <row r="517" spans="1:28" x14ac:dyDescent="0.3">
      <c r="B517" s="34" t="str">
        <f>TEXT(Tabelle12173030297208351[[#This Row],[Datum]],"tttt")</f>
        <v>Samstag</v>
      </c>
      <c r="C517" s="56">
        <f t="shared" si="289"/>
        <v>44535</v>
      </c>
      <c r="D517" s="31"/>
      <c r="E517" s="31"/>
      <c r="F517" s="31"/>
      <c r="G517" s="31"/>
      <c r="H517" s="31"/>
      <c r="I517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4" t="str">
        <f>TEXT(Tabelle12173030297208351104[[#This Row],[Datum]],"tttt")</f>
        <v>Samstag</v>
      </c>
      <c r="L517" s="56">
        <f t="shared" si="290"/>
        <v>44535</v>
      </c>
      <c r="M517" s="31"/>
      <c r="N517" s="31"/>
      <c r="O517" s="31"/>
      <c r="P517" s="31"/>
      <c r="Q517" s="31"/>
      <c r="R517" s="50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7" s="81">
        <f t="shared" ref="T517:T518" si="291">R517-I517</f>
        <v>0</v>
      </c>
      <c r="U517" s="81"/>
      <c r="Y517" s="37"/>
    </row>
    <row r="518" spans="1:28" s="40" customFormat="1" x14ac:dyDescent="0.3">
      <c r="B518" s="36" t="str">
        <f>TEXT(Tabelle12173030297208351[[#This Row],[Datum]],"tttt")</f>
        <v>Sonntag</v>
      </c>
      <c r="C518" s="57">
        <f t="shared" si="289"/>
        <v>44536</v>
      </c>
      <c r="D518" s="32"/>
      <c r="E518" s="32"/>
      <c r="F518" s="32"/>
      <c r="G518" s="32"/>
      <c r="H518" s="32"/>
      <c r="I518" s="53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6" t="str">
        <f>TEXT(Tabelle12173030297208351104[[#This Row],[Datum]],"tttt")</f>
        <v>Sonntag</v>
      </c>
      <c r="L518" s="57">
        <f t="shared" si="290"/>
        <v>44536</v>
      </c>
      <c r="M518" s="32"/>
      <c r="N518" s="32"/>
      <c r="O518" s="32"/>
      <c r="P518" s="32"/>
      <c r="Q518" s="32"/>
      <c r="R518" s="53" t="str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0:00</v>
      </c>
      <c r="T518" s="81">
        <f t="shared" si="291"/>
        <v>0</v>
      </c>
      <c r="U518" s="81"/>
      <c r="V518" s="42"/>
      <c r="W518" s="42"/>
      <c r="X518" s="45"/>
      <c r="Y518" s="37"/>
      <c r="AB518" s="41"/>
    </row>
    <row r="519" spans="1:28" x14ac:dyDescent="0.3">
      <c r="B519" s="5"/>
      <c r="C519" s="3"/>
      <c r="D519" s="1"/>
      <c r="E519" s="1"/>
      <c r="F519" s="1"/>
      <c r="G519" s="1">
        <f t="shared" ref="G519:H519" si="292">SUM(G512:G518)</f>
        <v>0</v>
      </c>
      <c r="H519" s="1">
        <f t="shared" si="292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293">SUM(P512:P518)</f>
        <v>0</v>
      </c>
      <c r="Q519" s="1">
        <f t="shared" si="293"/>
        <v>0</v>
      </c>
      <c r="R519" s="1">
        <f>SUBTOTAL(109,R512:R518)</f>
        <v>0</v>
      </c>
      <c r="Y519" s="37"/>
    </row>
    <row r="520" spans="1:28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82"/>
      <c r="U520" s="82"/>
      <c r="V520" s="37"/>
      <c r="W520" s="37"/>
      <c r="X520" s="39"/>
      <c r="Y520" s="37"/>
    </row>
    <row r="521" spans="1:28" x14ac:dyDescent="0.3">
      <c r="A521" s="44" t="s">
        <v>33</v>
      </c>
      <c r="B521" s="6" t="s">
        <v>2</v>
      </c>
      <c r="C521" s="7" t="s">
        <v>3</v>
      </c>
      <c r="D521" s="4" t="s">
        <v>4</v>
      </c>
      <c r="E521" s="4" t="s">
        <v>5</v>
      </c>
      <c r="F521" s="4" t="s">
        <v>6</v>
      </c>
      <c r="G521" s="4" t="s">
        <v>7</v>
      </c>
      <c r="H521" s="4" t="s">
        <v>8</v>
      </c>
      <c r="I521" s="4" t="s">
        <v>9</v>
      </c>
      <c r="J521" s="44" t="s">
        <v>33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81" t="s">
        <v>11</v>
      </c>
      <c r="U521" s="81"/>
      <c r="W521" s="13" t="s">
        <v>21</v>
      </c>
      <c r="X521" s="15" t="s">
        <v>17</v>
      </c>
      <c r="Y521" s="37"/>
    </row>
    <row r="522" spans="1:28" x14ac:dyDescent="0.3">
      <c r="A522" s="44">
        <f>A512+1</f>
        <v>50</v>
      </c>
      <c r="B522" s="34" t="str">
        <f>TEXT(Tabelle12173030297208452[[#This Row],[Datum]],"tttt")</f>
        <v>Montag</v>
      </c>
      <c r="C522" s="58">
        <f>C518+1</f>
        <v>44537</v>
      </c>
      <c r="D522" s="31"/>
      <c r="E522" s="31"/>
      <c r="F522" s="31"/>
      <c r="G522" s="31"/>
      <c r="H522" s="31"/>
      <c r="I522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4">
        <f>J512+1</f>
        <v>50</v>
      </c>
      <c r="K522" s="34" t="str">
        <f>TEXT(Tabelle12173030297208452105[[#This Row],[Datum]],"tttt")</f>
        <v>Montag</v>
      </c>
      <c r="L522" s="58">
        <f>L518+1</f>
        <v>44537</v>
      </c>
      <c r="M522" s="31"/>
      <c r="N522" s="31"/>
      <c r="O522" s="31"/>
      <c r="P522" s="31"/>
      <c r="Q522" s="31"/>
      <c r="R522" s="49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2" s="81">
        <f t="shared" ref="T522:T523" si="294">R522-I522</f>
        <v>0</v>
      </c>
      <c r="U522" s="81"/>
      <c r="W522" s="17" t="s">
        <v>18</v>
      </c>
      <c r="X522" s="26">
        <f>I529</f>
        <v>0</v>
      </c>
      <c r="Y522" s="37"/>
    </row>
    <row r="523" spans="1:28" x14ac:dyDescent="0.3">
      <c r="B523" s="34" t="str">
        <f>TEXT(Tabelle12173030297208452[[#This Row],[Datum]],"tttt")</f>
        <v>Dienstag</v>
      </c>
      <c r="C523" s="56">
        <f>C522+1</f>
        <v>44538</v>
      </c>
      <c r="D523" s="31"/>
      <c r="E523" s="31"/>
      <c r="F523" s="31"/>
      <c r="G523" s="31"/>
      <c r="H523" s="31"/>
      <c r="I523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4" t="str">
        <f>TEXT(Tabelle12173030297208452105[[#This Row],[Datum]],"tttt")</f>
        <v>Dienstag</v>
      </c>
      <c r="L523" s="56">
        <f>L522+1</f>
        <v>44538</v>
      </c>
      <c r="M523" s="31"/>
      <c r="N523" s="31"/>
      <c r="O523" s="31"/>
      <c r="P523" s="31"/>
      <c r="Q523" s="31"/>
      <c r="R523" s="50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3" s="81">
        <f t="shared" si="294"/>
        <v>0</v>
      </c>
      <c r="U523" s="81"/>
      <c r="W523" s="17" t="s">
        <v>19</v>
      </c>
      <c r="X523" s="26">
        <f>R529</f>
        <v>0</v>
      </c>
      <c r="Y523" s="37"/>
    </row>
    <row r="524" spans="1:28" x14ac:dyDescent="0.3">
      <c r="B524" s="35" t="str">
        <f>TEXT(Tabelle12173030297208452[[#This Row],[Datum]],"tttt")</f>
        <v>Mittwoch</v>
      </c>
      <c r="C524" s="56">
        <f t="shared" ref="C524:C528" si="295">C523+1</f>
        <v>44539</v>
      </c>
      <c r="D524" s="32"/>
      <c r="E524" s="32"/>
      <c r="F524" s="32"/>
      <c r="G524" s="32"/>
      <c r="H524" s="32"/>
      <c r="I524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5" t="str">
        <f>TEXT(Tabelle12173030297208452105[[#This Row],[Datum]],"tttt")</f>
        <v>Mittwoch</v>
      </c>
      <c r="L524" s="56">
        <f t="shared" ref="L524:L528" si="296">L523+1</f>
        <v>44539</v>
      </c>
      <c r="M524" s="32"/>
      <c r="N524" s="32"/>
      <c r="O524" s="32"/>
      <c r="P524" s="32"/>
      <c r="Q524" s="32"/>
      <c r="R524" s="51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4" s="81">
        <f>R524-I524</f>
        <v>0</v>
      </c>
      <c r="U524" s="81"/>
      <c r="W524" s="20" t="s">
        <v>20</v>
      </c>
      <c r="X524" s="27">
        <f>X523-X522</f>
        <v>0</v>
      </c>
      <c r="Y524" s="37"/>
      <c r="Z524" s="66">
        <f>Z514+X524</f>
        <v>0</v>
      </c>
    </row>
    <row r="525" spans="1:28" x14ac:dyDescent="0.3">
      <c r="B525" s="34" t="str">
        <f>TEXT(Tabelle12173030297208452[[#This Row],[Datum]],"tttt")</f>
        <v>Donnerstag</v>
      </c>
      <c r="C525" s="56">
        <f t="shared" si="295"/>
        <v>44540</v>
      </c>
      <c r="D525" s="31"/>
      <c r="E525" s="31"/>
      <c r="F525" s="31"/>
      <c r="G525" s="31"/>
      <c r="H525" s="31"/>
      <c r="I525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4" t="str">
        <f>TEXT(Tabelle12173030297208452105[[#This Row],[Datum]],"tttt")</f>
        <v>Donnerstag</v>
      </c>
      <c r="L525" s="56">
        <f t="shared" si="296"/>
        <v>44540</v>
      </c>
      <c r="M525" s="31"/>
      <c r="N525" s="31"/>
      <c r="O525" s="31"/>
      <c r="P525" s="31"/>
      <c r="Q525" s="31"/>
      <c r="R525" s="50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5" s="81">
        <f>R525-I525</f>
        <v>0</v>
      </c>
      <c r="U525" s="81"/>
      <c r="Y525" s="37"/>
    </row>
    <row r="526" spans="1:28" x14ac:dyDescent="0.3">
      <c r="B526" s="36" t="str">
        <f>TEXT(Tabelle12173030297208452[[#This Row],[Datum]],"tttt")</f>
        <v>Freitag</v>
      </c>
      <c r="C526" s="56">
        <f t="shared" si="295"/>
        <v>44541</v>
      </c>
      <c r="D526" s="32"/>
      <c r="E526" s="32"/>
      <c r="F526" s="32"/>
      <c r="G526" s="32"/>
      <c r="H526" s="32"/>
      <c r="I526" s="52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6" t="str">
        <f>TEXT(Tabelle12173030297208452105[[#This Row],[Datum]],"tttt")</f>
        <v>Freitag</v>
      </c>
      <c r="L526" s="56">
        <f t="shared" si="296"/>
        <v>44541</v>
      </c>
      <c r="M526" s="32"/>
      <c r="N526" s="32"/>
      <c r="O526" s="32"/>
      <c r="P526" s="32"/>
      <c r="Q526" s="32"/>
      <c r="R526" s="52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6" s="81">
        <f>R526-I526</f>
        <v>0</v>
      </c>
      <c r="U526" s="81"/>
      <c r="Y526" s="37"/>
    </row>
    <row r="527" spans="1:28" x14ac:dyDescent="0.3">
      <c r="B527" s="34" t="str">
        <f>TEXT(Tabelle12173030297208452[[#This Row],[Datum]],"tttt")</f>
        <v>Samstag</v>
      </c>
      <c r="C527" s="56">
        <f t="shared" si="295"/>
        <v>44542</v>
      </c>
      <c r="D527" s="31"/>
      <c r="E527" s="31"/>
      <c r="F527" s="31"/>
      <c r="G527" s="31"/>
      <c r="H527" s="31"/>
      <c r="I527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4" t="str">
        <f>TEXT(Tabelle12173030297208452105[[#This Row],[Datum]],"tttt")</f>
        <v>Samstag</v>
      </c>
      <c r="L527" s="56">
        <f t="shared" si="296"/>
        <v>44542</v>
      </c>
      <c r="M527" s="31"/>
      <c r="N527" s="31"/>
      <c r="O527" s="31"/>
      <c r="P527" s="31"/>
      <c r="Q527" s="31"/>
      <c r="R527" s="50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7" s="81">
        <f t="shared" ref="T527:T528" si="297">R527-I527</f>
        <v>0</v>
      </c>
      <c r="U527" s="81"/>
      <c r="Y527" s="37"/>
    </row>
    <row r="528" spans="1:28" s="40" customFormat="1" x14ac:dyDescent="0.3">
      <c r="B528" s="36" t="str">
        <f>TEXT(Tabelle12173030297208452[[#This Row],[Datum]],"tttt")</f>
        <v>Sonntag</v>
      </c>
      <c r="C528" s="57">
        <f t="shared" si="295"/>
        <v>44543</v>
      </c>
      <c r="D528" s="32"/>
      <c r="E528" s="32"/>
      <c r="F528" s="32"/>
      <c r="G528" s="32"/>
      <c r="H528" s="32"/>
      <c r="I528" s="53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6" t="str">
        <f>TEXT(Tabelle12173030297208452105[[#This Row],[Datum]],"tttt")</f>
        <v>Sonntag</v>
      </c>
      <c r="L528" s="57">
        <f t="shared" si="296"/>
        <v>44543</v>
      </c>
      <c r="M528" s="32"/>
      <c r="N528" s="32"/>
      <c r="O528" s="32"/>
      <c r="P528" s="32"/>
      <c r="Q528" s="32"/>
      <c r="R528" s="53" t="str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0:00</v>
      </c>
      <c r="T528" s="81">
        <f t="shared" si="297"/>
        <v>0</v>
      </c>
      <c r="U528" s="81"/>
      <c r="V528" s="42"/>
      <c r="W528" s="42"/>
      <c r="X528" s="45"/>
      <c r="Y528" s="37"/>
      <c r="AB528" s="41"/>
    </row>
    <row r="529" spans="1:28" x14ac:dyDescent="0.3">
      <c r="B529" s="5"/>
      <c r="C529" s="3"/>
      <c r="D529" s="1"/>
      <c r="E529" s="1"/>
      <c r="F529" s="1"/>
      <c r="G529" s="1">
        <f t="shared" ref="G529:H529" si="298">SUM(G522:G528)</f>
        <v>0</v>
      </c>
      <c r="H529" s="1">
        <f t="shared" si="298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299">SUM(P522:P528)</f>
        <v>0</v>
      </c>
      <c r="Q529" s="1">
        <f t="shared" si="299"/>
        <v>0</v>
      </c>
      <c r="R529" s="1">
        <f>SUBTOTAL(109,R522:R528)</f>
        <v>0</v>
      </c>
      <c r="Y529" s="37"/>
    </row>
    <row r="530" spans="1:28" x14ac:dyDescent="0.3">
      <c r="A530" s="37"/>
      <c r="B530" s="38"/>
      <c r="C530" s="37"/>
      <c r="D530" s="37"/>
      <c r="E530" s="37"/>
      <c r="F530" s="37"/>
      <c r="G530" s="37"/>
      <c r="H530" s="37"/>
      <c r="I530" s="38"/>
      <c r="J530" s="37"/>
      <c r="K530" s="38"/>
      <c r="L530" s="37"/>
      <c r="M530" s="37"/>
      <c r="N530" s="37"/>
      <c r="O530" s="37"/>
      <c r="P530" s="37"/>
      <c r="Q530" s="37"/>
      <c r="R530" s="38"/>
      <c r="S530" s="37"/>
      <c r="T530" s="82"/>
      <c r="U530" s="82"/>
      <c r="V530" s="37"/>
      <c r="W530" s="37"/>
      <c r="X530" s="39"/>
      <c r="Y530" s="37"/>
    </row>
    <row r="531" spans="1:28" x14ac:dyDescent="0.3">
      <c r="A531" s="44" t="s">
        <v>33</v>
      </c>
      <c r="B531" s="6" t="s">
        <v>2</v>
      </c>
      <c r="C531" s="7" t="s">
        <v>3</v>
      </c>
      <c r="D531" s="4" t="s">
        <v>4</v>
      </c>
      <c r="E531" s="4" t="s">
        <v>5</v>
      </c>
      <c r="F531" s="4" t="s">
        <v>6</v>
      </c>
      <c r="G531" s="4" t="s">
        <v>7</v>
      </c>
      <c r="H531" s="4" t="s">
        <v>8</v>
      </c>
      <c r="I531" s="4" t="s">
        <v>9</v>
      </c>
      <c r="J531" s="44" t="s">
        <v>33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81" t="s">
        <v>11</v>
      </c>
      <c r="U531" s="81"/>
      <c r="W531" s="13" t="s">
        <v>21</v>
      </c>
      <c r="X531" s="15" t="s">
        <v>17</v>
      </c>
      <c r="Y531" s="37"/>
    </row>
    <row r="532" spans="1:28" x14ac:dyDescent="0.3">
      <c r="A532" s="44">
        <f>A522+1</f>
        <v>51</v>
      </c>
      <c r="B532" s="34" t="str">
        <f>TEXT(Tabelle1217303029720835153[[#This Row],[Datum]],"tttt")</f>
        <v>Montag</v>
      </c>
      <c r="C532" s="58">
        <f>C528+1</f>
        <v>44544</v>
      </c>
      <c r="D532" s="31"/>
      <c r="E532" s="31"/>
      <c r="F532" s="31"/>
      <c r="G532" s="31"/>
      <c r="H532" s="31"/>
      <c r="I532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4">
        <f>J522+1</f>
        <v>51</v>
      </c>
      <c r="K532" s="34" t="str">
        <f>TEXT(Tabelle1217303029720835153106[[#This Row],[Datum]],"tttt")</f>
        <v>Montag</v>
      </c>
      <c r="L532" s="58">
        <f>L528+1</f>
        <v>44544</v>
      </c>
      <c r="M532" s="31"/>
      <c r="N532" s="31"/>
      <c r="O532" s="31"/>
      <c r="P532" s="31"/>
      <c r="Q532" s="31"/>
      <c r="R532" s="49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2" s="81">
        <f t="shared" ref="T532:T533" si="300">R532-I532</f>
        <v>0</v>
      </c>
      <c r="U532" s="81"/>
      <c r="W532" s="17" t="s">
        <v>18</v>
      </c>
      <c r="X532" s="26">
        <f>I539</f>
        <v>0</v>
      </c>
      <c r="Y532" s="37"/>
    </row>
    <row r="533" spans="1:28" x14ac:dyDescent="0.3">
      <c r="B533" s="34" t="str">
        <f>TEXT(Tabelle1217303029720835153[[#This Row],[Datum]],"tttt")</f>
        <v>Dienstag</v>
      </c>
      <c r="C533" s="56">
        <f>C532+1</f>
        <v>44545</v>
      </c>
      <c r="D533" s="31"/>
      <c r="E533" s="31"/>
      <c r="F533" s="31"/>
      <c r="G533" s="31"/>
      <c r="H533" s="31"/>
      <c r="I533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4" t="str">
        <f>TEXT(Tabelle1217303029720835153106[[#This Row],[Datum]],"tttt")</f>
        <v>Dienstag</v>
      </c>
      <c r="L533" s="56">
        <f>L532+1</f>
        <v>44545</v>
      </c>
      <c r="M533" s="31"/>
      <c r="N533" s="31"/>
      <c r="O533" s="31"/>
      <c r="P533" s="31"/>
      <c r="Q533" s="31"/>
      <c r="R533" s="50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3" s="81">
        <f t="shared" si="300"/>
        <v>0</v>
      </c>
      <c r="U533" s="81"/>
      <c r="W533" s="17" t="s">
        <v>19</v>
      </c>
      <c r="X533" s="26">
        <f>R539</f>
        <v>0</v>
      </c>
      <c r="Y533" s="37"/>
    </row>
    <row r="534" spans="1:28" x14ac:dyDescent="0.3">
      <c r="B534" s="35" t="str">
        <f>TEXT(Tabelle1217303029720835153[[#This Row],[Datum]],"tttt")</f>
        <v>Mittwoch</v>
      </c>
      <c r="C534" s="56">
        <f t="shared" ref="C534:C538" si="301">C533+1</f>
        <v>44546</v>
      </c>
      <c r="D534" s="32"/>
      <c r="E534" s="32"/>
      <c r="F534" s="32"/>
      <c r="G534" s="32"/>
      <c r="H534" s="32"/>
      <c r="I534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5" t="str">
        <f>TEXT(Tabelle1217303029720835153106[[#This Row],[Datum]],"tttt")</f>
        <v>Mittwoch</v>
      </c>
      <c r="L534" s="56">
        <f t="shared" ref="L534:L538" si="302">L533+1</f>
        <v>44546</v>
      </c>
      <c r="M534" s="32"/>
      <c r="N534" s="32"/>
      <c r="O534" s="32"/>
      <c r="P534" s="32"/>
      <c r="Q534" s="32"/>
      <c r="R534" s="51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4" s="81">
        <f>R534-I534</f>
        <v>0</v>
      </c>
      <c r="U534" s="81"/>
      <c r="W534" s="20" t="s">
        <v>20</v>
      </c>
      <c r="X534" s="27">
        <f>X533-X532</f>
        <v>0</v>
      </c>
      <c r="Y534" s="37"/>
      <c r="Z534" s="66">
        <f>Z524+X534</f>
        <v>0</v>
      </c>
    </row>
    <row r="535" spans="1:28" x14ac:dyDescent="0.3">
      <c r="B535" s="34" t="str">
        <f>TEXT(Tabelle1217303029720835153[[#This Row],[Datum]],"tttt")</f>
        <v>Donnerstag</v>
      </c>
      <c r="C535" s="56">
        <f t="shared" si="301"/>
        <v>44547</v>
      </c>
      <c r="D535" s="31"/>
      <c r="E535" s="31"/>
      <c r="F535" s="31"/>
      <c r="G535" s="31"/>
      <c r="H535" s="31"/>
      <c r="I535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4" t="str">
        <f>TEXT(Tabelle1217303029720835153106[[#This Row],[Datum]],"tttt")</f>
        <v>Donnerstag</v>
      </c>
      <c r="L535" s="56">
        <f t="shared" si="302"/>
        <v>44547</v>
      </c>
      <c r="M535" s="31"/>
      <c r="N535" s="31"/>
      <c r="O535" s="31"/>
      <c r="P535" s="31"/>
      <c r="Q535" s="31"/>
      <c r="R535" s="50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5" s="81">
        <f>R535-I535</f>
        <v>0</v>
      </c>
      <c r="U535" s="81"/>
      <c r="Y535" s="37"/>
    </row>
    <row r="536" spans="1:28" x14ac:dyDescent="0.3">
      <c r="B536" s="36" t="str">
        <f>TEXT(Tabelle1217303029720835153[[#This Row],[Datum]],"tttt")</f>
        <v>Freitag</v>
      </c>
      <c r="C536" s="56">
        <f t="shared" si="301"/>
        <v>44548</v>
      </c>
      <c r="D536" s="32"/>
      <c r="E536" s="32"/>
      <c r="F536" s="32"/>
      <c r="G536" s="32"/>
      <c r="H536" s="32"/>
      <c r="I536" s="52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6" t="str">
        <f>TEXT(Tabelle1217303029720835153106[[#This Row],[Datum]],"tttt")</f>
        <v>Freitag</v>
      </c>
      <c r="L536" s="56">
        <f t="shared" si="302"/>
        <v>44548</v>
      </c>
      <c r="M536" s="32"/>
      <c r="N536" s="32"/>
      <c r="O536" s="32"/>
      <c r="P536" s="32"/>
      <c r="Q536" s="32"/>
      <c r="R536" s="52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6" s="81">
        <f>R536-I536</f>
        <v>0</v>
      </c>
      <c r="U536" s="81"/>
      <c r="Y536" s="37"/>
    </row>
    <row r="537" spans="1:28" x14ac:dyDescent="0.3">
      <c r="B537" s="34" t="str">
        <f>TEXT(Tabelle1217303029720835153[[#This Row],[Datum]],"tttt")</f>
        <v>Samstag</v>
      </c>
      <c r="C537" s="56">
        <f t="shared" si="301"/>
        <v>44549</v>
      </c>
      <c r="D537" s="31"/>
      <c r="E537" s="31"/>
      <c r="F537" s="31"/>
      <c r="G537" s="31"/>
      <c r="H537" s="31"/>
      <c r="I537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4" t="str">
        <f>TEXT(Tabelle1217303029720835153106[[#This Row],[Datum]],"tttt")</f>
        <v>Samstag</v>
      </c>
      <c r="L537" s="56">
        <f t="shared" si="302"/>
        <v>44549</v>
      </c>
      <c r="M537" s="31"/>
      <c r="N537" s="31"/>
      <c r="O537" s="31"/>
      <c r="P537" s="31"/>
      <c r="Q537" s="31"/>
      <c r="R537" s="50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7" s="81">
        <f t="shared" ref="T537:T538" si="303">R537-I537</f>
        <v>0</v>
      </c>
      <c r="U537" s="81"/>
      <c r="Y537" s="37"/>
    </row>
    <row r="538" spans="1:28" s="40" customFormat="1" x14ac:dyDescent="0.3">
      <c r="B538" s="36" t="str">
        <f>TEXT(Tabelle1217303029720835153[[#This Row],[Datum]],"tttt")</f>
        <v>Sonntag</v>
      </c>
      <c r="C538" s="57">
        <f t="shared" si="301"/>
        <v>44550</v>
      </c>
      <c r="D538" s="32"/>
      <c r="E538" s="32"/>
      <c r="F538" s="32"/>
      <c r="G538" s="32"/>
      <c r="H538" s="32"/>
      <c r="I538" s="53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6" t="str">
        <f>TEXT(Tabelle1217303029720835153106[[#This Row],[Datum]],"tttt")</f>
        <v>Sonntag</v>
      </c>
      <c r="L538" s="57">
        <f t="shared" si="302"/>
        <v>44550</v>
      </c>
      <c r="M538" s="32"/>
      <c r="N538" s="32"/>
      <c r="O538" s="32"/>
      <c r="P538" s="32"/>
      <c r="Q538" s="32"/>
      <c r="R538" s="53" t="str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0:00</v>
      </c>
      <c r="T538" s="81">
        <f t="shared" si="303"/>
        <v>0</v>
      </c>
      <c r="U538" s="81"/>
      <c r="V538" s="42"/>
      <c r="W538" s="42"/>
      <c r="X538" s="45"/>
      <c r="Y538" s="37"/>
      <c r="AB538" s="41"/>
    </row>
    <row r="539" spans="1:28" x14ac:dyDescent="0.3">
      <c r="B539" s="5"/>
      <c r="C539" s="3"/>
      <c r="D539" s="1"/>
      <c r="E539" s="1"/>
      <c r="F539" s="1"/>
      <c r="G539" s="1">
        <f t="shared" ref="G539:H539" si="304">SUM(G532:G538)</f>
        <v>0</v>
      </c>
      <c r="H539" s="1">
        <f t="shared" si="3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305">SUM(P532:P538)</f>
        <v>0</v>
      </c>
      <c r="Q539" s="1">
        <f t="shared" si="305"/>
        <v>0</v>
      </c>
      <c r="R539" s="1">
        <f>SUBTOTAL(109,R532:R538)</f>
        <v>0</v>
      </c>
      <c r="Y539" s="37"/>
    </row>
    <row r="540" spans="1:28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82"/>
      <c r="U540" s="82"/>
      <c r="V540" s="37"/>
      <c r="W540" s="37"/>
      <c r="X540" s="39"/>
      <c r="Y540" s="37"/>
    </row>
    <row r="541" spans="1:28" x14ac:dyDescent="0.3">
      <c r="A541" s="44" t="s">
        <v>33</v>
      </c>
      <c r="B541" s="6" t="s">
        <v>2</v>
      </c>
      <c r="C541" s="7" t="s">
        <v>3</v>
      </c>
      <c r="D541" s="4" t="s">
        <v>4</v>
      </c>
      <c r="E541" s="4" t="s">
        <v>5</v>
      </c>
      <c r="F541" s="4" t="s">
        <v>6</v>
      </c>
      <c r="G541" s="4" t="s">
        <v>7</v>
      </c>
      <c r="H541" s="4" t="s">
        <v>8</v>
      </c>
      <c r="I541" s="4" t="s">
        <v>9</v>
      </c>
      <c r="J541" s="44" t="s">
        <v>33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81" t="s">
        <v>11</v>
      </c>
      <c r="U541" s="81"/>
      <c r="W541" s="13" t="s">
        <v>21</v>
      </c>
      <c r="X541" s="15" t="s">
        <v>17</v>
      </c>
      <c r="Y541" s="37"/>
    </row>
    <row r="542" spans="1:28" x14ac:dyDescent="0.3">
      <c r="A542" s="44">
        <f>A532+1</f>
        <v>52</v>
      </c>
      <c r="B542" s="34" t="str">
        <f>TEXT(Tabelle1217303029720845254[[#This Row],[Datum]],"tttt")</f>
        <v>Montag</v>
      </c>
      <c r="C542" s="58">
        <f>C538+1</f>
        <v>44551</v>
      </c>
      <c r="D542" s="31"/>
      <c r="E542" s="31"/>
      <c r="F542" s="31"/>
      <c r="G542" s="31"/>
      <c r="H542" s="31"/>
      <c r="I542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4">
        <f>J532+1</f>
        <v>52</v>
      </c>
      <c r="K542" s="34" t="str">
        <f>TEXT(Tabelle1217303029720845254107[[#This Row],[Datum]],"tttt")</f>
        <v>Montag</v>
      </c>
      <c r="L542" s="58">
        <f>L538+1</f>
        <v>44551</v>
      </c>
      <c r="M542" s="31"/>
      <c r="N542" s="31"/>
      <c r="O542" s="31"/>
      <c r="P542" s="31"/>
      <c r="Q542" s="31"/>
      <c r="R542" s="49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2" s="81">
        <f t="shared" ref="T542:T543" si="306">R542-I542</f>
        <v>0</v>
      </c>
      <c r="U542" s="81"/>
      <c r="W542" s="17" t="s">
        <v>18</v>
      </c>
      <c r="X542" s="26">
        <f>I549</f>
        <v>0</v>
      </c>
      <c r="Y542" s="37"/>
    </row>
    <row r="543" spans="1:28" x14ac:dyDescent="0.3">
      <c r="B543" s="34" t="str">
        <f>TEXT(Tabelle1217303029720845254[[#This Row],[Datum]],"tttt")</f>
        <v>Dienstag</v>
      </c>
      <c r="C543" s="56">
        <f>C542+1</f>
        <v>44552</v>
      </c>
      <c r="D543" s="31"/>
      <c r="E543" s="31"/>
      <c r="F543" s="31"/>
      <c r="G543" s="31"/>
      <c r="H543" s="31"/>
      <c r="I543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4" t="str">
        <f>TEXT(Tabelle1217303029720845254107[[#This Row],[Datum]],"tttt")</f>
        <v>Dienstag</v>
      </c>
      <c r="L543" s="56">
        <f>L542+1</f>
        <v>44552</v>
      </c>
      <c r="M543" s="31"/>
      <c r="N543" s="31"/>
      <c r="O543" s="31"/>
      <c r="P543" s="31"/>
      <c r="Q543" s="31"/>
      <c r="R543" s="50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3" s="81">
        <f t="shared" si="306"/>
        <v>0</v>
      </c>
      <c r="U543" s="81"/>
      <c r="W543" s="17" t="s">
        <v>19</v>
      </c>
      <c r="X543" s="26">
        <f>R549</f>
        <v>0</v>
      </c>
      <c r="Y543" s="37"/>
    </row>
    <row r="544" spans="1:28" x14ac:dyDescent="0.3">
      <c r="B544" s="35" t="str">
        <f>TEXT(Tabelle1217303029720845254[[#This Row],[Datum]],"tttt")</f>
        <v>Mittwoch</v>
      </c>
      <c r="C544" s="56">
        <f t="shared" ref="C544:C548" si="307">C543+1</f>
        <v>44553</v>
      </c>
      <c r="D544" s="32"/>
      <c r="E544" s="32"/>
      <c r="F544" s="32"/>
      <c r="G544" s="32"/>
      <c r="H544" s="32"/>
      <c r="I544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5" t="str">
        <f>TEXT(Tabelle1217303029720845254107[[#This Row],[Datum]],"tttt")</f>
        <v>Mittwoch</v>
      </c>
      <c r="L544" s="56">
        <f t="shared" ref="L544:L548" si="308">L543+1</f>
        <v>44553</v>
      </c>
      <c r="M544" s="32"/>
      <c r="N544" s="32"/>
      <c r="O544" s="32"/>
      <c r="P544" s="32"/>
      <c r="Q544" s="32"/>
      <c r="R544" s="51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4" s="81">
        <f>R544-I544</f>
        <v>0</v>
      </c>
      <c r="U544" s="81"/>
      <c r="W544" s="20" t="s">
        <v>20</v>
      </c>
      <c r="X544" s="27">
        <f>X543-X542</f>
        <v>0</v>
      </c>
      <c r="Y544" s="37"/>
      <c r="Z544" s="66">
        <f>Z534+X544</f>
        <v>0</v>
      </c>
    </row>
    <row r="545" spans="1:26" x14ac:dyDescent="0.3">
      <c r="B545" s="34" t="str">
        <f>TEXT(Tabelle1217303029720845254[[#This Row],[Datum]],"tttt")</f>
        <v>Donnerstag</v>
      </c>
      <c r="C545" s="56">
        <f t="shared" si="307"/>
        <v>44554</v>
      </c>
      <c r="D545" s="31"/>
      <c r="E545" s="31"/>
      <c r="F545" s="31"/>
      <c r="G545" s="31"/>
      <c r="H545" s="31"/>
      <c r="I545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4" t="str">
        <f>TEXT(Tabelle1217303029720845254107[[#This Row],[Datum]],"tttt")</f>
        <v>Donnerstag</v>
      </c>
      <c r="L545" s="56">
        <f t="shared" si="308"/>
        <v>44554</v>
      </c>
      <c r="M545" s="31"/>
      <c r="N545" s="31"/>
      <c r="O545" s="31"/>
      <c r="P545" s="31"/>
      <c r="Q545" s="31"/>
      <c r="R545" s="50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5" s="81">
        <f>R545-I545</f>
        <v>0</v>
      </c>
      <c r="U545" s="81"/>
      <c r="Y545" s="37"/>
    </row>
    <row r="546" spans="1:26" x14ac:dyDescent="0.3">
      <c r="B546" s="36" t="str">
        <f>TEXT(Tabelle1217303029720845254[[#This Row],[Datum]],"tttt")</f>
        <v>Freitag</v>
      </c>
      <c r="C546" s="56">
        <f t="shared" si="307"/>
        <v>44555</v>
      </c>
      <c r="D546" s="32"/>
      <c r="E546" s="32"/>
      <c r="F546" s="32"/>
      <c r="G546" s="32"/>
      <c r="H546" s="32"/>
      <c r="I546" s="52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6" t="str">
        <f>TEXT(Tabelle1217303029720845254107[[#This Row],[Datum]],"tttt")</f>
        <v>Freitag</v>
      </c>
      <c r="L546" s="56">
        <f t="shared" si="308"/>
        <v>44555</v>
      </c>
      <c r="M546" s="32"/>
      <c r="N546" s="32"/>
      <c r="O546" s="32"/>
      <c r="P546" s="32"/>
      <c r="Q546" s="32"/>
      <c r="R546" s="52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6" s="81">
        <f>R546-I546</f>
        <v>0</v>
      </c>
      <c r="U546" s="81"/>
      <c r="Y546" s="37"/>
    </row>
    <row r="547" spans="1:26" x14ac:dyDescent="0.3">
      <c r="B547" s="34" t="str">
        <f>TEXT(Tabelle1217303029720845254[[#This Row],[Datum]],"tttt")</f>
        <v>Samstag</v>
      </c>
      <c r="C547" s="56">
        <f t="shared" si="307"/>
        <v>44556</v>
      </c>
      <c r="D547" s="31"/>
      <c r="E547" s="31"/>
      <c r="F547" s="31"/>
      <c r="G547" s="31"/>
      <c r="H547" s="31"/>
      <c r="I547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4" t="str">
        <f>TEXT(Tabelle1217303029720845254107[[#This Row],[Datum]],"tttt")</f>
        <v>Samstag</v>
      </c>
      <c r="L547" s="56">
        <f t="shared" si="308"/>
        <v>44556</v>
      </c>
      <c r="M547" s="31"/>
      <c r="N547" s="31"/>
      <c r="O547" s="31"/>
      <c r="P547" s="31"/>
      <c r="Q547" s="31"/>
      <c r="R547" s="50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7" s="81">
        <f t="shared" ref="T547:T548" si="309">R547-I547</f>
        <v>0</v>
      </c>
      <c r="U547" s="81"/>
      <c r="Y547" s="37"/>
    </row>
    <row r="548" spans="1:26" x14ac:dyDescent="0.3">
      <c r="B548" s="36" t="str">
        <f>TEXT(Tabelle1217303029720845254[[#This Row],[Datum]],"tttt")</f>
        <v>Sonntag</v>
      </c>
      <c r="C548" s="57">
        <f t="shared" si="307"/>
        <v>44557</v>
      </c>
      <c r="D548" s="32"/>
      <c r="E548" s="32"/>
      <c r="F548" s="32"/>
      <c r="G548" s="32"/>
      <c r="H548" s="32"/>
      <c r="I548" s="53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6" t="str">
        <f>TEXT(Tabelle1217303029720845254107[[#This Row],[Datum]],"tttt")</f>
        <v>Sonntag</v>
      </c>
      <c r="L548" s="57">
        <f t="shared" si="308"/>
        <v>44557</v>
      </c>
      <c r="M548" s="32"/>
      <c r="N548" s="32"/>
      <c r="O548" s="32"/>
      <c r="P548" s="32"/>
      <c r="Q548" s="32"/>
      <c r="R548" s="53" t="str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0:00</v>
      </c>
      <c r="T548" s="81">
        <f t="shared" si="309"/>
        <v>0</v>
      </c>
      <c r="U548" s="81"/>
      <c r="Y548" s="37"/>
    </row>
    <row r="549" spans="1:26" x14ac:dyDescent="0.3">
      <c r="B549" s="5"/>
      <c r="C549" s="3"/>
      <c r="D549" s="1"/>
      <c r="E549" s="1"/>
      <c r="F549" s="1"/>
      <c r="G549" s="1">
        <f t="shared" ref="G549:H549" si="310">SUM(G542:G548)</f>
        <v>0</v>
      </c>
      <c r="H549" s="1">
        <f t="shared" si="310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311">SUM(P542:P548)</f>
        <v>0</v>
      </c>
      <c r="Q549" s="1">
        <f t="shared" si="311"/>
        <v>0</v>
      </c>
      <c r="R549" s="1">
        <f>SUBTOTAL(109,R542:R548)</f>
        <v>0</v>
      </c>
      <c r="Y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82"/>
      <c r="U550" s="82"/>
      <c r="V550" s="37"/>
      <c r="W550" s="37"/>
      <c r="X550" s="39"/>
      <c r="Y550" s="37"/>
    </row>
    <row r="551" spans="1:26" x14ac:dyDescent="0.3">
      <c r="A551" s="44" t="s">
        <v>33</v>
      </c>
      <c r="B551" s="6" t="s">
        <v>2</v>
      </c>
      <c r="C551" s="7" t="s">
        <v>3</v>
      </c>
      <c r="D551" s="4" t="s">
        <v>4</v>
      </c>
      <c r="E551" s="4" t="s">
        <v>5</v>
      </c>
      <c r="F551" s="4" t="s">
        <v>6</v>
      </c>
      <c r="G551" s="4" t="s">
        <v>7</v>
      </c>
      <c r="H551" s="4" t="s">
        <v>8</v>
      </c>
      <c r="I551" s="4" t="s">
        <v>9</v>
      </c>
      <c r="J551" s="44" t="s">
        <v>33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81" t="s">
        <v>11</v>
      </c>
      <c r="U551" s="81"/>
      <c r="W551" s="13" t="s">
        <v>21</v>
      </c>
      <c r="X551" s="15" t="s">
        <v>17</v>
      </c>
      <c r="Y551" s="37"/>
    </row>
    <row r="552" spans="1:26" x14ac:dyDescent="0.3">
      <c r="A552" s="44">
        <v>1</v>
      </c>
      <c r="B552" s="34" t="str">
        <f>TEXT(Tabelle121730302622107109117209[[#This Row],[Datum]],"tttt")</f>
        <v>Montag</v>
      </c>
      <c r="C552" s="58">
        <f>C548+1</f>
        <v>44558</v>
      </c>
      <c r="D552" s="31"/>
      <c r="E552" s="31"/>
      <c r="F552" s="31"/>
      <c r="G552" s="31"/>
      <c r="H552" s="31"/>
      <c r="I552" s="49" t="str">
        <f>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</f>
        <v>0:00</v>
      </c>
      <c r="J552" s="44">
        <v>1</v>
      </c>
      <c r="K552" s="34" t="str">
        <f>TEXT(Tabelle12173030262210710911720956[[#This Row],[Datum]],"tttt")</f>
        <v>Montag</v>
      </c>
      <c r="L552" s="58">
        <f>L548+1</f>
        <v>44558</v>
      </c>
      <c r="M552" s="31"/>
      <c r="N552" s="31"/>
      <c r="O552" s="31"/>
      <c r="P552" s="31"/>
      <c r="Q552" s="31"/>
      <c r="R552" s="49" t="str">
        <f>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</f>
        <v>0:00</v>
      </c>
      <c r="T552" s="81">
        <f t="shared" ref="T552:T553" si="312">R552-I552</f>
        <v>0</v>
      </c>
      <c r="U552" s="81"/>
      <c r="W552" s="17" t="s">
        <v>18</v>
      </c>
      <c r="X552" s="26">
        <f>I559</f>
        <v>0</v>
      </c>
      <c r="Y552" s="37"/>
    </row>
    <row r="553" spans="1:26" x14ac:dyDescent="0.3">
      <c r="B553" s="34" t="str">
        <f>TEXT(Tabelle121730302622107109117209[[#This Row],[Datum]],"tttt")</f>
        <v>Dienstag</v>
      </c>
      <c r="C553" s="56">
        <f>C552+1</f>
        <v>44559</v>
      </c>
      <c r="D553" s="31"/>
      <c r="E553" s="31"/>
      <c r="F553" s="31"/>
      <c r="G553" s="31"/>
      <c r="H553" s="31"/>
      <c r="I553" s="50" t="str">
        <f>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</f>
        <v>0:00</v>
      </c>
      <c r="K553" s="34" t="str">
        <f>TEXT(Tabelle12173030262210710911720956[[#This Row],[Datum]],"tttt")</f>
        <v>Dienstag</v>
      </c>
      <c r="L553" s="56">
        <f>L552+1</f>
        <v>44559</v>
      </c>
      <c r="M553" s="31"/>
      <c r="N553" s="31"/>
      <c r="O553" s="31"/>
      <c r="P553" s="31"/>
      <c r="Q553" s="31"/>
      <c r="R553" s="50" t="str">
        <f>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</f>
        <v>0:00</v>
      </c>
      <c r="T553" s="81">
        <f t="shared" si="312"/>
        <v>0</v>
      </c>
      <c r="U553" s="81"/>
      <c r="W553" s="17" t="s">
        <v>19</v>
      </c>
      <c r="X553" s="26">
        <f>R559</f>
        <v>0</v>
      </c>
      <c r="Y553" s="37"/>
    </row>
    <row r="554" spans="1:26" x14ac:dyDescent="0.3">
      <c r="B554" s="35" t="str">
        <f>TEXT(Tabelle121730302622107109117209[[#This Row],[Datum]],"tttt")</f>
        <v>Mittwoch</v>
      </c>
      <c r="C554" s="56">
        <f t="shared" ref="C554" si="313">C553+1</f>
        <v>44560</v>
      </c>
      <c r="D554" s="32"/>
      <c r="E554" s="32"/>
      <c r="F554" s="32"/>
      <c r="G554" s="32"/>
      <c r="H554" s="32"/>
      <c r="I554" s="51" t="str">
        <f>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</f>
        <v>0:00</v>
      </c>
      <c r="K554" s="35" t="str">
        <f>TEXT(Tabelle12173030262210710911720956[[#This Row],[Datum]],"tttt")</f>
        <v>Mittwoch</v>
      </c>
      <c r="L554" s="56">
        <f t="shared" ref="L554" si="314">L553+1</f>
        <v>44560</v>
      </c>
      <c r="M554" s="32"/>
      <c r="N554" s="32"/>
      <c r="O554" s="32"/>
      <c r="P554" s="32"/>
      <c r="Q554" s="32"/>
      <c r="R554" s="51" t="str">
        <f>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</f>
        <v>0:00</v>
      </c>
      <c r="T554" s="81">
        <f>R554-I554</f>
        <v>0</v>
      </c>
      <c r="U554" s="81"/>
      <c r="W554" s="20" t="s">
        <v>20</v>
      </c>
      <c r="X554" s="27">
        <f>X553-X552</f>
        <v>0</v>
      </c>
      <c r="Y554" s="37"/>
      <c r="Z554" s="66">
        <f>Z544+X554</f>
        <v>0</v>
      </c>
    </row>
    <row r="555" spans="1:26" x14ac:dyDescent="0.3">
      <c r="B555" s="34"/>
      <c r="C555" s="56"/>
      <c r="D555" s="31"/>
      <c r="E555" s="31"/>
      <c r="F555" s="31"/>
      <c r="G555" s="31"/>
      <c r="H555" s="31"/>
      <c r="I555" s="50"/>
      <c r="K555" s="34"/>
      <c r="L555" s="56"/>
      <c r="M555" s="31"/>
      <c r="N555" s="31"/>
      <c r="O555" s="31"/>
      <c r="P555" s="31"/>
      <c r="Q555" s="31"/>
      <c r="R555" s="50"/>
      <c r="T555" s="81"/>
      <c r="U555" s="81"/>
      <c r="Y555" s="37"/>
    </row>
    <row r="556" spans="1:26" x14ac:dyDescent="0.3">
      <c r="B556" s="36"/>
      <c r="C556" s="56"/>
      <c r="D556" s="32"/>
      <c r="E556" s="32"/>
      <c r="F556" s="32"/>
      <c r="G556" s="32"/>
      <c r="H556" s="32"/>
      <c r="I556" s="52"/>
      <c r="K556" s="36"/>
      <c r="L556" s="56"/>
      <c r="M556" s="32"/>
      <c r="N556" s="32"/>
      <c r="O556" s="32"/>
      <c r="P556" s="32"/>
      <c r="Q556" s="32"/>
      <c r="R556" s="52"/>
      <c r="T556" s="81"/>
      <c r="U556" s="81"/>
      <c r="Y556" s="37"/>
    </row>
    <row r="557" spans="1:26" x14ac:dyDescent="0.3">
      <c r="B557" s="34"/>
      <c r="C557" s="56"/>
      <c r="D557" s="31"/>
      <c r="E557" s="31"/>
      <c r="F557" s="31"/>
      <c r="G557" s="31"/>
      <c r="H557" s="31"/>
      <c r="I557" s="50"/>
      <c r="K557" s="34"/>
      <c r="L557" s="56"/>
      <c r="M557" s="31"/>
      <c r="N557" s="31"/>
      <c r="O557" s="31"/>
      <c r="P557" s="31"/>
      <c r="Q557" s="31"/>
      <c r="R557" s="50"/>
      <c r="T557" s="81"/>
      <c r="U557" s="81"/>
      <c r="Y557" s="37"/>
    </row>
    <row r="558" spans="1:26" x14ac:dyDescent="0.3">
      <c r="B558" s="36"/>
      <c r="C558" s="57"/>
      <c r="D558" s="32"/>
      <c r="E558" s="32"/>
      <c r="F558" s="32"/>
      <c r="G558" s="32"/>
      <c r="H558" s="32"/>
      <c r="I558" s="53"/>
      <c r="K558" s="36"/>
      <c r="L558" s="57"/>
      <c r="M558" s="32"/>
      <c r="N558" s="32"/>
      <c r="O558" s="32"/>
      <c r="P558" s="32"/>
      <c r="Q558" s="32"/>
      <c r="R558" s="53"/>
      <c r="T558" s="81"/>
      <c r="U558" s="81"/>
      <c r="Y558" s="37"/>
    </row>
    <row r="559" spans="1:26" x14ac:dyDescent="0.3">
      <c r="B559" s="5"/>
      <c r="C559" s="3"/>
      <c r="D559" s="1"/>
      <c r="E559" s="1"/>
      <c r="F559" s="1"/>
      <c r="G559" s="1">
        <f t="shared" ref="G559:H559" si="315">SUM(G552:G558)</f>
        <v>0</v>
      </c>
      <c r="H559" s="1">
        <f t="shared" si="315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316">SUM(P552:P558)</f>
        <v>0</v>
      </c>
      <c r="Q559" s="1">
        <f t="shared" si="316"/>
        <v>0</v>
      </c>
      <c r="R559" s="1">
        <f>SUBTOTAL(109,R552:R558)</f>
        <v>0</v>
      </c>
      <c r="Y559" s="37"/>
    </row>
    <row r="560" spans="1:26" x14ac:dyDescent="0.3">
      <c r="B560" s="43"/>
      <c r="C560" s="40"/>
      <c r="D560" s="40"/>
      <c r="E560" s="40"/>
      <c r="F560" s="40"/>
      <c r="G560" s="40"/>
      <c r="H560" s="40"/>
      <c r="I560" s="40"/>
      <c r="K560" s="40"/>
      <c r="L560" s="40"/>
      <c r="M560" s="40"/>
      <c r="N560" s="40"/>
      <c r="O560" s="40"/>
      <c r="P560" s="40"/>
      <c r="Q560" s="40"/>
      <c r="R560" s="40"/>
      <c r="T560" s="40"/>
      <c r="U560" s="40"/>
    </row>
    <row r="561" spans="2:21" x14ac:dyDescent="0.3">
      <c r="B561" s="43"/>
      <c r="C561" s="40"/>
      <c r="D561" s="40"/>
      <c r="E561" s="40"/>
      <c r="F561" s="40"/>
      <c r="G561" s="40"/>
      <c r="H561" s="40"/>
      <c r="I561" s="40"/>
      <c r="K561" s="40"/>
      <c r="L561" s="40"/>
      <c r="M561" s="40"/>
      <c r="N561" s="40"/>
      <c r="O561" s="40"/>
      <c r="P561" s="40"/>
      <c r="Q561" s="40"/>
      <c r="R561" s="40"/>
      <c r="T561" s="40"/>
      <c r="U561" s="40"/>
    </row>
    <row r="562" spans="2:21" x14ac:dyDescent="0.3">
      <c r="B562" s="43"/>
      <c r="C562" s="40"/>
      <c r="D562" s="40"/>
      <c r="E562" s="40"/>
      <c r="F562" s="40"/>
      <c r="G562" s="40"/>
      <c r="H562" s="40"/>
      <c r="I562" s="40"/>
      <c r="K562" s="40"/>
      <c r="L562" s="40"/>
      <c r="M562" s="40"/>
      <c r="N562" s="40"/>
      <c r="O562" s="40"/>
      <c r="P562" s="40"/>
      <c r="Q562" s="40"/>
      <c r="R562" s="40"/>
      <c r="T562" s="40"/>
      <c r="U562" s="40"/>
    </row>
  </sheetData>
  <sheetProtection sheet="1" objects="1" scenarios="1"/>
  <protectedRanges>
    <protectedRange sqref="D18:H24" name="Bereich110"/>
    <protectedRange sqref="D6:H12" name="Bereich108"/>
    <protectedRange sqref="M542:Q548" name="Bereich106"/>
    <protectedRange sqref="M522:Q528" name="Bereich104"/>
    <protectedRange sqref="M502:Q508" name="Bereich102"/>
    <protectedRange sqref="M482:Q488" name="Bereich100"/>
    <protectedRange sqref="M462:Q468" name="Bereich98"/>
    <protectedRange sqref="M442:Q448" name="Bereich96"/>
    <protectedRange sqref="M422:Q428" name="Bereich94"/>
    <protectedRange sqref="M402:Q408" name="Bereich92"/>
    <protectedRange sqref="M382:Q388" name="Bereich90"/>
    <protectedRange sqref="M362:Q368" name="Bereich88"/>
    <protectedRange sqref="M342:Q348" name="Bereich86"/>
    <protectedRange sqref="M322:Q328" name="Bereich84"/>
    <protectedRange sqref="M302:Q308" name="Bereich82"/>
    <protectedRange sqref="M282:Q288" name="Bereich80"/>
    <protectedRange sqref="M262:Q268" name="Bereich78"/>
    <protectedRange sqref="M242:Q248" name="Bereich76"/>
    <protectedRange sqref="M222:Q228" name="Bereich74"/>
    <protectedRange sqref="M202:Q208" name="Bereich72"/>
    <protectedRange sqref="M182:Q188" name="Bereich70"/>
    <protectedRange sqref="M162:Q168" name="Bereich68"/>
    <protectedRange sqref="M142:Q148" name="Bereich66"/>
    <protectedRange sqref="M122:Q128" name="Bereich64"/>
    <protectedRange sqref="M102:Q108" name="Bereich62"/>
    <protectedRange sqref="M82:Q88" name="Bereich60"/>
    <protectedRange sqref="M62:Q68" name="Bereich58"/>
    <protectedRange sqref="M42:Q48" name="Bereich56"/>
    <protectedRange sqref="D552:H558" name="Bereich54"/>
    <protectedRange sqref="D532:H538" name="Bereich52"/>
    <protectedRange sqref="D512:H518" name="Bereich50"/>
    <protectedRange sqref="D492:H498" name="Bereich48"/>
    <protectedRange sqref="D472:H478" name="Bereich46"/>
    <protectedRange sqref="D452:H458" name="Bereich44"/>
    <protectedRange sqref="D432:H438" name="Bereich42"/>
    <protectedRange sqref="D412:H418" name="Bereich40"/>
    <protectedRange sqref="D392:H398" name="Bereich38"/>
    <protectedRange sqref="D372:H378" name="Bereich36"/>
    <protectedRange sqref="D352:H358" name="Bereich34"/>
    <protectedRange sqref="D332:H338" name="Bereich32"/>
    <protectedRange sqref="D312:H318" name="Bereich30"/>
    <protectedRange sqref="D292:H298" name="Bereich28"/>
    <protectedRange sqref="D272:H278" name="Bereich26"/>
    <protectedRange sqref="D252:H258" name="Bereich24"/>
    <protectedRange sqref="D232:H238" name="Bereich22"/>
    <protectedRange sqref="D212:H218" name="Bereich20"/>
    <protectedRange sqref="D192:H198" name="Bereich18"/>
    <protectedRange sqref="D172:H178" name="Bereich16"/>
    <protectedRange sqref="D152:H158" name="Bereich14"/>
    <protectedRange sqref="D142:H148" name="Bereich12"/>
    <protectedRange sqref="D122:H128" name="Bereich10"/>
    <protectedRange sqref="D102:H108" name="Bereich8"/>
    <protectedRange sqref="D82:H88" name="Bereich6"/>
    <protectedRange sqref="D62:H68" name="Bereich4"/>
    <protectedRange sqref="D42:H48" name="Bereich2"/>
    <protectedRange sqref="D32:H38" name="Bereich1"/>
    <protectedRange sqref="D52:H58" name="Bereich3"/>
    <protectedRange sqref="D72:H78" name="Bereich5"/>
    <protectedRange sqref="D92:H98" name="Bereich7"/>
    <protectedRange sqref="D112:H118" name="Bereich9"/>
    <protectedRange sqref="D132:H138" name="Bereich11"/>
    <protectedRange sqref="D152:H158" name="Bereich13"/>
    <protectedRange sqref="D162:H168" name="Bereich15"/>
    <protectedRange sqref="D182:H188" name="Bereich17"/>
    <protectedRange sqref="D202:H208" name="Bereich19"/>
    <protectedRange sqref="D222:H228" name="Bereich21"/>
    <protectedRange sqref="D242:H248" name="Bereich23"/>
    <protectedRange sqref="D262:H268" name="Bereich25"/>
    <protectedRange sqref="D282:H288" name="Bereich27"/>
    <protectedRange sqref="D302:H308" name="Bereich29"/>
    <protectedRange sqref="D322:H328" name="Bereich31"/>
    <protectedRange sqref="D342:H348" name="Bereich33"/>
    <protectedRange sqref="D362:H368" name="Bereich35"/>
    <protectedRange sqref="D382:H388" name="Bereich37"/>
    <protectedRange sqref="D402:H408" name="Bereich39"/>
    <protectedRange sqref="D422:H428" name="Bereich41"/>
    <protectedRange sqref="D442:H448" name="Bereich43"/>
    <protectedRange sqref="D462:H468" name="Bereich45"/>
    <protectedRange sqref="D482:H488" name="Bereich47"/>
    <protectedRange sqref="D502:H508" name="Bereich49"/>
    <protectedRange sqref="D522:H528" name="Bereich51"/>
    <protectedRange sqref="D542:H548" name="Bereich53"/>
    <protectedRange sqref="M32:Q38" name="Bereich55"/>
    <protectedRange sqref="M52:Q58" name="Bereich57"/>
    <protectedRange sqref="M72:Q78" name="Bereich59"/>
    <protectedRange sqref="M92:Q98" name="Bereich61"/>
    <protectedRange sqref="M112:Q118" name="Bereich63"/>
    <protectedRange sqref="M132:Q138" name="Bereich65"/>
    <protectedRange sqref="M152:Q158" name="Bereich67"/>
    <protectedRange sqref="M172:Q178" name="Bereich69"/>
    <protectedRange sqref="M192:Q198" name="Bereich71"/>
    <protectedRange sqref="M212:Q218" name="Bereich73"/>
    <protectedRange sqref="M232:Q238" name="Bereich75"/>
    <protectedRange sqref="M252:Q258" name="Bereich77"/>
    <protectedRange sqref="M272:Q278" name="Bereich79"/>
    <protectedRange sqref="M292:Q298" name="Bereich81"/>
    <protectedRange sqref="M312:Q318" name="Bereich83"/>
    <protectedRange sqref="M332:Q338" name="Bereich85"/>
    <protectedRange sqref="M352:Q358" name="Bereich87"/>
    <protectedRange sqref="M372:Q378" name="Bereich89"/>
    <protectedRange sqref="M392:Q398" name="Bereich91"/>
    <protectedRange sqref="M412:Q418" name="Bereich93"/>
    <protectedRange sqref="M432:Q438" name="Bereich95"/>
    <protectedRange sqref="M452:Q458" name="Bereich97"/>
    <protectedRange sqref="M472:Q478" name="Bereich99"/>
    <protectedRange sqref="M492:Q498" name="Bereich101"/>
    <protectedRange sqref="M512:Q518" name="Bereich103"/>
    <protectedRange sqref="M532:Q538" name="Bereich105"/>
    <protectedRange sqref="M552:Q558" name="Bereich107"/>
    <protectedRange sqref="M6:Q12" name="Bereich109"/>
    <protectedRange sqref="M18:Q24" name="Bereich111"/>
  </protectedRanges>
  <mergeCells count="483"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</mergeCells>
  <phoneticPr fontId="4" type="noConversion"/>
  <conditionalFormatting sqref="B1:B25 B29:B562 B1087:B1048576">
    <cfRule type="containsText" dxfId="760" priority="781" operator="containsText" text="Samstag">
      <formula>NOT(ISERROR(SEARCH("Samstag",B1)))</formula>
    </cfRule>
    <cfRule type="containsText" dxfId="759" priority="782" operator="containsText" text="Sonntag">
      <formula>NOT(ISERROR(SEARCH("Sonntag",B1)))</formula>
    </cfRule>
  </conditionalFormatting>
  <conditionalFormatting sqref="C32:C562">
    <cfRule type="expression" dxfId="758" priority="793">
      <formula>VLOOKUP(C32,$AB$22:$AB$23,1,0)</formula>
    </cfRule>
    <cfRule type="expression" dxfId="757" priority="794">
      <formula>VLOOKUP(C32,$AB$2:$AB$18,1,0)</formula>
    </cfRule>
  </conditionalFormatting>
  <conditionalFormatting sqref="F29:F562 O29:O562 F1:F25 O1:O25 F1087:F1048576 O1087:O1048576">
    <cfRule type="containsText" dxfId="756" priority="2337" operator="containsText" text="Feiertag">
      <formula>NOT(ISERROR(SEARCH("Feiertag",F1)))</formula>
    </cfRule>
  </conditionalFormatting>
  <conditionalFormatting sqref="F32:F38">
    <cfRule type="containsText" dxfId="755" priority="3287" operator="containsText" text="K">
      <formula>NOT(ISERROR(SEARCH("K",F32)))</formula>
    </cfRule>
    <cfRule type="containsText" dxfId="754" priority="3276" operator="containsText" text="S">
      <formula>NOT(ISERROR(SEARCH("S",F32)))</formula>
    </cfRule>
    <cfRule type="containsText" dxfId="753" priority="3279" operator="containsText" text="UÜ">
      <formula>NOT(ISERROR(SEARCH("UÜ",F32)))</formula>
    </cfRule>
    <cfRule type="containsText" dxfId="752" priority="3280" operator="containsText" text="Ü">
      <formula>NOT(ISERROR(SEARCH("Ü",F32)))</formula>
    </cfRule>
    <cfRule type="containsText" dxfId="751" priority="3283" operator="containsText" text="U">
      <formula>NOT(ISERROR(SEARCH("U",F32)))</formula>
    </cfRule>
  </conditionalFormatting>
  <conditionalFormatting sqref="F42:F48">
    <cfRule type="containsText" dxfId="750" priority="792" operator="containsText" text="K">
      <formula>NOT(ISERROR(SEARCH("K",F42)))</formula>
    </cfRule>
    <cfRule type="containsText" dxfId="749" priority="791" operator="containsText" text="U">
      <formula>NOT(ISERROR(SEARCH("U",F42)))</formula>
    </cfRule>
    <cfRule type="containsText" dxfId="748" priority="790" operator="containsText" text="Ü">
      <formula>NOT(ISERROR(SEARCH("Ü",F42)))</formula>
    </cfRule>
    <cfRule type="containsText" dxfId="747" priority="789" operator="containsText" text="UÜ">
      <formula>NOT(ISERROR(SEARCH("UÜ",F42)))</formula>
    </cfRule>
    <cfRule type="containsText" dxfId="746" priority="788" operator="containsText" text="S">
      <formula>NOT(ISERROR(SEARCH("S",F42)))</formula>
    </cfRule>
  </conditionalFormatting>
  <conditionalFormatting sqref="F52:F58">
    <cfRule type="containsText" dxfId="745" priority="528" operator="containsText" text="Ü">
      <formula>NOT(ISERROR(SEARCH("Ü",F52)))</formula>
    </cfRule>
    <cfRule type="containsText" dxfId="744" priority="526" operator="containsText" text="S">
      <formula>NOT(ISERROR(SEARCH("S",F52)))</formula>
    </cfRule>
    <cfRule type="containsText" dxfId="743" priority="527" operator="containsText" text="UÜ">
      <formula>NOT(ISERROR(SEARCH("UÜ",F52)))</formula>
    </cfRule>
    <cfRule type="containsText" dxfId="742" priority="529" operator="containsText" text="U">
      <formula>NOT(ISERROR(SEARCH("U",F52)))</formula>
    </cfRule>
    <cfRule type="containsText" dxfId="741" priority="530" operator="containsText" text="K">
      <formula>NOT(ISERROR(SEARCH("K",F52)))</formula>
    </cfRule>
  </conditionalFormatting>
  <conditionalFormatting sqref="F62:F68">
    <cfRule type="containsText" dxfId="740" priority="525" operator="containsText" text="K">
      <formula>NOT(ISERROR(SEARCH("K",F62)))</formula>
    </cfRule>
    <cfRule type="containsText" dxfId="739" priority="524" operator="containsText" text="U">
      <formula>NOT(ISERROR(SEARCH("U",F62)))</formula>
    </cfRule>
    <cfRule type="containsText" dxfId="738" priority="523" operator="containsText" text="Ü">
      <formula>NOT(ISERROR(SEARCH("Ü",F62)))</formula>
    </cfRule>
    <cfRule type="containsText" dxfId="737" priority="522" operator="containsText" text="UÜ">
      <formula>NOT(ISERROR(SEARCH("UÜ",F62)))</formula>
    </cfRule>
    <cfRule type="containsText" dxfId="736" priority="521" operator="containsText" text="S">
      <formula>NOT(ISERROR(SEARCH("S",F62)))</formula>
    </cfRule>
  </conditionalFormatting>
  <conditionalFormatting sqref="F72:F78">
    <cfRule type="containsText" dxfId="735" priority="520" operator="containsText" text="K">
      <formula>NOT(ISERROR(SEARCH("K",F72)))</formula>
    </cfRule>
    <cfRule type="containsText" dxfId="734" priority="519" operator="containsText" text="U">
      <formula>NOT(ISERROR(SEARCH("U",F72)))</formula>
    </cfRule>
    <cfRule type="containsText" dxfId="733" priority="518" operator="containsText" text="Ü">
      <formula>NOT(ISERROR(SEARCH("Ü",F72)))</formula>
    </cfRule>
    <cfRule type="containsText" dxfId="732" priority="517" operator="containsText" text="UÜ">
      <formula>NOT(ISERROR(SEARCH("UÜ",F72)))</formula>
    </cfRule>
    <cfRule type="containsText" dxfId="731" priority="516" operator="containsText" text="S">
      <formula>NOT(ISERROR(SEARCH("S",F72)))</formula>
    </cfRule>
  </conditionalFormatting>
  <conditionalFormatting sqref="F82:F88">
    <cfRule type="containsText" dxfId="730" priority="511" operator="containsText" text="S">
      <formula>NOT(ISERROR(SEARCH("S",F82)))</formula>
    </cfRule>
    <cfRule type="containsText" dxfId="729" priority="512" operator="containsText" text="UÜ">
      <formula>NOT(ISERROR(SEARCH("UÜ",F82)))</formula>
    </cfRule>
    <cfRule type="containsText" dxfId="728" priority="515" operator="containsText" text="K">
      <formula>NOT(ISERROR(SEARCH("K",F82)))</formula>
    </cfRule>
    <cfRule type="containsText" dxfId="727" priority="514" operator="containsText" text="U">
      <formula>NOT(ISERROR(SEARCH("U",F82)))</formula>
    </cfRule>
    <cfRule type="containsText" dxfId="726" priority="513" operator="containsText" text="Ü">
      <formula>NOT(ISERROR(SEARCH("Ü",F82)))</formula>
    </cfRule>
  </conditionalFormatting>
  <conditionalFormatting sqref="F92:F98">
    <cfRule type="containsText" dxfId="725" priority="506" operator="containsText" text="S">
      <formula>NOT(ISERROR(SEARCH("S",F92)))</formula>
    </cfRule>
    <cfRule type="containsText" dxfId="724" priority="510" operator="containsText" text="K">
      <formula>NOT(ISERROR(SEARCH("K",F92)))</formula>
    </cfRule>
    <cfRule type="containsText" dxfId="723" priority="509" operator="containsText" text="U">
      <formula>NOT(ISERROR(SEARCH("U",F92)))</formula>
    </cfRule>
    <cfRule type="containsText" dxfId="722" priority="508" operator="containsText" text="Ü">
      <formula>NOT(ISERROR(SEARCH("Ü",F92)))</formula>
    </cfRule>
    <cfRule type="containsText" dxfId="721" priority="507" operator="containsText" text="UÜ">
      <formula>NOT(ISERROR(SEARCH("UÜ",F92)))</formula>
    </cfRule>
  </conditionalFormatting>
  <conditionalFormatting sqref="F102:F108">
    <cfRule type="containsText" dxfId="720" priority="501" operator="containsText" text="S">
      <formula>NOT(ISERROR(SEARCH("S",F102)))</formula>
    </cfRule>
    <cfRule type="containsText" dxfId="719" priority="502" operator="containsText" text="UÜ">
      <formula>NOT(ISERROR(SEARCH("UÜ",F102)))</formula>
    </cfRule>
    <cfRule type="containsText" dxfId="718" priority="503" operator="containsText" text="Ü">
      <formula>NOT(ISERROR(SEARCH("Ü",F102)))</formula>
    </cfRule>
    <cfRule type="containsText" dxfId="717" priority="504" operator="containsText" text="U">
      <formula>NOT(ISERROR(SEARCH("U",F102)))</formula>
    </cfRule>
    <cfRule type="containsText" dxfId="716" priority="505" operator="containsText" text="K">
      <formula>NOT(ISERROR(SEARCH("K",F102)))</formula>
    </cfRule>
  </conditionalFormatting>
  <conditionalFormatting sqref="F112:F118">
    <cfRule type="containsText" dxfId="715" priority="496" operator="containsText" text="S">
      <formula>NOT(ISERROR(SEARCH("S",F112)))</formula>
    </cfRule>
    <cfRule type="containsText" dxfId="714" priority="497" operator="containsText" text="UÜ">
      <formula>NOT(ISERROR(SEARCH("UÜ",F112)))</formula>
    </cfRule>
    <cfRule type="containsText" dxfId="713" priority="498" operator="containsText" text="Ü">
      <formula>NOT(ISERROR(SEARCH("Ü",F112)))</formula>
    </cfRule>
    <cfRule type="containsText" dxfId="712" priority="499" operator="containsText" text="U">
      <formula>NOT(ISERROR(SEARCH("U",F112)))</formula>
    </cfRule>
    <cfRule type="containsText" dxfId="711" priority="500" operator="containsText" text="K">
      <formula>NOT(ISERROR(SEARCH("K",F112)))</formula>
    </cfRule>
  </conditionalFormatting>
  <conditionalFormatting sqref="F122:F128">
    <cfRule type="containsText" dxfId="710" priority="491" operator="containsText" text="S">
      <formula>NOT(ISERROR(SEARCH("S",F122)))</formula>
    </cfRule>
    <cfRule type="containsText" dxfId="709" priority="493" operator="containsText" text="Ü">
      <formula>NOT(ISERROR(SEARCH("Ü",F122)))</formula>
    </cfRule>
    <cfRule type="containsText" dxfId="708" priority="494" operator="containsText" text="U">
      <formula>NOT(ISERROR(SEARCH("U",F122)))</formula>
    </cfRule>
    <cfRule type="containsText" dxfId="707" priority="495" operator="containsText" text="K">
      <formula>NOT(ISERROR(SEARCH("K",F122)))</formula>
    </cfRule>
    <cfRule type="containsText" dxfId="706" priority="492" operator="containsText" text="UÜ">
      <formula>NOT(ISERROR(SEARCH("UÜ",F122)))</formula>
    </cfRule>
  </conditionalFormatting>
  <conditionalFormatting sqref="F132:F138">
    <cfRule type="containsText" dxfId="705" priority="489" operator="containsText" text="U">
      <formula>NOT(ISERROR(SEARCH("U",F132)))</formula>
    </cfRule>
    <cfRule type="containsText" dxfId="704" priority="490" operator="containsText" text="K">
      <formula>NOT(ISERROR(SEARCH("K",F132)))</formula>
    </cfRule>
    <cfRule type="containsText" dxfId="703" priority="487" operator="containsText" text="UÜ">
      <formula>NOT(ISERROR(SEARCH("UÜ",F132)))</formula>
    </cfRule>
    <cfRule type="containsText" dxfId="702" priority="486" operator="containsText" text="S">
      <formula>NOT(ISERROR(SEARCH("S",F132)))</formula>
    </cfRule>
    <cfRule type="containsText" dxfId="701" priority="488" operator="containsText" text="Ü">
      <formula>NOT(ISERROR(SEARCH("Ü",F132)))</formula>
    </cfRule>
  </conditionalFormatting>
  <conditionalFormatting sqref="F142:F148">
    <cfRule type="containsText" dxfId="700" priority="484" operator="containsText" text="U">
      <formula>NOT(ISERROR(SEARCH("U",F142)))</formula>
    </cfRule>
    <cfRule type="containsText" dxfId="699" priority="483" operator="containsText" text="Ü">
      <formula>NOT(ISERROR(SEARCH("Ü",F142)))</formula>
    </cfRule>
    <cfRule type="containsText" dxfId="698" priority="482" operator="containsText" text="UÜ">
      <formula>NOT(ISERROR(SEARCH("UÜ",F142)))</formula>
    </cfRule>
    <cfRule type="containsText" dxfId="697" priority="481" operator="containsText" text="S">
      <formula>NOT(ISERROR(SEARCH("S",F142)))</formula>
    </cfRule>
    <cfRule type="containsText" dxfId="696" priority="485" operator="containsText" text="K">
      <formula>NOT(ISERROR(SEARCH("K",F142)))</formula>
    </cfRule>
  </conditionalFormatting>
  <conditionalFormatting sqref="F152:F158">
    <cfRule type="containsText" dxfId="695" priority="478" operator="containsText" text="Ü">
      <formula>NOT(ISERROR(SEARCH("Ü",F152)))</formula>
    </cfRule>
    <cfRule type="containsText" dxfId="694" priority="480" operator="containsText" text="K">
      <formula>NOT(ISERROR(SEARCH("K",F152)))</formula>
    </cfRule>
    <cfRule type="containsText" dxfId="693" priority="479" operator="containsText" text="U">
      <formula>NOT(ISERROR(SEARCH("U",F152)))</formula>
    </cfRule>
    <cfRule type="containsText" dxfId="692" priority="476" operator="containsText" text="S">
      <formula>NOT(ISERROR(SEARCH("S",F152)))</formula>
    </cfRule>
    <cfRule type="containsText" dxfId="691" priority="477" operator="containsText" text="UÜ">
      <formula>NOT(ISERROR(SEARCH("UÜ",F152)))</formula>
    </cfRule>
  </conditionalFormatting>
  <conditionalFormatting sqref="F162:F168">
    <cfRule type="containsText" dxfId="690" priority="473" operator="containsText" text="Ü">
      <formula>NOT(ISERROR(SEARCH("Ü",F162)))</formula>
    </cfRule>
    <cfRule type="containsText" dxfId="689" priority="472" operator="containsText" text="UÜ">
      <formula>NOT(ISERROR(SEARCH("UÜ",F162)))</formula>
    </cfRule>
    <cfRule type="containsText" dxfId="688" priority="471" operator="containsText" text="S">
      <formula>NOT(ISERROR(SEARCH("S",F162)))</formula>
    </cfRule>
    <cfRule type="containsText" dxfId="687" priority="475" operator="containsText" text="K">
      <formula>NOT(ISERROR(SEARCH("K",F162)))</formula>
    </cfRule>
    <cfRule type="containsText" dxfId="686" priority="474" operator="containsText" text="U">
      <formula>NOT(ISERROR(SEARCH("U",F162)))</formula>
    </cfRule>
  </conditionalFormatting>
  <conditionalFormatting sqref="F172:F178">
    <cfRule type="containsText" dxfId="685" priority="467" operator="containsText" text="UÜ">
      <formula>NOT(ISERROR(SEARCH("UÜ",F172)))</formula>
    </cfRule>
    <cfRule type="containsText" dxfId="684" priority="468" operator="containsText" text="Ü">
      <formula>NOT(ISERROR(SEARCH("Ü",F172)))</formula>
    </cfRule>
    <cfRule type="containsText" dxfId="683" priority="469" operator="containsText" text="U">
      <formula>NOT(ISERROR(SEARCH("U",F172)))</formula>
    </cfRule>
    <cfRule type="containsText" dxfId="682" priority="470" operator="containsText" text="K">
      <formula>NOT(ISERROR(SEARCH("K",F172)))</formula>
    </cfRule>
    <cfRule type="containsText" dxfId="681" priority="466" operator="containsText" text="S">
      <formula>NOT(ISERROR(SEARCH("S",F172)))</formula>
    </cfRule>
  </conditionalFormatting>
  <conditionalFormatting sqref="F182:F188">
    <cfRule type="containsText" dxfId="680" priority="465" operator="containsText" text="K">
      <formula>NOT(ISERROR(SEARCH("K",F182)))</formula>
    </cfRule>
    <cfRule type="containsText" dxfId="679" priority="464" operator="containsText" text="U">
      <formula>NOT(ISERROR(SEARCH("U",F182)))</formula>
    </cfRule>
    <cfRule type="containsText" dxfId="678" priority="463" operator="containsText" text="Ü">
      <formula>NOT(ISERROR(SEARCH("Ü",F182)))</formula>
    </cfRule>
    <cfRule type="containsText" dxfId="677" priority="461" operator="containsText" text="S">
      <formula>NOT(ISERROR(SEARCH("S",F182)))</formula>
    </cfRule>
    <cfRule type="containsText" dxfId="676" priority="462" operator="containsText" text="UÜ">
      <formula>NOT(ISERROR(SEARCH("UÜ",F182)))</formula>
    </cfRule>
  </conditionalFormatting>
  <conditionalFormatting sqref="F192:F198">
    <cfRule type="containsText" dxfId="675" priority="457" operator="containsText" text="UÜ">
      <formula>NOT(ISERROR(SEARCH("UÜ",F192)))</formula>
    </cfRule>
    <cfRule type="containsText" dxfId="674" priority="456" operator="containsText" text="S">
      <formula>NOT(ISERROR(SEARCH("S",F192)))</formula>
    </cfRule>
    <cfRule type="containsText" dxfId="673" priority="460" operator="containsText" text="K">
      <formula>NOT(ISERROR(SEARCH("K",F192)))</formula>
    </cfRule>
    <cfRule type="containsText" dxfId="672" priority="459" operator="containsText" text="U">
      <formula>NOT(ISERROR(SEARCH("U",F192)))</formula>
    </cfRule>
    <cfRule type="containsText" dxfId="671" priority="458" operator="containsText" text="Ü">
      <formula>NOT(ISERROR(SEARCH("Ü",F192)))</formula>
    </cfRule>
  </conditionalFormatting>
  <conditionalFormatting sqref="F202:F208">
    <cfRule type="containsText" dxfId="670" priority="454" operator="containsText" text="U">
      <formula>NOT(ISERROR(SEARCH("U",F202)))</formula>
    </cfRule>
    <cfRule type="containsText" dxfId="669" priority="455" operator="containsText" text="K">
      <formula>NOT(ISERROR(SEARCH("K",F202)))</formula>
    </cfRule>
    <cfRule type="containsText" dxfId="668" priority="451" operator="containsText" text="S">
      <formula>NOT(ISERROR(SEARCH("S",F202)))</formula>
    </cfRule>
    <cfRule type="containsText" dxfId="667" priority="452" operator="containsText" text="UÜ">
      <formula>NOT(ISERROR(SEARCH("UÜ",F202)))</formula>
    </cfRule>
    <cfRule type="containsText" dxfId="666" priority="453" operator="containsText" text="Ü">
      <formula>NOT(ISERROR(SEARCH("Ü",F202)))</formula>
    </cfRule>
  </conditionalFormatting>
  <conditionalFormatting sqref="F212:F218">
    <cfRule type="containsText" dxfId="665" priority="446" operator="containsText" text="S">
      <formula>NOT(ISERROR(SEARCH("S",F212)))</formula>
    </cfRule>
    <cfRule type="containsText" dxfId="664" priority="447" operator="containsText" text="UÜ">
      <formula>NOT(ISERROR(SEARCH("UÜ",F212)))</formula>
    </cfRule>
    <cfRule type="containsText" dxfId="663" priority="448" operator="containsText" text="Ü">
      <formula>NOT(ISERROR(SEARCH("Ü",F212)))</formula>
    </cfRule>
    <cfRule type="containsText" dxfId="662" priority="450" operator="containsText" text="K">
      <formula>NOT(ISERROR(SEARCH("K",F212)))</formula>
    </cfRule>
    <cfRule type="containsText" dxfId="661" priority="449" operator="containsText" text="U">
      <formula>NOT(ISERROR(SEARCH("U",F212)))</formula>
    </cfRule>
  </conditionalFormatting>
  <conditionalFormatting sqref="F222:F228">
    <cfRule type="containsText" dxfId="660" priority="443" operator="containsText" text="Ü">
      <formula>NOT(ISERROR(SEARCH("Ü",F222)))</formula>
    </cfRule>
    <cfRule type="containsText" dxfId="659" priority="441" operator="containsText" text="S">
      <formula>NOT(ISERROR(SEARCH("S",F222)))</formula>
    </cfRule>
    <cfRule type="containsText" dxfId="658" priority="442" operator="containsText" text="UÜ">
      <formula>NOT(ISERROR(SEARCH("UÜ",F222)))</formula>
    </cfRule>
    <cfRule type="containsText" dxfId="657" priority="445" operator="containsText" text="K">
      <formula>NOT(ISERROR(SEARCH("K",F222)))</formula>
    </cfRule>
    <cfRule type="containsText" dxfId="656" priority="444" operator="containsText" text="U">
      <formula>NOT(ISERROR(SEARCH("U",F222)))</formula>
    </cfRule>
  </conditionalFormatting>
  <conditionalFormatting sqref="F232:F238">
    <cfRule type="containsText" dxfId="655" priority="440" operator="containsText" text="K">
      <formula>NOT(ISERROR(SEARCH("K",F232)))</formula>
    </cfRule>
    <cfRule type="containsText" dxfId="654" priority="437" operator="containsText" text="UÜ">
      <formula>NOT(ISERROR(SEARCH("UÜ",F232)))</formula>
    </cfRule>
    <cfRule type="containsText" dxfId="653" priority="436" operator="containsText" text="S">
      <formula>NOT(ISERROR(SEARCH("S",F232)))</formula>
    </cfRule>
    <cfRule type="containsText" dxfId="652" priority="438" operator="containsText" text="Ü">
      <formula>NOT(ISERROR(SEARCH("Ü",F232)))</formula>
    </cfRule>
    <cfRule type="containsText" dxfId="651" priority="439" operator="containsText" text="U">
      <formula>NOT(ISERROR(SEARCH("U",F232)))</formula>
    </cfRule>
  </conditionalFormatting>
  <conditionalFormatting sqref="F242:F248">
    <cfRule type="containsText" dxfId="650" priority="432" operator="containsText" text="UÜ">
      <formula>NOT(ISERROR(SEARCH("UÜ",F242)))</formula>
    </cfRule>
    <cfRule type="containsText" dxfId="649" priority="434" operator="containsText" text="U">
      <formula>NOT(ISERROR(SEARCH("U",F242)))</formula>
    </cfRule>
    <cfRule type="containsText" dxfId="648" priority="433" operator="containsText" text="Ü">
      <formula>NOT(ISERROR(SEARCH("Ü",F242)))</formula>
    </cfRule>
    <cfRule type="containsText" dxfId="647" priority="435" operator="containsText" text="K">
      <formula>NOT(ISERROR(SEARCH("K",F242)))</formula>
    </cfRule>
    <cfRule type="containsText" dxfId="646" priority="431" operator="containsText" text="S">
      <formula>NOT(ISERROR(SEARCH("S",F242)))</formula>
    </cfRule>
  </conditionalFormatting>
  <conditionalFormatting sqref="F252:F258">
    <cfRule type="containsText" dxfId="645" priority="426" operator="containsText" text="S">
      <formula>NOT(ISERROR(SEARCH("S",F252)))</formula>
    </cfRule>
    <cfRule type="containsText" dxfId="644" priority="429" operator="containsText" text="U">
      <formula>NOT(ISERROR(SEARCH("U",F252)))</formula>
    </cfRule>
    <cfRule type="containsText" dxfId="643" priority="428" operator="containsText" text="Ü">
      <formula>NOT(ISERROR(SEARCH("Ü",F252)))</formula>
    </cfRule>
    <cfRule type="containsText" dxfId="642" priority="427" operator="containsText" text="UÜ">
      <formula>NOT(ISERROR(SEARCH("UÜ",F252)))</formula>
    </cfRule>
    <cfRule type="containsText" dxfId="641" priority="430" operator="containsText" text="K">
      <formula>NOT(ISERROR(SEARCH("K",F252)))</formula>
    </cfRule>
  </conditionalFormatting>
  <conditionalFormatting sqref="F262:F268">
    <cfRule type="containsText" dxfId="640" priority="421" operator="containsText" text="S">
      <formula>NOT(ISERROR(SEARCH("S",F262)))</formula>
    </cfRule>
    <cfRule type="containsText" dxfId="639" priority="425" operator="containsText" text="K">
      <formula>NOT(ISERROR(SEARCH("K",F262)))</formula>
    </cfRule>
    <cfRule type="containsText" dxfId="638" priority="424" operator="containsText" text="U">
      <formula>NOT(ISERROR(SEARCH("U",F262)))</formula>
    </cfRule>
    <cfRule type="containsText" dxfId="637" priority="423" operator="containsText" text="Ü">
      <formula>NOT(ISERROR(SEARCH("Ü",F262)))</formula>
    </cfRule>
    <cfRule type="containsText" dxfId="636" priority="422" operator="containsText" text="UÜ">
      <formula>NOT(ISERROR(SEARCH("UÜ",F262)))</formula>
    </cfRule>
  </conditionalFormatting>
  <conditionalFormatting sqref="F272:F278">
    <cfRule type="containsText" dxfId="635" priority="420" operator="containsText" text="K">
      <formula>NOT(ISERROR(SEARCH("K",F272)))</formula>
    </cfRule>
    <cfRule type="containsText" dxfId="634" priority="419" operator="containsText" text="U">
      <formula>NOT(ISERROR(SEARCH("U",F272)))</formula>
    </cfRule>
    <cfRule type="containsText" dxfId="633" priority="418" operator="containsText" text="Ü">
      <formula>NOT(ISERROR(SEARCH("Ü",F272)))</formula>
    </cfRule>
    <cfRule type="containsText" dxfId="632" priority="417" operator="containsText" text="UÜ">
      <formula>NOT(ISERROR(SEARCH("UÜ",F272)))</formula>
    </cfRule>
    <cfRule type="containsText" dxfId="631" priority="416" operator="containsText" text="S">
      <formula>NOT(ISERROR(SEARCH("S",F272)))</formula>
    </cfRule>
  </conditionalFormatting>
  <conditionalFormatting sqref="F282:F288">
    <cfRule type="containsText" dxfId="630" priority="414" operator="containsText" text="U">
      <formula>NOT(ISERROR(SEARCH("U",F282)))</formula>
    </cfRule>
    <cfRule type="containsText" dxfId="629" priority="415" operator="containsText" text="K">
      <formula>NOT(ISERROR(SEARCH("K",F282)))</formula>
    </cfRule>
    <cfRule type="containsText" dxfId="628" priority="413" operator="containsText" text="Ü">
      <formula>NOT(ISERROR(SEARCH("Ü",F282)))</formula>
    </cfRule>
    <cfRule type="containsText" dxfId="627" priority="412" operator="containsText" text="UÜ">
      <formula>NOT(ISERROR(SEARCH("UÜ",F282)))</formula>
    </cfRule>
    <cfRule type="containsText" dxfId="626" priority="411" operator="containsText" text="S">
      <formula>NOT(ISERROR(SEARCH("S",F282)))</formula>
    </cfRule>
  </conditionalFormatting>
  <conditionalFormatting sqref="F292:F298">
    <cfRule type="containsText" dxfId="625" priority="410" operator="containsText" text="K">
      <formula>NOT(ISERROR(SEARCH("K",F292)))</formula>
    </cfRule>
    <cfRule type="containsText" dxfId="624" priority="409" operator="containsText" text="U">
      <formula>NOT(ISERROR(SEARCH("U",F292)))</formula>
    </cfRule>
    <cfRule type="containsText" dxfId="623" priority="408" operator="containsText" text="Ü">
      <formula>NOT(ISERROR(SEARCH("Ü",F292)))</formula>
    </cfRule>
    <cfRule type="containsText" dxfId="622" priority="407" operator="containsText" text="UÜ">
      <formula>NOT(ISERROR(SEARCH("UÜ",F292)))</formula>
    </cfRule>
    <cfRule type="containsText" dxfId="621" priority="406" operator="containsText" text="S">
      <formula>NOT(ISERROR(SEARCH("S",F292)))</formula>
    </cfRule>
  </conditionalFormatting>
  <conditionalFormatting sqref="F302:F308">
    <cfRule type="containsText" dxfId="620" priority="402" operator="containsText" text="UÜ">
      <formula>NOT(ISERROR(SEARCH("UÜ",F302)))</formula>
    </cfRule>
    <cfRule type="containsText" dxfId="619" priority="401" operator="containsText" text="S">
      <formula>NOT(ISERROR(SEARCH("S",F302)))</formula>
    </cfRule>
    <cfRule type="containsText" dxfId="618" priority="403" operator="containsText" text="Ü">
      <formula>NOT(ISERROR(SEARCH("Ü",F302)))</formula>
    </cfRule>
    <cfRule type="containsText" dxfId="617" priority="405" operator="containsText" text="K">
      <formula>NOT(ISERROR(SEARCH("K",F302)))</formula>
    </cfRule>
    <cfRule type="containsText" dxfId="616" priority="404" operator="containsText" text="U">
      <formula>NOT(ISERROR(SEARCH("U",F302)))</formula>
    </cfRule>
  </conditionalFormatting>
  <conditionalFormatting sqref="F312:F318">
    <cfRule type="containsText" dxfId="615" priority="400" operator="containsText" text="K">
      <formula>NOT(ISERROR(SEARCH("K",F312)))</formula>
    </cfRule>
    <cfRule type="containsText" dxfId="614" priority="398" operator="containsText" text="Ü">
      <formula>NOT(ISERROR(SEARCH("Ü",F312)))</formula>
    </cfRule>
    <cfRule type="containsText" dxfId="613" priority="399" operator="containsText" text="U">
      <formula>NOT(ISERROR(SEARCH("U",F312)))</formula>
    </cfRule>
    <cfRule type="containsText" dxfId="612" priority="397" operator="containsText" text="UÜ">
      <formula>NOT(ISERROR(SEARCH("UÜ",F312)))</formula>
    </cfRule>
    <cfRule type="containsText" dxfId="611" priority="396" operator="containsText" text="S">
      <formula>NOT(ISERROR(SEARCH("S",F312)))</formula>
    </cfRule>
  </conditionalFormatting>
  <conditionalFormatting sqref="F322:F328">
    <cfRule type="containsText" dxfId="610" priority="392" operator="containsText" text="UÜ">
      <formula>NOT(ISERROR(SEARCH("UÜ",F322)))</formula>
    </cfRule>
    <cfRule type="containsText" dxfId="609" priority="395" operator="containsText" text="K">
      <formula>NOT(ISERROR(SEARCH("K",F322)))</formula>
    </cfRule>
    <cfRule type="containsText" dxfId="608" priority="391" operator="containsText" text="S">
      <formula>NOT(ISERROR(SEARCH("S",F322)))</formula>
    </cfRule>
    <cfRule type="containsText" dxfId="607" priority="394" operator="containsText" text="U">
      <formula>NOT(ISERROR(SEARCH("U",F322)))</formula>
    </cfRule>
    <cfRule type="containsText" dxfId="606" priority="393" operator="containsText" text="Ü">
      <formula>NOT(ISERROR(SEARCH("Ü",F322)))</formula>
    </cfRule>
  </conditionalFormatting>
  <conditionalFormatting sqref="F332:F338">
    <cfRule type="containsText" dxfId="605" priority="387" operator="containsText" text="UÜ">
      <formula>NOT(ISERROR(SEARCH("UÜ",F332)))</formula>
    </cfRule>
    <cfRule type="containsText" dxfId="604" priority="388" operator="containsText" text="Ü">
      <formula>NOT(ISERROR(SEARCH("Ü",F332)))</formula>
    </cfRule>
    <cfRule type="containsText" dxfId="603" priority="389" operator="containsText" text="U">
      <formula>NOT(ISERROR(SEARCH("U",F332)))</formula>
    </cfRule>
    <cfRule type="containsText" dxfId="602" priority="390" operator="containsText" text="K">
      <formula>NOT(ISERROR(SEARCH("K",F332)))</formula>
    </cfRule>
    <cfRule type="containsText" dxfId="601" priority="386" operator="containsText" text="S">
      <formula>NOT(ISERROR(SEARCH("S",F332)))</formula>
    </cfRule>
  </conditionalFormatting>
  <conditionalFormatting sqref="F342:F348">
    <cfRule type="containsText" dxfId="600" priority="383" operator="containsText" text="Ü">
      <formula>NOT(ISERROR(SEARCH("Ü",F342)))</formula>
    </cfRule>
    <cfRule type="containsText" dxfId="599" priority="385" operator="containsText" text="K">
      <formula>NOT(ISERROR(SEARCH("K",F342)))</formula>
    </cfRule>
    <cfRule type="containsText" dxfId="598" priority="384" operator="containsText" text="U">
      <formula>NOT(ISERROR(SEARCH("U",F342)))</formula>
    </cfRule>
    <cfRule type="containsText" dxfId="597" priority="381" operator="containsText" text="S">
      <formula>NOT(ISERROR(SEARCH("S",F342)))</formula>
    </cfRule>
    <cfRule type="containsText" dxfId="596" priority="382" operator="containsText" text="UÜ">
      <formula>NOT(ISERROR(SEARCH("UÜ",F342)))</formula>
    </cfRule>
  </conditionalFormatting>
  <conditionalFormatting sqref="F352:F358">
    <cfRule type="containsText" dxfId="595" priority="379" operator="containsText" text="U">
      <formula>NOT(ISERROR(SEARCH("U",F352)))</formula>
    </cfRule>
    <cfRule type="containsText" dxfId="594" priority="378" operator="containsText" text="Ü">
      <formula>NOT(ISERROR(SEARCH("Ü",F352)))</formula>
    </cfRule>
    <cfRule type="containsText" dxfId="593" priority="377" operator="containsText" text="UÜ">
      <formula>NOT(ISERROR(SEARCH("UÜ",F352)))</formula>
    </cfRule>
    <cfRule type="containsText" dxfId="592" priority="376" operator="containsText" text="S">
      <formula>NOT(ISERROR(SEARCH("S",F352)))</formula>
    </cfRule>
    <cfRule type="containsText" dxfId="591" priority="380" operator="containsText" text="K">
      <formula>NOT(ISERROR(SEARCH("K",F352)))</formula>
    </cfRule>
  </conditionalFormatting>
  <conditionalFormatting sqref="F362:F368">
    <cfRule type="containsText" dxfId="590" priority="375" operator="containsText" text="K">
      <formula>NOT(ISERROR(SEARCH("K",F362)))</formula>
    </cfRule>
    <cfRule type="containsText" dxfId="589" priority="374" operator="containsText" text="U">
      <formula>NOT(ISERROR(SEARCH("U",F362)))</formula>
    </cfRule>
    <cfRule type="containsText" dxfId="588" priority="373" operator="containsText" text="Ü">
      <formula>NOT(ISERROR(SEARCH("Ü",F362)))</formula>
    </cfRule>
    <cfRule type="containsText" dxfId="587" priority="372" operator="containsText" text="UÜ">
      <formula>NOT(ISERROR(SEARCH("UÜ",F362)))</formula>
    </cfRule>
    <cfRule type="containsText" dxfId="586" priority="371" operator="containsText" text="S">
      <formula>NOT(ISERROR(SEARCH("S",F362)))</formula>
    </cfRule>
  </conditionalFormatting>
  <conditionalFormatting sqref="F372:F378">
    <cfRule type="containsText" dxfId="585" priority="370" operator="containsText" text="K">
      <formula>NOT(ISERROR(SEARCH("K",F372)))</formula>
    </cfRule>
    <cfRule type="containsText" dxfId="584" priority="366" operator="containsText" text="S">
      <formula>NOT(ISERROR(SEARCH("S",F372)))</formula>
    </cfRule>
    <cfRule type="containsText" dxfId="583" priority="369" operator="containsText" text="U">
      <formula>NOT(ISERROR(SEARCH("U",F372)))</formula>
    </cfRule>
    <cfRule type="containsText" dxfId="582" priority="368" operator="containsText" text="Ü">
      <formula>NOT(ISERROR(SEARCH("Ü",F372)))</formula>
    </cfRule>
    <cfRule type="containsText" dxfId="581" priority="367" operator="containsText" text="UÜ">
      <formula>NOT(ISERROR(SEARCH("UÜ",F372)))</formula>
    </cfRule>
  </conditionalFormatting>
  <conditionalFormatting sqref="F382:F388">
    <cfRule type="containsText" dxfId="580" priority="365" operator="containsText" text="K">
      <formula>NOT(ISERROR(SEARCH("K",F382)))</formula>
    </cfRule>
    <cfRule type="containsText" dxfId="579" priority="364" operator="containsText" text="U">
      <formula>NOT(ISERROR(SEARCH("U",F382)))</formula>
    </cfRule>
    <cfRule type="containsText" dxfId="578" priority="362" operator="containsText" text="UÜ">
      <formula>NOT(ISERROR(SEARCH("UÜ",F382)))</formula>
    </cfRule>
    <cfRule type="containsText" dxfId="577" priority="361" operator="containsText" text="S">
      <formula>NOT(ISERROR(SEARCH("S",F382)))</formula>
    </cfRule>
    <cfRule type="containsText" dxfId="576" priority="363" operator="containsText" text="Ü">
      <formula>NOT(ISERROR(SEARCH("Ü",F382)))</formula>
    </cfRule>
  </conditionalFormatting>
  <conditionalFormatting sqref="F392:F398">
    <cfRule type="containsText" dxfId="575" priority="359" operator="containsText" text="U">
      <formula>NOT(ISERROR(SEARCH("U",F392)))</formula>
    </cfRule>
    <cfRule type="containsText" dxfId="574" priority="360" operator="containsText" text="K">
      <formula>NOT(ISERROR(SEARCH("K",F392)))</formula>
    </cfRule>
    <cfRule type="containsText" dxfId="573" priority="357" operator="containsText" text="UÜ">
      <formula>NOT(ISERROR(SEARCH("UÜ",F392)))</formula>
    </cfRule>
    <cfRule type="containsText" dxfId="572" priority="356" operator="containsText" text="S">
      <formula>NOT(ISERROR(SEARCH("S",F392)))</formula>
    </cfRule>
    <cfRule type="containsText" dxfId="571" priority="358" operator="containsText" text="Ü">
      <formula>NOT(ISERROR(SEARCH("Ü",F392)))</formula>
    </cfRule>
  </conditionalFormatting>
  <conditionalFormatting sqref="F402:F408">
    <cfRule type="containsText" dxfId="570" priority="352" operator="containsText" text="UÜ">
      <formula>NOT(ISERROR(SEARCH("UÜ",F402)))</formula>
    </cfRule>
    <cfRule type="containsText" dxfId="569" priority="353" operator="containsText" text="Ü">
      <formula>NOT(ISERROR(SEARCH("Ü",F402)))</formula>
    </cfRule>
    <cfRule type="containsText" dxfId="568" priority="354" operator="containsText" text="U">
      <formula>NOT(ISERROR(SEARCH("U",F402)))</formula>
    </cfRule>
    <cfRule type="containsText" dxfId="567" priority="355" operator="containsText" text="K">
      <formula>NOT(ISERROR(SEARCH("K",F402)))</formula>
    </cfRule>
    <cfRule type="containsText" dxfId="566" priority="351" operator="containsText" text="S">
      <formula>NOT(ISERROR(SEARCH("S",F402)))</formula>
    </cfRule>
  </conditionalFormatting>
  <conditionalFormatting sqref="F412:F418">
    <cfRule type="containsText" dxfId="565" priority="347" operator="containsText" text="UÜ">
      <formula>NOT(ISERROR(SEARCH("UÜ",F412)))</formula>
    </cfRule>
    <cfRule type="containsText" dxfId="564" priority="349" operator="containsText" text="U">
      <formula>NOT(ISERROR(SEARCH("U",F412)))</formula>
    </cfRule>
    <cfRule type="containsText" dxfId="563" priority="350" operator="containsText" text="K">
      <formula>NOT(ISERROR(SEARCH("K",F412)))</formula>
    </cfRule>
    <cfRule type="containsText" dxfId="562" priority="346" operator="containsText" text="S">
      <formula>NOT(ISERROR(SEARCH("S",F412)))</formula>
    </cfRule>
    <cfRule type="containsText" dxfId="561" priority="348" operator="containsText" text="Ü">
      <formula>NOT(ISERROR(SEARCH("Ü",F412)))</formula>
    </cfRule>
  </conditionalFormatting>
  <conditionalFormatting sqref="F422:F428">
    <cfRule type="containsText" dxfId="560" priority="342" operator="containsText" text="UÜ">
      <formula>NOT(ISERROR(SEARCH("UÜ",F422)))</formula>
    </cfRule>
    <cfRule type="containsText" dxfId="559" priority="343" operator="containsText" text="Ü">
      <formula>NOT(ISERROR(SEARCH("Ü",F422)))</formula>
    </cfRule>
    <cfRule type="containsText" dxfId="558" priority="341" operator="containsText" text="S">
      <formula>NOT(ISERROR(SEARCH("S",F422)))</formula>
    </cfRule>
    <cfRule type="containsText" dxfId="557" priority="344" operator="containsText" text="U">
      <formula>NOT(ISERROR(SEARCH("U",F422)))</formula>
    </cfRule>
    <cfRule type="containsText" dxfId="556" priority="345" operator="containsText" text="K">
      <formula>NOT(ISERROR(SEARCH("K",F422)))</formula>
    </cfRule>
  </conditionalFormatting>
  <conditionalFormatting sqref="F432:F438">
    <cfRule type="containsText" dxfId="555" priority="336" operator="containsText" text="S">
      <formula>NOT(ISERROR(SEARCH("S",F432)))</formula>
    </cfRule>
    <cfRule type="containsText" dxfId="554" priority="340" operator="containsText" text="K">
      <formula>NOT(ISERROR(SEARCH("K",F432)))</formula>
    </cfRule>
    <cfRule type="containsText" dxfId="553" priority="339" operator="containsText" text="U">
      <formula>NOT(ISERROR(SEARCH("U",F432)))</formula>
    </cfRule>
    <cfRule type="containsText" dxfId="552" priority="338" operator="containsText" text="Ü">
      <formula>NOT(ISERROR(SEARCH("Ü",F432)))</formula>
    </cfRule>
    <cfRule type="containsText" dxfId="551" priority="337" operator="containsText" text="UÜ">
      <formula>NOT(ISERROR(SEARCH("UÜ",F432)))</formula>
    </cfRule>
  </conditionalFormatting>
  <conditionalFormatting sqref="F442:F448">
    <cfRule type="containsText" dxfId="550" priority="331" operator="containsText" text="S">
      <formula>NOT(ISERROR(SEARCH("S",F442)))</formula>
    </cfRule>
    <cfRule type="containsText" dxfId="549" priority="332" operator="containsText" text="UÜ">
      <formula>NOT(ISERROR(SEARCH("UÜ",F442)))</formula>
    </cfRule>
    <cfRule type="containsText" dxfId="548" priority="335" operator="containsText" text="K">
      <formula>NOT(ISERROR(SEARCH("K",F442)))</formula>
    </cfRule>
    <cfRule type="containsText" dxfId="547" priority="334" operator="containsText" text="U">
      <formula>NOT(ISERROR(SEARCH("U",F442)))</formula>
    </cfRule>
    <cfRule type="containsText" dxfId="546" priority="333" operator="containsText" text="Ü">
      <formula>NOT(ISERROR(SEARCH("Ü",F442)))</formula>
    </cfRule>
  </conditionalFormatting>
  <conditionalFormatting sqref="F452:F458">
    <cfRule type="containsText" dxfId="545" priority="326" operator="containsText" text="S">
      <formula>NOT(ISERROR(SEARCH("S",F452)))</formula>
    </cfRule>
    <cfRule type="containsText" dxfId="544" priority="327" operator="containsText" text="UÜ">
      <formula>NOT(ISERROR(SEARCH("UÜ",F452)))</formula>
    </cfRule>
    <cfRule type="containsText" dxfId="543" priority="328" operator="containsText" text="Ü">
      <formula>NOT(ISERROR(SEARCH("Ü",F452)))</formula>
    </cfRule>
    <cfRule type="containsText" dxfId="542" priority="329" operator="containsText" text="U">
      <formula>NOT(ISERROR(SEARCH("U",F452)))</formula>
    </cfRule>
    <cfRule type="containsText" dxfId="541" priority="330" operator="containsText" text="K">
      <formula>NOT(ISERROR(SEARCH("K",F452)))</formula>
    </cfRule>
  </conditionalFormatting>
  <conditionalFormatting sqref="F462:F468">
    <cfRule type="containsText" dxfId="540" priority="325" operator="containsText" text="K">
      <formula>NOT(ISERROR(SEARCH("K",F462)))</formula>
    </cfRule>
    <cfRule type="containsText" dxfId="539" priority="321" operator="containsText" text="S">
      <formula>NOT(ISERROR(SEARCH("S",F462)))</formula>
    </cfRule>
    <cfRule type="containsText" dxfId="538" priority="322" operator="containsText" text="UÜ">
      <formula>NOT(ISERROR(SEARCH("UÜ",F462)))</formula>
    </cfRule>
    <cfRule type="containsText" dxfId="537" priority="323" operator="containsText" text="Ü">
      <formula>NOT(ISERROR(SEARCH("Ü",F462)))</formula>
    </cfRule>
    <cfRule type="containsText" dxfId="536" priority="324" operator="containsText" text="U">
      <formula>NOT(ISERROR(SEARCH("U",F462)))</formula>
    </cfRule>
  </conditionalFormatting>
  <conditionalFormatting sqref="F472:F478">
    <cfRule type="containsText" dxfId="535" priority="314" operator="containsText" text="U">
      <formula>NOT(ISERROR(SEARCH("U",F472)))</formula>
    </cfRule>
    <cfRule type="containsText" dxfId="534" priority="313" operator="containsText" text="Ü">
      <formula>NOT(ISERROR(SEARCH("Ü",F472)))</formula>
    </cfRule>
    <cfRule type="containsText" dxfId="533" priority="312" operator="containsText" text="UÜ">
      <formula>NOT(ISERROR(SEARCH("UÜ",F472)))</formula>
    </cfRule>
    <cfRule type="containsText" dxfId="532" priority="311" operator="containsText" text="S">
      <formula>NOT(ISERROR(SEARCH("S",F472)))</formula>
    </cfRule>
    <cfRule type="containsText" dxfId="531" priority="315" operator="containsText" text="K">
      <formula>NOT(ISERROR(SEARCH("K",F472)))</formula>
    </cfRule>
  </conditionalFormatting>
  <conditionalFormatting sqref="F482:F488">
    <cfRule type="containsText" dxfId="530" priority="309" operator="containsText" text="U">
      <formula>NOT(ISERROR(SEARCH("U",F482)))</formula>
    </cfRule>
    <cfRule type="containsText" dxfId="529" priority="310" operator="containsText" text="K">
      <formula>NOT(ISERROR(SEARCH("K",F482)))</formula>
    </cfRule>
    <cfRule type="containsText" dxfId="528" priority="308" operator="containsText" text="Ü">
      <formula>NOT(ISERROR(SEARCH("Ü",F482)))</formula>
    </cfRule>
    <cfRule type="containsText" dxfId="527" priority="307" operator="containsText" text="UÜ">
      <formula>NOT(ISERROR(SEARCH("UÜ",F482)))</formula>
    </cfRule>
    <cfRule type="containsText" dxfId="526" priority="306" operator="containsText" text="S">
      <formula>NOT(ISERROR(SEARCH("S",F482)))</formula>
    </cfRule>
  </conditionalFormatting>
  <conditionalFormatting sqref="F492:F498">
    <cfRule type="containsText" dxfId="525" priority="305" operator="containsText" text="K">
      <formula>NOT(ISERROR(SEARCH("K",F492)))</formula>
    </cfRule>
    <cfRule type="containsText" dxfId="524" priority="304" operator="containsText" text="U">
      <formula>NOT(ISERROR(SEARCH("U",F492)))</formula>
    </cfRule>
    <cfRule type="containsText" dxfId="523" priority="303" operator="containsText" text="Ü">
      <formula>NOT(ISERROR(SEARCH("Ü",F492)))</formula>
    </cfRule>
    <cfRule type="containsText" dxfId="522" priority="302" operator="containsText" text="UÜ">
      <formula>NOT(ISERROR(SEARCH("UÜ",F492)))</formula>
    </cfRule>
    <cfRule type="containsText" dxfId="521" priority="301" operator="containsText" text="S">
      <formula>NOT(ISERROR(SEARCH("S",F492)))</formula>
    </cfRule>
  </conditionalFormatting>
  <conditionalFormatting sqref="F502:F508">
    <cfRule type="containsText" dxfId="520" priority="297" operator="containsText" text="UÜ">
      <formula>NOT(ISERROR(SEARCH("UÜ",F502)))</formula>
    </cfRule>
    <cfRule type="containsText" dxfId="519" priority="300" operator="containsText" text="K">
      <formula>NOT(ISERROR(SEARCH("K",F502)))</formula>
    </cfRule>
    <cfRule type="containsText" dxfId="518" priority="298" operator="containsText" text="Ü">
      <formula>NOT(ISERROR(SEARCH("Ü",F502)))</formula>
    </cfRule>
    <cfRule type="containsText" dxfId="517" priority="296" operator="containsText" text="S">
      <formula>NOT(ISERROR(SEARCH("S",F502)))</formula>
    </cfRule>
    <cfRule type="containsText" dxfId="516" priority="299" operator="containsText" text="U">
      <formula>NOT(ISERROR(SEARCH("U",F502)))</formula>
    </cfRule>
  </conditionalFormatting>
  <conditionalFormatting sqref="F512:F518">
    <cfRule type="containsText" dxfId="515" priority="294" operator="containsText" text="U">
      <formula>NOT(ISERROR(SEARCH("U",F512)))</formula>
    </cfRule>
    <cfRule type="containsText" dxfId="514" priority="295" operator="containsText" text="K">
      <formula>NOT(ISERROR(SEARCH("K",F512)))</formula>
    </cfRule>
    <cfRule type="containsText" dxfId="513" priority="293" operator="containsText" text="Ü">
      <formula>NOT(ISERROR(SEARCH("Ü",F512)))</formula>
    </cfRule>
    <cfRule type="containsText" dxfId="512" priority="292" operator="containsText" text="UÜ">
      <formula>NOT(ISERROR(SEARCH("UÜ",F512)))</formula>
    </cfRule>
    <cfRule type="containsText" dxfId="511" priority="291" operator="containsText" text="S">
      <formula>NOT(ISERROR(SEARCH("S",F512)))</formula>
    </cfRule>
  </conditionalFormatting>
  <conditionalFormatting sqref="F522:F528">
    <cfRule type="containsText" dxfId="510" priority="288" operator="containsText" text="Ü">
      <formula>NOT(ISERROR(SEARCH("Ü",F522)))</formula>
    </cfRule>
    <cfRule type="containsText" dxfId="509" priority="287" operator="containsText" text="UÜ">
      <formula>NOT(ISERROR(SEARCH("UÜ",F522)))</formula>
    </cfRule>
    <cfRule type="containsText" dxfId="508" priority="286" operator="containsText" text="S">
      <formula>NOT(ISERROR(SEARCH("S",F522)))</formula>
    </cfRule>
    <cfRule type="containsText" dxfId="507" priority="290" operator="containsText" text="K">
      <formula>NOT(ISERROR(SEARCH("K",F522)))</formula>
    </cfRule>
    <cfRule type="containsText" dxfId="506" priority="289" operator="containsText" text="U">
      <formula>NOT(ISERROR(SEARCH("U",F522)))</formula>
    </cfRule>
  </conditionalFormatting>
  <conditionalFormatting sqref="F532:F538">
    <cfRule type="containsText" dxfId="505" priority="281" operator="containsText" text="S">
      <formula>NOT(ISERROR(SEARCH("S",F532)))</formula>
    </cfRule>
    <cfRule type="containsText" dxfId="504" priority="283" operator="containsText" text="Ü">
      <formula>NOT(ISERROR(SEARCH("Ü",F532)))</formula>
    </cfRule>
    <cfRule type="containsText" dxfId="503" priority="282" operator="containsText" text="UÜ">
      <formula>NOT(ISERROR(SEARCH("UÜ",F532)))</formula>
    </cfRule>
    <cfRule type="containsText" dxfId="502" priority="285" operator="containsText" text="K">
      <formula>NOT(ISERROR(SEARCH("K",F532)))</formula>
    </cfRule>
    <cfRule type="containsText" dxfId="501" priority="284" operator="containsText" text="U">
      <formula>NOT(ISERROR(SEARCH("U",F532)))</formula>
    </cfRule>
  </conditionalFormatting>
  <conditionalFormatting sqref="F542:F548">
    <cfRule type="containsText" dxfId="500" priority="280" operator="containsText" text="K">
      <formula>NOT(ISERROR(SEARCH("K",F542)))</formula>
    </cfRule>
    <cfRule type="containsText" dxfId="499" priority="279" operator="containsText" text="U">
      <formula>NOT(ISERROR(SEARCH("U",F542)))</formula>
    </cfRule>
    <cfRule type="containsText" dxfId="498" priority="278" operator="containsText" text="Ü">
      <formula>NOT(ISERROR(SEARCH("Ü",F542)))</formula>
    </cfRule>
    <cfRule type="containsText" dxfId="497" priority="277" operator="containsText" text="UÜ">
      <formula>NOT(ISERROR(SEARCH("UÜ",F542)))</formula>
    </cfRule>
    <cfRule type="containsText" dxfId="496" priority="276" operator="containsText" text="S">
      <formula>NOT(ISERROR(SEARCH("S",F542)))</formula>
    </cfRule>
  </conditionalFormatting>
  <conditionalFormatting sqref="F552:F558">
    <cfRule type="containsText" dxfId="495" priority="783" operator="containsText" text="S">
      <formula>NOT(ISERROR(SEARCH("S",F552)))</formula>
    </cfRule>
    <cfRule type="containsText" dxfId="494" priority="784" operator="containsText" text="UÜ">
      <formula>NOT(ISERROR(SEARCH("UÜ",F552)))</formula>
    </cfRule>
    <cfRule type="containsText" dxfId="493" priority="787" operator="containsText" text="K">
      <formula>NOT(ISERROR(SEARCH("K",F552)))</formula>
    </cfRule>
    <cfRule type="containsText" dxfId="492" priority="785" operator="containsText" text="Ü">
      <formula>NOT(ISERROR(SEARCH("Ü",F552)))</formula>
    </cfRule>
    <cfRule type="containsText" dxfId="491" priority="786" operator="containsText" text="U">
      <formula>NOT(ISERROR(SEARCH("U",F552)))</formula>
    </cfRule>
  </conditionalFormatting>
  <conditionalFormatting sqref="K1:K14 K29:K40 K560:K562 K1087:K1048576">
    <cfRule type="containsText" dxfId="490" priority="1518" operator="containsText" text="Sonntag">
      <formula>NOT(ISERROR(SEARCH("Sonntag",K1)))</formula>
    </cfRule>
    <cfRule type="containsText" dxfId="489" priority="1513" operator="containsText" text="Samstag">
      <formula>NOT(ISERROR(SEARCH("Samstag",K1)))</formula>
    </cfRule>
  </conditionalFormatting>
  <conditionalFormatting sqref="K15:K25">
    <cfRule type="containsText" dxfId="488" priority="1" operator="containsText" text="Samstag">
      <formula>NOT(ISERROR(SEARCH("Samstag",K15)))</formula>
    </cfRule>
    <cfRule type="containsText" dxfId="487" priority="2" operator="containsText" text="Sonntag">
      <formula>NOT(ISERROR(SEARCH("Sonntag",K15)))</formula>
    </cfRule>
  </conditionalFormatting>
  <conditionalFormatting sqref="K41:K559">
    <cfRule type="containsText" dxfId="486" priority="262" operator="containsText" text="Samstag">
      <formula>NOT(ISERROR(SEARCH("Samstag",K41)))</formula>
    </cfRule>
    <cfRule type="containsText" dxfId="485" priority="263" operator="containsText" text="Sonntag">
      <formula>NOT(ISERROR(SEARCH("Sonntag",K41)))</formula>
    </cfRule>
  </conditionalFormatting>
  <conditionalFormatting sqref="L32:L562">
    <cfRule type="expression" dxfId="484" priority="1509">
      <formula>VLOOKUP(L32,$AB$22:$AB$23,1,0)</formula>
    </cfRule>
    <cfRule type="expression" dxfId="483" priority="1510">
      <formula>VLOOKUP(L32,$AB$2:$AB$18,1,0)</formula>
    </cfRule>
  </conditionalFormatting>
  <conditionalFormatting sqref="L41:L559">
    <cfRule type="expression" dxfId="482" priority="274">
      <formula>VLOOKUP(L41,$AB$22:$AB$23,1,0)</formula>
    </cfRule>
    <cfRule type="expression" dxfId="481" priority="275">
      <formula>VLOOKUP(L41,$AB$2:$AB$18,1,0)</formula>
    </cfRule>
  </conditionalFormatting>
  <conditionalFormatting sqref="O32:O38">
    <cfRule type="containsText" dxfId="480" priority="2358" operator="containsText" text="K">
      <formula>NOT(ISERROR(SEARCH("K",O32)))</formula>
    </cfRule>
    <cfRule type="containsText" dxfId="479" priority="2357" operator="containsText" text="U">
      <formula>NOT(ISERROR(SEARCH("U",O32)))</formula>
    </cfRule>
    <cfRule type="containsText" dxfId="478" priority="2356" operator="containsText" text="Ü">
      <formula>NOT(ISERROR(SEARCH("Ü",O32)))</formula>
    </cfRule>
    <cfRule type="containsText" dxfId="477" priority="2355" operator="containsText" text="UÜ">
      <formula>NOT(ISERROR(SEARCH("UÜ",O32)))</formula>
    </cfRule>
    <cfRule type="containsText" dxfId="476" priority="2354" operator="containsText" text="S">
      <formula>NOT(ISERROR(SEARCH("S",O32)))</formula>
    </cfRule>
  </conditionalFormatting>
  <conditionalFormatting sqref="O42:O48">
    <cfRule type="containsText" dxfId="475" priority="273" operator="containsText" text="K">
      <formula>NOT(ISERROR(SEARCH("K",O42)))</formula>
    </cfRule>
    <cfRule type="containsText" dxfId="474" priority="272" operator="containsText" text="U">
      <formula>NOT(ISERROR(SEARCH("U",O42)))</formula>
    </cfRule>
    <cfRule type="containsText" dxfId="473" priority="270" operator="containsText" text="UÜ">
      <formula>NOT(ISERROR(SEARCH("UÜ",O42)))</formula>
    </cfRule>
    <cfRule type="containsText" dxfId="472" priority="269" operator="containsText" text="S">
      <formula>NOT(ISERROR(SEARCH("S",O42)))</formula>
    </cfRule>
    <cfRule type="containsText" dxfId="471" priority="271" operator="containsText" text="Ü">
      <formula>NOT(ISERROR(SEARCH("Ü",O42)))</formula>
    </cfRule>
  </conditionalFormatting>
  <conditionalFormatting sqref="O52:O58">
    <cfRule type="containsText" dxfId="470" priority="7" operator="containsText" text="S">
      <formula>NOT(ISERROR(SEARCH("S",O52)))</formula>
    </cfRule>
    <cfRule type="containsText" dxfId="469" priority="7" operator="containsText" text="UÜ">
      <formula>NOT(ISERROR(SEARCH("UÜ",O52)))</formula>
    </cfRule>
    <cfRule type="containsText" dxfId="468" priority="7" operator="containsText" text="U">
      <formula>NOT(ISERROR(SEARCH("U",O52)))</formula>
    </cfRule>
    <cfRule type="containsText" dxfId="467" priority="7" operator="containsText" text="K">
      <formula>NOT(ISERROR(SEARCH("K",O52)))</formula>
    </cfRule>
    <cfRule type="containsText" dxfId="466" priority="7" operator="containsText" text="Ü">
      <formula>NOT(ISERROR(SEARCH("Ü",O52)))</formula>
    </cfRule>
  </conditionalFormatting>
  <conditionalFormatting sqref="O62:O68">
    <cfRule type="containsText" dxfId="465" priority="253" operator="containsText" text="UÜ">
      <formula>NOT(ISERROR(SEARCH("UÜ",O62)))</formula>
    </cfRule>
    <cfRule type="containsText" dxfId="464" priority="252" operator="containsText" text="S">
      <formula>NOT(ISERROR(SEARCH("S",O62)))</formula>
    </cfRule>
    <cfRule type="containsText" dxfId="463" priority="256" operator="containsText" text="K">
      <formula>NOT(ISERROR(SEARCH("K",O62)))</formula>
    </cfRule>
    <cfRule type="containsText" dxfId="462" priority="255" operator="containsText" text="U">
      <formula>NOT(ISERROR(SEARCH("U",O62)))</formula>
    </cfRule>
    <cfRule type="containsText" dxfId="461" priority="254" operator="containsText" text="Ü">
      <formula>NOT(ISERROR(SEARCH("Ü",O62)))</formula>
    </cfRule>
  </conditionalFormatting>
  <conditionalFormatting sqref="O72:O78">
    <cfRule type="containsText" dxfId="460" priority="251" operator="containsText" text="K">
      <formula>NOT(ISERROR(SEARCH("K",O72)))</formula>
    </cfRule>
    <cfRule type="containsText" dxfId="459" priority="250" operator="containsText" text="U">
      <formula>NOT(ISERROR(SEARCH("U",O72)))</formula>
    </cfRule>
    <cfRule type="containsText" dxfId="458" priority="249" operator="containsText" text="Ü">
      <formula>NOT(ISERROR(SEARCH("Ü",O72)))</formula>
    </cfRule>
    <cfRule type="containsText" dxfId="457" priority="248" operator="containsText" text="UÜ">
      <formula>NOT(ISERROR(SEARCH("UÜ",O72)))</formula>
    </cfRule>
    <cfRule type="containsText" dxfId="456" priority="247" operator="containsText" text="S">
      <formula>NOT(ISERROR(SEARCH("S",O72)))</formula>
    </cfRule>
  </conditionalFormatting>
  <conditionalFormatting sqref="O82:O88">
    <cfRule type="containsText" dxfId="455" priority="245" operator="containsText" text="U">
      <formula>NOT(ISERROR(SEARCH("U",O82)))</formula>
    </cfRule>
    <cfRule type="containsText" dxfId="454" priority="246" operator="containsText" text="K">
      <formula>NOT(ISERROR(SEARCH("K",O82)))</formula>
    </cfRule>
    <cfRule type="containsText" dxfId="453" priority="242" operator="containsText" text="S">
      <formula>NOT(ISERROR(SEARCH("S",O82)))</formula>
    </cfRule>
    <cfRule type="containsText" dxfId="452" priority="243" operator="containsText" text="UÜ">
      <formula>NOT(ISERROR(SEARCH("UÜ",O82)))</formula>
    </cfRule>
    <cfRule type="containsText" dxfId="451" priority="244" operator="containsText" text="Ü">
      <formula>NOT(ISERROR(SEARCH("Ü",O82)))</formula>
    </cfRule>
  </conditionalFormatting>
  <conditionalFormatting sqref="O92:O98">
    <cfRule type="containsText" dxfId="450" priority="241" operator="containsText" text="K">
      <formula>NOT(ISERROR(SEARCH("K",O92)))</formula>
    </cfRule>
    <cfRule type="containsText" dxfId="449" priority="240" operator="containsText" text="U">
      <formula>NOT(ISERROR(SEARCH("U",O92)))</formula>
    </cfRule>
    <cfRule type="containsText" dxfId="448" priority="239" operator="containsText" text="Ü">
      <formula>NOT(ISERROR(SEARCH("Ü",O92)))</formula>
    </cfRule>
    <cfRule type="containsText" dxfId="447" priority="238" operator="containsText" text="UÜ">
      <formula>NOT(ISERROR(SEARCH("UÜ",O92)))</formula>
    </cfRule>
    <cfRule type="containsText" dxfId="446" priority="237" operator="containsText" text="S">
      <formula>NOT(ISERROR(SEARCH("S",O92)))</formula>
    </cfRule>
  </conditionalFormatting>
  <conditionalFormatting sqref="O102:O108">
    <cfRule type="containsText" dxfId="445" priority="236" operator="containsText" text="K">
      <formula>NOT(ISERROR(SEARCH("K",O102)))</formula>
    </cfRule>
    <cfRule type="containsText" dxfId="444" priority="235" operator="containsText" text="U">
      <formula>NOT(ISERROR(SEARCH("U",O102)))</formula>
    </cfRule>
    <cfRule type="containsText" dxfId="443" priority="234" operator="containsText" text="Ü">
      <formula>NOT(ISERROR(SEARCH("Ü",O102)))</formula>
    </cfRule>
    <cfRule type="containsText" dxfId="442" priority="233" operator="containsText" text="UÜ">
      <formula>NOT(ISERROR(SEARCH("UÜ",O102)))</formula>
    </cfRule>
    <cfRule type="containsText" dxfId="441" priority="232" operator="containsText" text="S">
      <formula>NOT(ISERROR(SEARCH("S",O102)))</formula>
    </cfRule>
  </conditionalFormatting>
  <conditionalFormatting sqref="O112:O118">
    <cfRule type="containsText" dxfId="440" priority="231" operator="containsText" text="K">
      <formula>NOT(ISERROR(SEARCH("K",O112)))</formula>
    </cfRule>
    <cfRule type="containsText" dxfId="439" priority="230" operator="containsText" text="U">
      <formula>NOT(ISERROR(SEARCH("U",O112)))</formula>
    </cfRule>
    <cfRule type="containsText" dxfId="438" priority="229" operator="containsText" text="Ü">
      <formula>NOT(ISERROR(SEARCH("Ü",O112)))</formula>
    </cfRule>
    <cfRule type="containsText" dxfId="437" priority="228" operator="containsText" text="UÜ">
      <formula>NOT(ISERROR(SEARCH("UÜ",O112)))</formula>
    </cfRule>
    <cfRule type="containsText" dxfId="436" priority="227" operator="containsText" text="S">
      <formula>NOT(ISERROR(SEARCH("S",O112)))</formula>
    </cfRule>
  </conditionalFormatting>
  <conditionalFormatting sqref="O122:O128">
    <cfRule type="containsText" dxfId="435" priority="225" operator="containsText" text="U">
      <formula>NOT(ISERROR(SEARCH("U",O122)))</formula>
    </cfRule>
    <cfRule type="containsText" dxfId="434" priority="224" operator="containsText" text="Ü">
      <formula>NOT(ISERROR(SEARCH("Ü",O122)))</formula>
    </cfRule>
    <cfRule type="containsText" dxfId="433" priority="226" operator="containsText" text="K">
      <formula>NOT(ISERROR(SEARCH("K",O122)))</formula>
    </cfRule>
    <cfRule type="containsText" dxfId="432" priority="223" operator="containsText" text="UÜ">
      <formula>NOT(ISERROR(SEARCH("UÜ",O122)))</formula>
    </cfRule>
    <cfRule type="containsText" dxfId="431" priority="222" operator="containsText" text="S">
      <formula>NOT(ISERROR(SEARCH("S",O122)))</formula>
    </cfRule>
  </conditionalFormatting>
  <conditionalFormatting sqref="O132:O138">
    <cfRule type="containsText" dxfId="430" priority="221" operator="containsText" text="K">
      <formula>NOT(ISERROR(SEARCH("K",O132)))</formula>
    </cfRule>
    <cfRule type="containsText" dxfId="429" priority="219" operator="containsText" text="Ü">
      <formula>NOT(ISERROR(SEARCH("Ü",O132)))</formula>
    </cfRule>
    <cfRule type="containsText" dxfId="428" priority="218" operator="containsText" text="UÜ">
      <formula>NOT(ISERROR(SEARCH("UÜ",O132)))</formula>
    </cfRule>
    <cfRule type="containsText" dxfId="427" priority="217" operator="containsText" text="S">
      <formula>NOT(ISERROR(SEARCH("S",O132)))</formula>
    </cfRule>
    <cfRule type="containsText" dxfId="426" priority="220" operator="containsText" text="U">
      <formula>NOT(ISERROR(SEARCH("U",O132)))</formula>
    </cfRule>
  </conditionalFormatting>
  <conditionalFormatting sqref="O142:O148">
    <cfRule type="containsText" dxfId="425" priority="214" operator="containsText" text="Ü">
      <formula>NOT(ISERROR(SEARCH("Ü",O142)))</formula>
    </cfRule>
    <cfRule type="containsText" dxfId="424" priority="212" operator="containsText" text="S">
      <formula>NOT(ISERROR(SEARCH("S",O142)))</formula>
    </cfRule>
    <cfRule type="containsText" dxfId="423" priority="213" operator="containsText" text="UÜ">
      <formula>NOT(ISERROR(SEARCH("UÜ",O142)))</formula>
    </cfRule>
    <cfRule type="containsText" dxfId="422" priority="215" operator="containsText" text="U">
      <formula>NOT(ISERROR(SEARCH("U",O142)))</formula>
    </cfRule>
    <cfRule type="containsText" dxfId="421" priority="216" operator="containsText" text="K">
      <formula>NOT(ISERROR(SEARCH("K",O142)))</formula>
    </cfRule>
  </conditionalFormatting>
  <conditionalFormatting sqref="O152:O158">
    <cfRule type="containsText" dxfId="420" priority="207" operator="containsText" text="S">
      <formula>NOT(ISERROR(SEARCH("S",O152)))</formula>
    </cfRule>
    <cfRule type="containsText" dxfId="419" priority="209" operator="containsText" text="Ü">
      <formula>NOT(ISERROR(SEARCH("Ü",O152)))</formula>
    </cfRule>
    <cfRule type="containsText" dxfId="418" priority="210" operator="containsText" text="U">
      <formula>NOT(ISERROR(SEARCH("U",O152)))</formula>
    </cfRule>
    <cfRule type="containsText" dxfId="417" priority="211" operator="containsText" text="K">
      <formula>NOT(ISERROR(SEARCH("K",O152)))</formula>
    </cfRule>
    <cfRule type="containsText" dxfId="416" priority="208" operator="containsText" text="UÜ">
      <formula>NOT(ISERROR(SEARCH("UÜ",O152)))</formula>
    </cfRule>
  </conditionalFormatting>
  <conditionalFormatting sqref="O162:O168">
    <cfRule type="containsText" dxfId="415" priority="203" operator="containsText" text="UÜ">
      <formula>NOT(ISERROR(SEARCH("UÜ",O162)))</formula>
    </cfRule>
    <cfRule type="containsText" dxfId="414" priority="204" operator="containsText" text="Ü">
      <formula>NOT(ISERROR(SEARCH("Ü",O162)))</formula>
    </cfRule>
    <cfRule type="containsText" dxfId="413" priority="205" operator="containsText" text="U">
      <formula>NOT(ISERROR(SEARCH("U",O162)))</formula>
    </cfRule>
    <cfRule type="containsText" dxfId="412" priority="206" operator="containsText" text="K">
      <formula>NOT(ISERROR(SEARCH("K",O162)))</formula>
    </cfRule>
    <cfRule type="containsText" dxfId="411" priority="202" operator="containsText" text="S">
      <formula>NOT(ISERROR(SEARCH("S",O162)))</formula>
    </cfRule>
  </conditionalFormatting>
  <conditionalFormatting sqref="O172:O178">
    <cfRule type="containsText" dxfId="410" priority="201" operator="containsText" text="K">
      <formula>NOT(ISERROR(SEARCH("K",O172)))</formula>
    </cfRule>
    <cfRule type="containsText" dxfId="409" priority="200" operator="containsText" text="U">
      <formula>NOT(ISERROR(SEARCH("U",O172)))</formula>
    </cfRule>
    <cfRule type="containsText" dxfId="408" priority="199" operator="containsText" text="Ü">
      <formula>NOT(ISERROR(SEARCH("Ü",O172)))</formula>
    </cfRule>
    <cfRule type="containsText" dxfId="407" priority="198" operator="containsText" text="UÜ">
      <formula>NOT(ISERROR(SEARCH("UÜ",O172)))</formula>
    </cfRule>
    <cfRule type="containsText" dxfId="406" priority="197" operator="containsText" text="S">
      <formula>NOT(ISERROR(SEARCH("S",O172)))</formula>
    </cfRule>
  </conditionalFormatting>
  <conditionalFormatting sqref="O182:O188">
    <cfRule type="containsText" dxfId="405" priority="196" operator="containsText" text="K">
      <formula>NOT(ISERROR(SEARCH("K",O182)))</formula>
    </cfRule>
    <cfRule type="containsText" dxfId="404" priority="195" operator="containsText" text="U">
      <formula>NOT(ISERROR(SEARCH("U",O182)))</formula>
    </cfRule>
    <cfRule type="containsText" dxfId="403" priority="193" operator="containsText" text="UÜ">
      <formula>NOT(ISERROR(SEARCH("UÜ",O182)))</formula>
    </cfRule>
    <cfRule type="containsText" dxfId="402" priority="192" operator="containsText" text="S">
      <formula>NOT(ISERROR(SEARCH("S",O182)))</formula>
    </cfRule>
    <cfRule type="containsText" dxfId="401" priority="194" operator="containsText" text="Ü">
      <formula>NOT(ISERROR(SEARCH("Ü",O182)))</formula>
    </cfRule>
  </conditionalFormatting>
  <conditionalFormatting sqref="O192:O198">
    <cfRule type="containsText" dxfId="400" priority="191" operator="containsText" text="K">
      <formula>NOT(ISERROR(SEARCH("K",O192)))</formula>
    </cfRule>
    <cfRule type="containsText" dxfId="399" priority="187" operator="containsText" text="S">
      <formula>NOT(ISERROR(SEARCH("S",O192)))</formula>
    </cfRule>
    <cfRule type="containsText" dxfId="398" priority="188" operator="containsText" text="UÜ">
      <formula>NOT(ISERROR(SEARCH("UÜ",O192)))</formula>
    </cfRule>
    <cfRule type="containsText" dxfId="397" priority="189" operator="containsText" text="Ü">
      <formula>NOT(ISERROR(SEARCH("Ü",O192)))</formula>
    </cfRule>
    <cfRule type="containsText" dxfId="396" priority="190" operator="containsText" text="U">
      <formula>NOT(ISERROR(SEARCH("U",O192)))</formula>
    </cfRule>
  </conditionalFormatting>
  <conditionalFormatting sqref="O202:O208">
    <cfRule type="containsText" dxfId="395" priority="186" operator="containsText" text="K">
      <formula>NOT(ISERROR(SEARCH("K",O202)))</formula>
    </cfRule>
    <cfRule type="containsText" dxfId="394" priority="185" operator="containsText" text="U">
      <formula>NOT(ISERROR(SEARCH("U",O202)))</formula>
    </cfRule>
    <cfRule type="containsText" dxfId="393" priority="184" operator="containsText" text="Ü">
      <formula>NOT(ISERROR(SEARCH("Ü",O202)))</formula>
    </cfRule>
    <cfRule type="containsText" dxfId="392" priority="183" operator="containsText" text="UÜ">
      <formula>NOT(ISERROR(SEARCH("UÜ",O202)))</formula>
    </cfRule>
    <cfRule type="containsText" dxfId="391" priority="182" operator="containsText" text="S">
      <formula>NOT(ISERROR(SEARCH("S",O202)))</formula>
    </cfRule>
  </conditionalFormatting>
  <conditionalFormatting sqref="O212:O218">
    <cfRule type="containsText" dxfId="390" priority="181" operator="containsText" text="K">
      <formula>NOT(ISERROR(SEARCH("K",O212)))</formula>
    </cfRule>
    <cfRule type="containsText" dxfId="389" priority="179" operator="containsText" text="Ü">
      <formula>NOT(ISERROR(SEARCH("Ü",O212)))</formula>
    </cfRule>
    <cfRule type="containsText" dxfId="388" priority="180" operator="containsText" text="U">
      <formula>NOT(ISERROR(SEARCH("U",O212)))</formula>
    </cfRule>
    <cfRule type="containsText" dxfId="387" priority="178" operator="containsText" text="UÜ">
      <formula>NOT(ISERROR(SEARCH("UÜ",O212)))</formula>
    </cfRule>
    <cfRule type="containsText" dxfId="386" priority="177" operator="containsText" text="S">
      <formula>NOT(ISERROR(SEARCH("S",O212)))</formula>
    </cfRule>
  </conditionalFormatting>
  <conditionalFormatting sqref="O222:O228">
    <cfRule type="containsText" dxfId="385" priority="176" operator="containsText" text="K">
      <formula>NOT(ISERROR(SEARCH("K",O222)))</formula>
    </cfRule>
    <cfRule type="containsText" dxfId="384" priority="175" operator="containsText" text="U">
      <formula>NOT(ISERROR(SEARCH("U",O222)))</formula>
    </cfRule>
    <cfRule type="containsText" dxfId="383" priority="174" operator="containsText" text="Ü">
      <formula>NOT(ISERROR(SEARCH("Ü",O222)))</formula>
    </cfRule>
    <cfRule type="containsText" dxfId="382" priority="173" operator="containsText" text="UÜ">
      <formula>NOT(ISERROR(SEARCH("UÜ",O222)))</formula>
    </cfRule>
    <cfRule type="containsText" dxfId="381" priority="172" operator="containsText" text="S">
      <formula>NOT(ISERROR(SEARCH("S",O222)))</formula>
    </cfRule>
  </conditionalFormatting>
  <conditionalFormatting sqref="O232:O238">
    <cfRule type="containsText" dxfId="380" priority="170" operator="containsText" text="U">
      <formula>NOT(ISERROR(SEARCH("U",O232)))</formula>
    </cfRule>
    <cfRule type="containsText" dxfId="379" priority="169" operator="containsText" text="Ü">
      <formula>NOT(ISERROR(SEARCH("Ü",O232)))</formula>
    </cfRule>
    <cfRule type="containsText" dxfId="378" priority="168" operator="containsText" text="UÜ">
      <formula>NOT(ISERROR(SEARCH("UÜ",O232)))</formula>
    </cfRule>
    <cfRule type="containsText" dxfId="377" priority="167" operator="containsText" text="S">
      <formula>NOT(ISERROR(SEARCH("S",O232)))</formula>
    </cfRule>
    <cfRule type="containsText" dxfId="376" priority="171" operator="containsText" text="K">
      <formula>NOT(ISERROR(SEARCH("K",O232)))</formula>
    </cfRule>
  </conditionalFormatting>
  <conditionalFormatting sqref="O242:O248">
    <cfRule type="containsText" dxfId="375" priority="163" operator="containsText" text="UÜ">
      <formula>NOT(ISERROR(SEARCH("UÜ",O242)))</formula>
    </cfRule>
    <cfRule type="containsText" dxfId="374" priority="162" operator="containsText" text="S">
      <formula>NOT(ISERROR(SEARCH("S",O242)))</formula>
    </cfRule>
    <cfRule type="containsText" dxfId="373" priority="166" operator="containsText" text="K">
      <formula>NOT(ISERROR(SEARCH("K",O242)))</formula>
    </cfRule>
    <cfRule type="containsText" dxfId="372" priority="165" operator="containsText" text="U">
      <formula>NOT(ISERROR(SEARCH("U",O242)))</formula>
    </cfRule>
    <cfRule type="containsText" dxfId="371" priority="164" operator="containsText" text="Ü">
      <formula>NOT(ISERROR(SEARCH("Ü",O242)))</formula>
    </cfRule>
  </conditionalFormatting>
  <conditionalFormatting sqref="O252:O258">
    <cfRule type="containsText" dxfId="370" priority="159" operator="containsText" text="Ü">
      <formula>NOT(ISERROR(SEARCH("Ü",O252)))</formula>
    </cfRule>
    <cfRule type="containsText" dxfId="369" priority="161" operator="containsText" text="K">
      <formula>NOT(ISERROR(SEARCH("K",O252)))</formula>
    </cfRule>
    <cfRule type="containsText" dxfId="368" priority="160" operator="containsText" text="U">
      <formula>NOT(ISERROR(SEARCH("U",O252)))</formula>
    </cfRule>
    <cfRule type="containsText" dxfId="367" priority="158" operator="containsText" text="UÜ">
      <formula>NOT(ISERROR(SEARCH("UÜ",O252)))</formula>
    </cfRule>
    <cfRule type="containsText" dxfId="366" priority="157" operator="containsText" text="S">
      <formula>NOT(ISERROR(SEARCH("S",O252)))</formula>
    </cfRule>
  </conditionalFormatting>
  <conditionalFormatting sqref="O262:O268">
    <cfRule type="containsText" dxfId="365" priority="153" operator="containsText" text="UÜ">
      <formula>NOT(ISERROR(SEARCH("UÜ",O262)))</formula>
    </cfRule>
    <cfRule type="containsText" dxfId="364" priority="152" operator="containsText" text="S">
      <formula>NOT(ISERROR(SEARCH("S",O262)))</formula>
    </cfRule>
    <cfRule type="containsText" dxfId="363" priority="156" operator="containsText" text="K">
      <formula>NOT(ISERROR(SEARCH("K",O262)))</formula>
    </cfRule>
    <cfRule type="containsText" dxfId="362" priority="155" operator="containsText" text="U">
      <formula>NOT(ISERROR(SEARCH("U",O262)))</formula>
    </cfRule>
    <cfRule type="containsText" dxfId="361" priority="154" operator="containsText" text="Ü">
      <formula>NOT(ISERROR(SEARCH("Ü",O262)))</formula>
    </cfRule>
  </conditionalFormatting>
  <conditionalFormatting sqref="O272:O278">
    <cfRule type="containsText" dxfId="360" priority="147" operator="containsText" text="S">
      <formula>NOT(ISERROR(SEARCH("S",O272)))</formula>
    </cfRule>
    <cfRule type="containsText" dxfId="359" priority="148" operator="containsText" text="UÜ">
      <formula>NOT(ISERROR(SEARCH("UÜ",O272)))</formula>
    </cfRule>
    <cfRule type="containsText" dxfId="358" priority="149" operator="containsText" text="Ü">
      <formula>NOT(ISERROR(SEARCH("Ü",O272)))</formula>
    </cfRule>
    <cfRule type="containsText" dxfId="357" priority="150" operator="containsText" text="U">
      <formula>NOT(ISERROR(SEARCH("U",O272)))</formula>
    </cfRule>
    <cfRule type="containsText" dxfId="356" priority="151" operator="containsText" text="K">
      <formula>NOT(ISERROR(SEARCH("K",O272)))</formula>
    </cfRule>
  </conditionalFormatting>
  <conditionalFormatting sqref="O282:O288">
    <cfRule type="containsText" dxfId="355" priority="143" operator="containsText" text="UÜ">
      <formula>NOT(ISERROR(SEARCH("UÜ",O282)))</formula>
    </cfRule>
    <cfRule type="containsText" dxfId="354" priority="142" operator="containsText" text="S">
      <formula>NOT(ISERROR(SEARCH("S",O282)))</formula>
    </cfRule>
    <cfRule type="containsText" dxfId="353" priority="144" operator="containsText" text="Ü">
      <formula>NOT(ISERROR(SEARCH("Ü",O282)))</formula>
    </cfRule>
    <cfRule type="containsText" dxfId="352" priority="145" operator="containsText" text="U">
      <formula>NOT(ISERROR(SEARCH("U",O282)))</formula>
    </cfRule>
    <cfRule type="containsText" dxfId="351" priority="146" operator="containsText" text="K">
      <formula>NOT(ISERROR(SEARCH("K",O282)))</formula>
    </cfRule>
  </conditionalFormatting>
  <conditionalFormatting sqref="O292:O298">
    <cfRule type="containsText" dxfId="350" priority="137" operator="containsText" text="S">
      <formula>NOT(ISERROR(SEARCH("S",O292)))</formula>
    </cfRule>
    <cfRule type="containsText" dxfId="349" priority="138" operator="containsText" text="UÜ">
      <formula>NOT(ISERROR(SEARCH("UÜ",O292)))</formula>
    </cfRule>
    <cfRule type="containsText" dxfId="348" priority="139" operator="containsText" text="Ü">
      <formula>NOT(ISERROR(SEARCH("Ü",O292)))</formula>
    </cfRule>
    <cfRule type="containsText" dxfId="347" priority="140" operator="containsText" text="U">
      <formula>NOT(ISERROR(SEARCH("U",O292)))</formula>
    </cfRule>
    <cfRule type="containsText" dxfId="346" priority="141" operator="containsText" text="K">
      <formula>NOT(ISERROR(SEARCH("K",O292)))</formula>
    </cfRule>
  </conditionalFormatting>
  <conditionalFormatting sqref="O302:O308">
    <cfRule type="containsText" dxfId="345" priority="132" operator="containsText" text="S">
      <formula>NOT(ISERROR(SEARCH("S",O302)))</formula>
    </cfRule>
    <cfRule type="containsText" dxfId="344" priority="133" operator="containsText" text="UÜ">
      <formula>NOT(ISERROR(SEARCH("UÜ",O302)))</formula>
    </cfRule>
    <cfRule type="containsText" dxfId="343" priority="134" operator="containsText" text="Ü">
      <formula>NOT(ISERROR(SEARCH("Ü",O302)))</formula>
    </cfRule>
    <cfRule type="containsText" dxfId="342" priority="135" operator="containsText" text="U">
      <formula>NOT(ISERROR(SEARCH("U",O302)))</formula>
    </cfRule>
    <cfRule type="containsText" dxfId="341" priority="136" operator="containsText" text="K">
      <formula>NOT(ISERROR(SEARCH("K",O302)))</formula>
    </cfRule>
  </conditionalFormatting>
  <conditionalFormatting sqref="O312:O318">
    <cfRule type="containsText" dxfId="340" priority="129" operator="containsText" text="Ü">
      <formula>NOT(ISERROR(SEARCH("Ü",O312)))</formula>
    </cfRule>
    <cfRule type="containsText" dxfId="339" priority="128" operator="containsText" text="UÜ">
      <formula>NOT(ISERROR(SEARCH("UÜ",O312)))</formula>
    </cfRule>
    <cfRule type="containsText" dxfId="338" priority="127" operator="containsText" text="S">
      <formula>NOT(ISERROR(SEARCH("S",O312)))</formula>
    </cfRule>
    <cfRule type="containsText" dxfId="337" priority="131" operator="containsText" text="K">
      <formula>NOT(ISERROR(SEARCH("K",O312)))</formula>
    </cfRule>
    <cfRule type="containsText" dxfId="336" priority="130" operator="containsText" text="U">
      <formula>NOT(ISERROR(SEARCH("U",O312)))</formula>
    </cfRule>
  </conditionalFormatting>
  <conditionalFormatting sqref="O322:O328">
    <cfRule type="containsText" dxfId="335" priority="126" operator="containsText" text="K">
      <formula>NOT(ISERROR(SEARCH("K",O322)))</formula>
    </cfRule>
    <cfRule type="containsText" dxfId="334" priority="125" operator="containsText" text="U">
      <formula>NOT(ISERROR(SEARCH("U",O322)))</formula>
    </cfRule>
    <cfRule type="containsText" dxfId="333" priority="124" operator="containsText" text="Ü">
      <formula>NOT(ISERROR(SEARCH("Ü",O322)))</formula>
    </cfRule>
    <cfRule type="containsText" dxfId="332" priority="123" operator="containsText" text="UÜ">
      <formula>NOT(ISERROR(SEARCH("UÜ",O322)))</formula>
    </cfRule>
    <cfRule type="containsText" dxfId="331" priority="122" operator="containsText" text="S">
      <formula>NOT(ISERROR(SEARCH("S",O322)))</formula>
    </cfRule>
  </conditionalFormatting>
  <conditionalFormatting sqref="O332:O338">
    <cfRule type="containsText" dxfId="330" priority="118" operator="containsText" text="UÜ">
      <formula>NOT(ISERROR(SEARCH("UÜ",O332)))</formula>
    </cfRule>
    <cfRule type="containsText" dxfId="329" priority="117" operator="containsText" text="S">
      <formula>NOT(ISERROR(SEARCH("S",O332)))</formula>
    </cfRule>
    <cfRule type="containsText" dxfId="328" priority="121" operator="containsText" text="K">
      <formula>NOT(ISERROR(SEARCH("K",O332)))</formula>
    </cfRule>
    <cfRule type="containsText" dxfId="327" priority="120" operator="containsText" text="U">
      <formula>NOT(ISERROR(SEARCH("U",O332)))</formula>
    </cfRule>
    <cfRule type="containsText" dxfId="326" priority="119" operator="containsText" text="Ü">
      <formula>NOT(ISERROR(SEARCH("Ü",O332)))</formula>
    </cfRule>
  </conditionalFormatting>
  <conditionalFormatting sqref="O342:O348">
    <cfRule type="containsText" dxfId="325" priority="112" operator="containsText" text="S">
      <formula>NOT(ISERROR(SEARCH("S",O342)))</formula>
    </cfRule>
    <cfRule type="containsText" dxfId="324" priority="113" operator="containsText" text="UÜ">
      <formula>NOT(ISERROR(SEARCH("UÜ",O342)))</formula>
    </cfRule>
    <cfRule type="containsText" dxfId="323" priority="114" operator="containsText" text="Ü">
      <formula>NOT(ISERROR(SEARCH("Ü",O342)))</formula>
    </cfRule>
    <cfRule type="containsText" dxfId="322" priority="115" operator="containsText" text="U">
      <formula>NOT(ISERROR(SEARCH("U",O342)))</formula>
    </cfRule>
    <cfRule type="containsText" dxfId="321" priority="116" operator="containsText" text="K">
      <formula>NOT(ISERROR(SEARCH("K",O342)))</formula>
    </cfRule>
  </conditionalFormatting>
  <conditionalFormatting sqref="O352:O358">
    <cfRule type="containsText" dxfId="320" priority="110" operator="containsText" text="U">
      <formula>NOT(ISERROR(SEARCH("U",O352)))</formula>
    </cfRule>
    <cfRule type="containsText" dxfId="319" priority="107" operator="containsText" text="S">
      <formula>NOT(ISERROR(SEARCH("S",O352)))</formula>
    </cfRule>
    <cfRule type="containsText" dxfId="318" priority="109" operator="containsText" text="Ü">
      <formula>NOT(ISERROR(SEARCH("Ü",O352)))</formula>
    </cfRule>
    <cfRule type="containsText" dxfId="317" priority="111" operator="containsText" text="K">
      <formula>NOT(ISERROR(SEARCH("K",O352)))</formula>
    </cfRule>
    <cfRule type="containsText" dxfId="316" priority="108" operator="containsText" text="UÜ">
      <formula>NOT(ISERROR(SEARCH("UÜ",O352)))</formula>
    </cfRule>
  </conditionalFormatting>
  <conditionalFormatting sqref="O362:O368">
    <cfRule type="containsText" dxfId="315" priority="102" operator="containsText" text="S">
      <formula>NOT(ISERROR(SEARCH("S",O362)))</formula>
    </cfRule>
    <cfRule type="containsText" dxfId="314" priority="103" operator="containsText" text="UÜ">
      <formula>NOT(ISERROR(SEARCH("UÜ",O362)))</formula>
    </cfRule>
    <cfRule type="containsText" dxfId="313" priority="104" operator="containsText" text="Ü">
      <formula>NOT(ISERROR(SEARCH("Ü",O362)))</formula>
    </cfRule>
    <cfRule type="containsText" dxfId="312" priority="105" operator="containsText" text="U">
      <formula>NOT(ISERROR(SEARCH("U",O362)))</formula>
    </cfRule>
    <cfRule type="containsText" dxfId="311" priority="106" operator="containsText" text="K">
      <formula>NOT(ISERROR(SEARCH("K",O362)))</formula>
    </cfRule>
  </conditionalFormatting>
  <conditionalFormatting sqref="O372:O378">
    <cfRule type="containsText" dxfId="310" priority="101" operator="containsText" text="K">
      <formula>NOT(ISERROR(SEARCH("K",O372)))</formula>
    </cfRule>
    <cfRule type="containsText" dxfId="309" priority="98" operator="containsText" text="UÜ">
      <formula>NOT(ISERROR(SEARCH("UÜ",O372)))</formula>
    </cfRule>
    <cfRule type="containsText" dxfId="308" priority="99" operator="containsText" text="Ü">
      <formula>NOT(ISERROR(SEARCH("Ü",O372)))</formula>
    </cfRule>
    <cfRule type="containsText" dxfId="307" priority="100" operator="containsText" text="U">
      <formula>NOT(ISERROR(SEARCH("U",O372)))</formula>
    </cfRule>
    <cfRule type="containsText" dxfId="306" priority="97" operator="containsText" text="S">
      <formula>NOT(ISERROR(SEARCH("S",O372)))</formula>
    </cfRule>
  </conditionalFormatting>
  <conditionalFormatting sqref="O382:O388">
    <cfRule type="containsText" dxfId="305" priority="96" operator="containsText" text="K">
      <formula>NOT(ISERROR(SEARCH("K",O382)))</formula>
    </cfRule>
    <cfRule type="containsText" dxfId="304" priority="92" operator="containsText" text="S">
      <formula>NOT(ISERROR(SEARCH("S",O382)))</formula>
    </cfRule>
    <cfRule type="containsText" dxfId="303" priority="95" operator="containsText" text="U">
      <formula>NOT(ISERROR(SEARCH("U",O382)))</formula>
    </cfRule>
    <cfRule type="containsText" dxfId="302" priority="94" operator="containsText" text="Ü">
      <formula>NOT(ISERROR(SEARCH("Ü",O382)))</formula>
    </cfRule>
    <cfRule type="containsText" dxfId="301" priority="93" operator="containsText" text="UÜ">
      <formula>NOT(ISERROR(SEARCH("UÜ",O382)))</formula>
    </cfRule>
  </conditionalFormatting>
  <conditionalFormatting sqref="O392:O398">
    <cfRule type="containsText" dxfId="300" priority="90" operator="containsText" text="U">
      <formula>NOT(ISERROR(SEARCH("U",O392)))</formula>
    </cfRule>
    <cfRule type="containsText" dxfId="299" priority="87" operator="containsText" text="S">
      <formula>NOT(ISERROR(SEARCH("S",O392)))</formula>
    </cfRule>
    <cfRule type="containsText" dxfId="298" priority="88" operator="containsText" text="UÜ">
      <formula>NOT(ISERROR(SEARCH("UÜ",O392)))</formula>
    </cfRule>
    <cfRule type="containsText" dxfId="297" priority="89" operator="containsText" text="Ü">
      <formula>NOT(ISERROR(SEARCH("Ü",O392)))</formula>
    </cfRule>
    <cfRule type="containsText" dxfId="296" priority="91" operator="containsText" text="K">
      <formula>NOT(ISERROR(SEARCH("K",O392)))</formula>
    </cfRule>
  </conditionalFormatting>
  <conditionalFormatting sqref="O402:O408">
    <cfRule type="containsText" dxfId="295" priority="84" operator="containsText" text="Ü">
      <formula>NOT(ISERROR(SEARCH("Ü",O402)))</formula>
    </cfRule>
    <cfRule type="containsText" dxfId="294" priority="86" operator="containsText" text="K">
      <formula>NOT(ISERROR(SEARCH("K",O402)))</formula>
    </cfRule>
    <cfRule type="containsText" dxfId="293" priority="85" operator="containsText" text="U">
      <formula>NOT(ISERROR(SEARCH("U",O402)))</formula>
    </cfRule>
    <cfRule type="containsText" dxfId="292" priority="82" operator="containsText" text="S">
      <formula>NOT(ISERROR(SEARCH("S",O402)))</formula>
    </cfRule>
    <cfRule type="containsText" dxfId="291" priority="83" operator="containsText" text="UÜ">
      <formula>NOT(ISERROR(SEARCH("UÜ",O402)))</formula>
    </cfRule>
  </conditionalFormatting>
  <conditionalFormatting sqref="O412:O418">
    <cfRule type="containsText" dxfId="290" priority="80" operator="containsText" text="U">
      <formula>NOT(ISERROR(SEARCH("U",O412)))</formula>
    </cfRule>
    <cfRule type="containsText" dxfId="289" priority="77" operator="containsText" text="S">
      <formula>NOT(ISERROR(SEARCH("S",O412)))</formula>
    </cfRule>
    <cfRule type="containsText" dxfId="288" priority="78" operator="containsText" text="UÜ">
      <formula>NOT(ISERROR(SEARCH("UÜ",O412)))</formula>
    </cfRule>
    <cfRule type="containsText" dxfId="287" priority="79" operator="containsText" text="Ü">
      <formula>NOT(ISERROR(SEARCH("Ü",O412)))</formula>
    </cfRule>
    <cfRule type="containsText" dxfId="286" priority="81" operator="containsText" text="K">
      <formula>NOT(ISERROR(SEARCH("K",O412)))</formula>
    </cfRule>
  </conditionalFormatting>
  <conditionalFormatting sqref="O422:O428">
    <cfRule type="containsText" dxfId="285" priority="74" operator="containsText" text="Ü">
      <formula>NOT(ISERROR(SEARCH("Ü",O422)))</formula>
    </cfRule>
    <cfRule type="containsText" dxfId="284" priority="73" operator="containsText" text="UÜ">
      <formula>NOT(ISERROR(SEARCH("UÜ",O422)))</formula>
    </cfRule>
    <cfRule type="containsText" dxfId="283" priority="76" operator="containsText" text="K">
      <formula>NOT(ISERROR(SEARCH("K",O422)))</formula>
    </cfRule>
    <cfRule type="containsText" dxfId="282" priority="75" operator="containsText" text="U">
      <formula>NOT(ISERROR(SEARCH("U",O422)))</formula>
    </cfRule>
    <cfRule type="containsText" dxfId="281" priority="72" operator="containsText" text="S">
      <formula>NOT(ISERROR(SEARCH("S",O422)))</formula>
    </cfRule>
  </conditionalFormatting>
  <conditionalFormatting sqref="O432:O438">
    <cfRule type="containsText" dxfId="280" priority="70" operator="containsText" text="U">
      <formula>NOT(ISERROR(SEARCH("U",O432)))</formula>
    </cfRule>
    <cfRule type="containsText" dxfId="279" priority="69" operator="containsText" text="Ü">
      <formula>NOT(ISERROR(SEARCH("Ü",O432)))</formula>
    </cfRule>
    <cfRule type="containsText" dxfId="278" priority="68" operator="containsText" text="UÜ">
      <formula>NOT(ISERROR(SEARCH("UÜ",O432)))</formula>
    </cfRule>
    <cfRule type="containsText" dxfId="277" priority="67" operator="containsText" text="S">
      <formula>NOT(ISERROR(SEARCH("S",O432)))</formula>
    </cfRule>
    <cfRule type="containsText" dxfId="276" priority="71" operator="containsText" text="K">
      <formula>NOT(ISERROR(SEARCH("K",O432)))</formula>
    </cfRule>
  </conditionalFormatting>
  <conditionalFormatting sqref="O442:O448">
    <cfRule type="containsText" dxfId="275" priority="63" operator="containsText" text="UÜ">
      <formula>NOT(ISERROR(SEARCH("UÜ",O442)))</formula>
    </cfRule>
    <cfRule type="containsText" dxfId="274" priority="64" operator="containsText" text="Ü">
      <formula>NOT(ISERROR(SEARCH("Ü",O442)))</formula>
    </cfRule>
    <cfRule type="containsText" dxfId="273" priority="65" operator="containsText" text="U">
      <formula>NOT(ISERROR(SEARCH("U",O442)))</formula>
    </cfRule>
    <cfRule type="containsText" dxfId="272" priority="62" operator="containsText" text="S">
      <formula>NOT(ISERROR(SEARCH("S",O442)))</formula>
    </cfRule>
    <cfRule type="containsText" dxfId="271" priority="66" operator="containsText" text="K">
      <formula>NOT(ISERROR(SEARCH("K",O442)))</formula>
    </cfRule>
  </conditionalFormatting>
  <conditionalFormatting sqref="O452:O458">
    <cfRule type="containsText" dxfId="270" priority="60" operator="containsText" text="U">
      <formula>NOT(ISERROR(SEARCH("U",O452)))</formula>
    </cfRule>
    <cfRule type="containsText" dxfId="269" priority="61" operator="containsText" text="K">
      <formula>NOT(ISERROR(SEARCH("K",O452)))</formula>
    </cfRule>
    <cfRule type="containsText" dxfId="268" priority="59" operator="containsText" text="Ü">
      <formula>NOT(ISERROR(SEARCH("Ü",O452)))</formula>
    </cfRule>
    <cfRule type="containsText" dxfId="267" priority="58" operator="containsText" text="UÜ">
      <formula>NOT(ISERROR(SEARCH("UÜ",O452)))</formula>
    </cfRule>
    <cfRule type="containsText" dxfId="266" priority="57" operator="containsText" text="S">
      <formula>NOT(ISERROR(SEARCH("S",O452)))</formula>
    </cfRule>
  </conditionalFormatting>
  <conditionalFormatting sqref="O462:O468">
    <cfRule type="containsText" dxfId="265" priority="52" operator="containsText" text="S">
      <formula>NOT(ISERROR(SEARCH("S",O462)))</formula>
    </cfRule>
    <cfRule type="containsText" dxfId="264" priority="56" operator="containsText" text="K">
      <formula>NOT(ISERROR(SEARCH("K",O462)))</formula>
    </cfRule>
    <cfRule type="containsText" dxfId="263" priority="55" operator="containsText" text="U">
      <formula>NOT(ISERROR(SEARCH("U",O462)))</formula>
    </cfRule>
    <cfRule type="containsText" dxfId="262" priority="54" operator="containsText" text="Ü">
      <formula>NOT(ISERROR(SEARCH("Ü",O462)))</formula>
    </cfRule>
    <cfRule type="containsText" dxfId="261" priority="53" operator="containsText" text="UÜ">
      <formula>NOT(ISERROR(SEARCH("UÜ",O462)))</formula>
    </cfRule>
  </conditionalFormatting>
  <conditionalFormatting sqref="O472:O478">
    <cfRule type="containsText" dxfId="260" priority="50" operator="containsText" text="U">
      <formula>NOT(ISERROR(SEARCH("U",O472)))</formula>
    </cfRule>
    <cfRule type="containsText" dxfId="259" priority="48" operator="containsText" text="UÜ">
      <formula>NOT(ISERROR(SEARCH("UÜ",O472)))</formula>
    </cfRule>
    <cfRule type="containsText" dxfId="258" priority="51" operator="containsText" text="K">
      <formula>NOT(ISERROR(SEARCH("K",O472)))</formula>
    </cfRule>
    <cfRule type="containsText" dxfId="257" priority="47" operator="containsText" text="S">
      <formula>NOT(ISERROR(SEARCH("S",O472)))</formula>
    </cfRule>
    <cfRule type="containsText" dxfId="256" priority="49" operator="containsText" text="Ü">
      <formula>NOT(ISERROR(SEARCH("Ü",O472)))</formula>
    </cfRule>
  </conditionalFormatting>
  <conditionalFormatting sqref="O482:O488">
    <cfRule type="containsText" dxfId="255" priority="45" operator="containsText" text="U">
      <formula>NOT(ISERROR(SEARCH("U",O482)))</formula>
    </cfRule>
    <cfRule type="containsText" dxfId="254" priority="46" operator="containsText" text="K">
      <formula>NOT(ISERROR(SEARCH("K",O482)))</formula>
    </cfRule>
    <cfRule type="containsText" dxfId="253" priority="44" operator="containsText" text="Ü">
      <formula>NOT(ISERROR(SEARCH("Ü",O482)))</formula>
    </cfRule>
    <cfRule type="containsText" dxfId="252" priority="43" operator="containsText" text="UÜ">
      <formula>NOT(ISERROR(SEARCH("UÜ",O482)))</formula>
    </cfRule>
    <cfRule type="containsText" dxfId="251" priority="42" operator="containsText" text="S">
      <formula>NOT(ISERROR(SEARCH("S",O482)))</formula>
    </cfRule>
  </conditionalFormatting>
  <conditionalFormatting sqref="O492:O498">
    <cfRule type="containsText" dxfId="250" priority="41" operator="containsText" text="K">
      <formula>NOT(ISERROR(SEARCH("K",O492)))</formula>
    </cfRule>
    <cfRule type="containsText" dxfId="249" priority="40" operator="containsText" text="U">
      <formula>NOT(ISERROR(SEARCH("U",O492)))</formula>
    </cfRule>
    <cfRule type="containsText" dxfId="248" priority="39" operator="containsText" text="Ü">
      <formula>NOT(ISERROR(SEARCH("Ü",O492)))</formula>
    </cfRule>
    <cfRule type="containsText" dxfId="247" priority="38" operator="containsText" text="UÜ">
      <formula>NOT(ISERROR(SEARCH("UÜ",O492)))</formula>
    </cfRule>
    <cfRule type="containsText" dxfId="246" priority="37" operator="containsText" text="S">
      <formula>NOT(ISERROR(SEARCH("S",O492)))</formula>
    </cfRule>
  </conditionalFormatting>
  <conditionalFormatting sqref="O502:O508">
    <cfRule type="containsText" dxfId="245" priority="36" operator="containsText" text="K">
      <formula>NOT(ISERROR(SEARCH("K",O502)))</formula>
    </cfRule>
    <cfRule type="containsText" dxfId="244" priority="35" operator="containsText" text="U">
      <formula>NOT(ISERROR(SEARCH("U",O502)))</formula>
    </cfRule>
    <cfRule type="containsText" dxfId="243" priority="34" operator="containsText" text="Ü">
      <formula>NOT(ISERROR(SEARCH("Ü",O502)))</formula>
    </cfRule>
    <cfRule type="containsText" dxfId="242" priority="33" operator="containsText" text="UÜ">
      <formula>NOT(ISERROR(SEARCH("UÜ",O502)))</formula>
    </cfRule>
    <cfRule type="containsText" dxfId="241" priority="32" operator="containsText" text="S">
      <formula>NOT(ISERROR(SEARCH("S",O502)))</formula>
    </cfRule>
  </conditionalFormatting>
  <conditionalFormatting sqref="O512:O518">
    <cfRule type="containsText" dxfId="240" priority="31" operator="containsText" text="K">
      <formula>NOT(ISERROR(SEARCH("K",O512)))</formula>
    </cfRule>
    <cfRule type="containsText" dxfId="239" priority="30" operator="containsText" text="U">
      <formula>NOT(ISERROR(SEARCH("U",O512)))</formula>
    </cfRule>
    <cfRule type="containsText" dxfId="238" priority="29" operator="containsText" text="Ü">
      <formula>NOT(ISERROR(SEARCH("Ü",O512)))</formula>
    </cfRule>
    <cfRule type="containsText" dxfId="237" priority="28" operator="containsText" text="UÜ">
      <formula>NOT(ISERROR(SEARCH("UÜ",O512)))</formula>
    </cfRule>
    <cfRule type="containsText" dxfId="236" priority="27" operator="containsText" text="S">
      <formula>NOT(ISERROR(SEARCH("S",O512)))</formula>
    </cfRule>
  </conditionalFormatting>
  <conditionalFormatting sqref="O522:O528">
    <cfRule type="containsText" dxfId="235" priority="23" operator="containsText" text="UÜ">
      <formula>NOT(ISERROR(SEARCH("UÜ",O522)))</formula>
    </cfRule>
    <cfRule type="containsText" dxfId="234" priority="22" operator="containsText" text="S">
      <formula>NOT(ISERROR(SEARCH("S",O522)))</formula>
    </cfRule>
    <cfRule type="containsText" dxfId="233" priority="24" operator="containsText" text="Ü">
      <formula>NOT(ISERROR(SEARCH("Ü",O522)))</formula>
    </cfRule>
    <cfRule type="containsText" dxfId="232" priority="26" operator="containsText" text="K">
      <formula>NOT(ISERROR(SEARCH("K",O522)))</formula>
    </cfRule>
    <cfRule type="containsText" dxfId="231" priority="25" operator="containsText" text="U">
      <formula>NOT(ISERROR(SEARCH("U",O522)))</formula>
    </cfRule>
  </conditionalFormatting>
  <conditionalFormatting sqref="O532:O538">
    <cfRule type="containsText" dxfId="230" priority="19" operator="containsText" text="Ü">
      <formula>NOT(ISERROR(SEARCH("Ü",O532)))</formula>
    </cfRule>
    <cfRule type="containsText" dxfId="229" priority="21" operator="containsText" text="K">
      <formula>NOT(ISERROR(SEARCH("K",O532)))</formula>
    </cfRule>
    <cfRule type="containsText" dxfId="228" priority="20" operator="containsText" text="U">
      <formula>NOT(ISERROR(SEARCH("U",O532)))</formula>
    </cfRule>
    <cfRule type="containsText" dxfId="227" priority="18" operator="containsText" text="UÜ">
      <formula>NOT(ISERROR(SEARCH("UÜ",O532)))</formula>
    </cfRule>
    <cfRule type="containsText" dxfId="226" priority="17" operator="containsText" text="S">
      <formula>NOT(ISERROR(SEARCH("S",O532)))</formula>
    </cfRule>
  </conditionalFormatting>
  <conditionalFormatting sqref="O542:O548">
    <cfRule type="containsText" dxfId="225" priority="14" operator="containsText" text="Ü">
      <formula>NOT(ISERROR(SEARCH("Ü",O542)))</formula>
    </cfRule>
    <cfRule type="containsText" dxfId="224" priority="13" operator="containsText" text="UÜ">
      <formula>NOT(ISERROR(SEARCH("UÜ",O542)))</formula>
    </cfRule>
    <cfRule type="containsText" dxfId="223" priority="12" operator="containsText" text="S">
      <formula>NOT(ISERROR(SEARCH("S",O542)))</formula>
    </cfRule>
    <cfRule type="containsText" dxfId="222" priority="16" operator="containsText" text="K">
      <formula>NOT(ISERROR(SEARCH("K",O542)))</formula>
    </cfRule>
    <cfRule type="containsText" dxfId="221" priority="15" operator="containsText" text="U">
      <formula>NOT(ISERROR(SEARCH("U",O542)))</formula>
    </cfRule>
  </conditionalFormatting>
  <conditionalFormatting sqref="O552:O558">
    <cfRule type="containsText" dxfId="220" priority="268" operator="containsText" text="K">
      <formula>NOT(ISERROR(SEARCH("K",O552)))</formula>
    </cfRule>
    <cfRule type="containsText" dxfId="219" priority="266" operator="containsText" text="Ü">
      <formula>NOT(ISERROR(SEARCH("Ü",O552)))</formula>
    </cfRule>
    <cfRule type="containsText" dxfId="218" priority="265" operator="containsText" text="UÜ">
      <formula>NOT(ISERROR(SEARCH("UÜ",O552)))</formula>
    </cfRule>
    <cfRule type="containsText" dxfId="217" priority="264" operator="containsText" text="S">
      <formula>NOT(ISERROR(SEARCH("S",O552)))</formula>
    </cfRule>
    <cfRule type="containsText" dxfId="216" priority="267" operator="containsText" text="U">
      <formula>NOT(ISERROR(SEARCH("U",O552)))</formula>
    </cfRule>
  </conditionalFormatting>
  <conditionalFormatting sqref="T32:T38">
    <cfRule type="cellIs" dxfId="215" priority="3241" operator="greaterThan">
      <formula>0</formula>
    </cfRule>
    <cfRule type="cellIs" dxfId="214" priority="3240" operator="lessThan">
      <formula>0</formula>
    </cfRule>
  </conditionalFormatting>
  <conditionalFormatting sqref="T42:U48">
    <cfRule type="cellIs" dxfId="213" priority="2347" operator="greaterThan">
      <formula>0</formula>
    </cfRule>
    <cfRule type="cellIs" dxfId="212" priority="2346" operator="lessThan">
      <formula>0</formula>
    </cfRule>
  </conditionalFormatting>
  <conditionalFormatting sqref="T52:U58">
    <cfRule type="cellIs" dxfId="211" priority="10" operator="lessThan">
      <formula>0</formula>
    </cfRule>
    <cfRule type="cellIs" dxfId="210" priority="11" operator="greaterThan">
      <formula>0</formula>
    </cfRule>
  </conditionalFormatting>
  <conditionalFormatting sqref="T62:U68">
    <cfRule type="cellIs" dxfId="209" priority="2308" operator="greaterThan">
      <formula>0</formula>
    </cfRule>
    <cfRule type="cellIs" dxfId="208" priority="2307" operator="lessThan">
      <formula>0</formula>
    </cfRule>
  </conditionalFormatting>
  <conditionalFormatting sqref="T72:U78">
    <cfRule type="cellIs" dxfId="207" priority="2291" operator="lessThan">
      <formula>0</formula>
    </cfRule>
    <cfRule type="cellIs" dxfId="206" priority="2292" operator="greaterThan">
      <formula>0</formula>
    </cfRule>
  </conditionalFormatting>
  <conditionalFormatting sqref="T82:U88">
    <cfRule type="cellIs" dxfId="205" priority="2274" operator="greaterThan">
      <formula>0</formula>
    </cfRule>
    <cfRule type="cellIs" dxfId="204" priority="2273" operator="lessThan">
      <formula>0</formula>
    </cfRule>
  </conditionalFormatting>
  <conditionalFormatting sqref="T92:U98">
    <cfRule type="cellIs" dxfId="203" priority="2257" operator="lessThan">
      <formula>0</formula>
    </cfRule>
    <cfRule type="cellIs" dxfId="202" priority="2258" operator="greaterThan">
      <formula>0</formula>
    </cfRule>
  </conditionalFormatting>
  <conditionalFormatting sqref="T102:U108">
    <cfRule type="cellIs" dxfId="201" priority="2241" operator="lessThan">
      <formula>0</formula>
    </cfRule>
    <cfRule type="cellIs" dxfId="200" priority="2242" operator="greaterThan">
      <formula>0</formula>
    </cfRule>
  </conditionalFormatting>
  <conditionalFormatting sqref="T112:U118">
    <cfRule type="cellIs" dxfId="199" priority="2225" operator="lessThan">
      <formula>0</formula>
    </cfRule>
    <cfRule type="cellIs" dxfId="198" priority="2226" operator="greaterThan">
      <formula>0</formula>
    </cfRule>
  </conditionalFormatting>
  <conditionalFormatting sqref="T122:U128">
    <cfRule type="cellIs" dxfId="197" priority="2210" operator="greaterThan">
      <formula>0</formula>
    </cfRule>
    <cfRule type="cellIs" dxfId="196" priority="2209" operator="lessThan">
      <formula>0</formula>
    </cfRule>
  </conditionalFormatting>
  <conditionalFormatting sqref="T132:U138">
    <cfRule type="cellIs" dxfId="195" priority="2193" operator="lessThan">
      <formula>0</formula>
    </cfRule>
    <cfRule type="cellIs" dxfId="194" priority="2194" operator="greaterThan">
      <formula>0</formula>
    </cfRule>
  </conditionalFormatting>
  <conditionalFormatting sqref="T142:U148">
    <cfRule type="cellIs" dxfId="193" priority="2178" operator="greaterThan">
      <formula>0</formula>
    </cfRule>
    <cfRule type="cellIs" dxfId="192" priority="2177" operator="lessThan">
      <formula>0</formula>
    </cfRule>
  </conditionalFormatting>
  <conditionalFormatting sqref="T152:U158">
    <cfRule type="cellIs" dxfId="191" priority="2162" operator="greaterThan">
      <formula>0</formula>
    </cfRule>
    <cfRule type="cellIs" dxfId="190" priority="2161" operator="lessThan">
      <formula>0</formula>
    </cfRule>
  </conditionalFormatting>
  <conditionalFormatting sqref="T162:U168">
    <cfRule type="cellIs" dxfId="189" priority="2146" operator="greaterThan">
      <formula>0</formula>
    </cfRule>
    <cfRule type="cellIs" dxfId="188" priority="2145" operator="lessThan">
      <formula>0</formula>
    </cfRule>
  </conditionalFormatting>
  <conditionalFormatting sqref="T172:U178">
    <cfRule type="cellIs" dxfId="187" priority="2130" operator="greaterThan">
      <formula>0</formula>
    </cfRule>
    <cfRule type="cellIs" dxfId="186" priority="2129" operator="lessThan">
      <formula>0</formula>
    </cfRule>
  </conditionalFormatting>
  <conditionalFormatting sqref="T182:U188">
    <cfRule type="cellIs" dxfId="185" priority="2113" operator="lessThan">
      <formula>0</formula>
    </cfRule>
    <cfRule type="cellIs" dxfId="184" priority="2114" operator="greaterThan">
      <formula>0</formula>
    </cfRule>
  </conditionalFormatting>
  <conditionalFormatting sqref="T192:U198">
    <cfRule type="cellIs" dxfId="183" priority="2098" operator="greaterThan">
      <formula>0</formula>
    </cfRule>
    <cfRule type="cellIs" dxfId="182" priority="2097" operator="lessThan">
      <formula>0</formula>
    </cfRule>
  </conditionalFormatting>
  <conditionalFormatting sqref="T202:U208">
    <cfRule type="cellIs" dxfId="181" priority="2081" operator="lessThan">
      <formula>0</formula>
    </cfRule>
    <cfRule type="cellIs" dxfId="180" priority="2082" operator="greaterThan">
      <formula>0</formula>
    </cfRule>
  </conditionalFormatting>
  <conditionalFormatting sqref="T212:U218">
    <cfRule type="cellIs" dxfId="179" priority="2065" operator="lessThan">
      <formula>0</formula>
    </cfRule>
    <cfRule type="cellIs" dxfId="178" priority="2066" operator="greaterThan">
      <formula>0</formula>
    </cfRule>
  </conditionalFormatting>
  <conditionalFormatting sqref="T222:U228">
    <cfRule type="cellIs" dxfId="177" priority="2050" operator="greaterThan">
      <formula>0</formula>
    </cfRule>
    <cfRule type="cellIs" dxfId="176" priority="2049" operator="lessThan">
      <formula>0</formula>
    </cfRule>
  </conditionalFormatting>
  <conditionalFormatting sqref="T232:U238">
    <cfRule type="cellIs" dxfId="175" priority="2033" operator="lessThan">
      <formula>0</formula>
    </cfRule>
    <cfRule type="cellIs" dxfId="174" priority="2034" operator="greaterThan">
      <formula>0</formula>
    </cfRule>
  </conditionalFormatting>
  <conditionalFormatting sqref="T242:U248">
    <cfRule type="cellIs" dxfId="173" priority="2018" operator="greaterThan">
      <formula>0</formula>
    </cfRule>
    <cfRule type="cellIs" dxfId="172" priority="2017" operator="lessThan">
      <formula>0</formula>
    </cfRule>
  </conditionalFormatting>
  <conditionalFormatting sqref="T252:U258">
    <cfRule type="cellIs" dxfId="171" priority="2001" operator="lessThan">
      <formula>0</formula>
    </cfRule>
    <cfRule type="cellIs" dxfId="170" priority="2002" operator="greaterThan">
      <formula>0</formula>
    </cfRule>
  </conditionalFormatting>
  <conditionalFormatting sqref="T262:U268">
    <cfRule type="cellIs" dxfId="169" priority="1986" operator="greaterThan">
      <formula>0</formula>
    </cfRule>
    <cfRule type="cellIs" dxfId="168" priority="1985" operator="lessThan">
      <formula>0</formula>
    </cfRule>
  </conditionalFormatting>
  <conditionalFormatting sqref="T272:U278">
    <cfRule type="cellIs" dxfId="167" priority="1969" operator="lessThan">
      <formula>0</formula>
    </cfRule>
    <cfRule type="cellIs" dxfId="166" priority="1970" operator="greaterThan">
      <formula>0</formula>
    </cfRule>
  </conditionalFormatting>
  <conditionalFormatting sqref="T282:U288">
    <cfRule type="cellIs" dxfId="165" priority="1954" operator="greaterThan">
      <formula>0</formula>
    </cfRule>
    <cfRule type="cellIs" dxfId="164" priority="1953" operator="lessThan">
      <formula>0</formula>
    </cfRule>
  </conditionalFormatting>
  <conditionalFormatting sqref="T292:U298">
    <cfRule type="cellIs" dxfId="163" priority="1938" operator="greaterThan">
      <formula>0</formula>
    </cfRule>
    <cfRule type="cellIs" dxfId="162" priority="1937" operator="lessThan">
      <formula>0</formula>
    </cfRule>
  </conditionalFormatting>
  <conditionalFormatting sqref="T302:U308">
    <cfRule type="cellIs" dxfId="161" priority="1921" operator="lessThan">
      <formula>0</formula>
    </cfRule>
    <cfRule type="cellIs" dxfId="160" priority="1922" operator="greaterThan">
      <formula>0</formula>
    </cfRule>
  </conditionalFormatting>
  <conditionalFormatting sqref="T312:U318">
    <cfRule type="cellIs" dxfId="159" priority="1905" operator="lessThan">
      <formula>0</formula>
    </cfRule>
    <cfRule type="cellIs" dxfId="158" priority="1906" operator="greaterThan">
      <formula>0</formula>
    </cfRule>
  </conditionalFormatting>
  <conditionalFormatting sqref="T322:U328">
    <cfRule type="cellIs" dxfId="157" priority="1889" operator="lessThan">
      <formula>0</formula>
    </cfRule>
    <cfRule type="cellIs" dxfId="156" priority="1890" operator="greaterThan">
      <formula>0</formula>
    </cfRule>
  </conditionalFormatting>
  <conditionalFormatting sqref="T332:U338">
    <cfRule type="cellIs" dxfId="155" priority="1874" operator="greaterThan">
      <formula>0</formula>
    </cfRule>
    <cfRule type="cellIs" dxfId="154" priority="1873" operator="lessThan">
      <formula>0</formula>
    </cfRule>
  </conditionalFormatting>
  <conditionalFormatting sqref="T342:U348">
    <cfRule type="cellIs" dxfId="153" priority="1857" operator="lessThan">
      <formula>0</formula>
    </cfRule>
    <cfRule type="cellIs" dxfId="152" priority="1858" operator="greaterThan">
      <formula>0</formula>
    </cfRule>
  </conditionalFormatting>
  <conditionalFormatting sqref="T352:U358">
    <cfRule type="cellIs" dxfId="151" priority="1842" operator="greaterThan">
      <formula>0</formula>
    </cfRule>
    <cfRule type="cellIs" dxfId="150" priority="1841" operator="lessThan">
      <formula>0</formula>
    </cfRule>
  </conditionalFormatting>
  <conditionalFormatting sqref="T362:U368">
    <cfRule type="cellIs" dxfId="149" priority="1825" operator="lessThan">
      <formula>0</formula>
    </cfRule>
    <cfRule type="cellIs" dxfId="148" priority="1826" operator="greaterThan">
      <formula>0</formula>
    </cfRule>
  </conditionalFormatting>
  <conditionalFormatting sqref="T372:U378">
    <cfRule type="cellIs" dxfId="147" priority="1809" operator="lessThan">
      <formula>0</formula>
    </cfRule>
    <cfRule type="cellIs" dxfId="146" priority="1810" operator="greaterThan">
      <formula>0</formula>
    </cfRule>
  </conditionalFormatting>
  <conditionalFormatting sqref="T382:U388">
    <cfRule type="cellIs" dxfId="145" priority="1794" operator="greaterThan">
      <formula>0</formula>
    </cfRule>
    <cfRule type="cellIs" dxfId="144" priority="1793" operator="lessThan">
      <formula>0</formula>
    </cfRule>
  </conditionalFormatting>
  <conditionalFormatting sqref="T392:U398">
    <cfRule type="cellIs" dxfId="143" priority="1778" operator="greaterThan">
      <formula>0</formula>
    </cfRule>
    <cfRule type="cellIs" dxfId="142" priority="1777" operator="lessThan">
      <formula>0</formula>
    </cfRule>
  </conditionalFormatting>
  <conditionalFormatting sqref="T402:U408">
    <cfRule type="cellIs" dxfId="141" priority="1762" operator="greaterThan">
      <formula>0</formula>
    </cfRule>
    <cfRule type="cellIs" dxfId="140" priority="1761" operator="lessThan">
      <formula>0</formula>
    </cfRule>
  </conditionalFormatting>
  <conditionalFormatting sqref="T412:U418">
    <cfRule type="cellIs" dxfId="139" priority="1745" operator="lessThan">
      <formula>0</formula>
    </cfRule>
    <cfRule type="cellIs" dxfId="138" priority="1746" operator="greaterThan">
      <formula>0</formula>
    </cfRule>
  </conditionalFormatting>
  <conditionalFormatting sqref="T422:U428">
    <cfRule type="cellIs" dxfId="137" priority="1729" operator="lessThan">
      <formula>0</formula>
    </cfRule>
    <cfRule type="cellIs" dxfId="136" priority="1730" operator="greaterThan">
      <formula>0</formula>
    </cfRule>
  </conditionalFormatting>
  <conditionalFormatting sqref="T432:U438">
    <cfRule type="cellIs" dxfId="135" priority="1714" operator="greaterThan">
      <formula>0</formula>
    </cfRule>
    <cfRule type="cellIs" dxfId="134" priority="1713" operator="lessThan">
      <formula>0</formula>
    </cfRule>
  </conditionalFormatting>
  <conditionalFormatting sqref="T442:U448">
    <cfRule type="cellIs" dxfId="133" priority="1697" operator="lessThan">
      <formula>0</formula>
    </cfRule>
    <cfRule type="cellIs" dxfId="132" priority="1698" operator="greaterThan">
      <formula>0</formula>
    </cfRule>
  </conditionalFormatting>
  <conditionalFormatting sqref="T452:U458">
    <cfRule type="cellIs" dxfId="131" priority="1682" operator="greaterThan">
      <formula>0</formula>
    </cfRule>
    <cfRule type="cellIs" dxfId="130" priority="1681" operator="lessThan">
      <formula>0</formula>
    </cfRule>
  </conditionalFormatting>
  <conditionalFormatting sqref="T462:U468">
    <cfRule type="cellIs" dxfId="129" priority="1666" operator="greaterThan">
      <formula>0</formula>
    </cfRule>
    <cfRule type="cellIs" dxfId="128" priority="1665" operator="lessThan">
      <formula>0</formula>
    </cfRule>
  </conditionalFormatting>
  <conditionalFormatting sqref="T472:U478">
    <cfRule type="cellIs" dxfId="127" priority="1649" operator="lessThan">
      <formula>0</formula>
    </cfRule>
    <cfRule type="cellIs" dxfId="126" priority="1650" operator="greaterThan">
      <formula>0</formula>
    </cfRule>
  </conditionalFormatting>
  <conditionalFormatting sqref="T482:U488">
    <cfRule type="cellIs" dxfId="125" priority="1633" operator="lessThan">
      <formula>0</formula>
    </cfRule>
    <cfRule type="cellIs" dxfId="124" priority="1634" operator="greaterThan">
      <formula>0</formula>
    </cfRule>
  </conditionalFormatting>
  <conditionalFormatting sqref="T492:U498">
    <cfRule type="cellIs" dxfId="123" priority="1618" operator="greaterThan">
      <formula>0</formula>
    </cfRule>
    <cfRule type="cellIs" dxfId="122" priority="1617" operator="lessThan">
      <formula>0</formula>
    </cfRule>
  </conditionalFormatting>
  <conditionalFormatting sqref="T502:U508">
    <cfRule type="cellIs" dxfId="121" priority="1601" operator="lessThan">
      <formula>0</formula>
    </cfRule>
    <cfRule type="cellIs" dxfId="120" priority="1602" operator="greaterThan">
      <formula>0</formula>
    </cfRule>
  </conditionalFormatting>
  <conditionalFormatting sqref="T512:U518">
    <cfRule type="cellIs" dxfId="119" priority="1585" operator="lessThan">
      <formula>0</formula>
    </cfRule>
    <cfRule type="cellIs" dxfId="118" priority="1586" operator="greaterThan">
      <formula>0</formula>
    </cfRule>
  </conditionalFormatting>
  <conditionalFormatting sqref="T522:U528">
    <cfRule type="cellIs" dxfId="117" priority="1569" operator="lessThan">
      <formula>0</formula>
    </cfRule>
    <cfRule type="cellIs" dxfId="116" priority="1570" operator="greaterThan">
      <formula>0</formula>
    </cfRule>
  </conditionalFormatting>
  <conditionalFormatting sqref="T532:U538">
    <cfRule type="cellIs" dxfId="115" priority="1553" operator="lessThan">
      <formula>0</formula>
    </cfRule>
    <cfRule type="cellIs" dxfId="114" priority="1554" operator="greaterThan">
      <formula>0</formula>
    </cfRule>
  </conditionalFormatting>
  <conditionalFormatting sqref="T542:U548">
    <cfRule type="cellIs" dxfId="113" priority="1537" operator="lessThan">
      <formula>0</formula>
    </cfRule>
    <cfRule type="cellIs" dxfId="112" priority="1538" operator="greaterThan">
      <formula>0</formula>
    </cfRule>
  </conditionalFormatting>
  <conditionalFormatting sqref="T552:U558">
    <cfRule type="cellIs" dxfId="111" priority="1522" operator="greaterThan">
      <formula>0</formula>
    </cfRule>
    <cfRule type="cellIs" dxfId="110" priority="1521" operator="lessThan">
      <formula>0</formula>
    </cfRule>
  </conditionalFormatting>
  <conditionalFormatting sqref="X6">
    <cfRule type="cellIs" dxfId="109" priority="2287" operator="greaterThan">
      <formula>0</formula>
    </cfRule>
    <cfRule type="cellIs" dxfId="108" priority="2286" operator="lessThan">
      <formula>0</formula>
    </cfRule>
  </conditionalFormatting>
  <conditionalFormatting sqref="X34">
    <cfRule type="cellIs" dxfId="107" priority="3238" operator="lessThan">
      <formula>0</formula>
    </cfRule>
    <cfRule type="cellIs" dxfId="106" priority="3239" operator="greaterThan">
      <formula>0</formula>
    </cfRule>
  </conditionalFormatting>
  <conditionalFormatting sqref="X44">
    <cfRule type="cellIs" dxfId="105" priority="2345" operator="greaterThan">
      <formula>0</formula>
    </cfRule>
    <cfRule type="cellIs" dxfId="104" priority="2344" operator="lessThan">
      <formula>0</formula>
    </cfRule>
  </conditionalFormatting>
  <conditionalFormatting sqref="X54">
    <cfRule type="cellIs" dxfId="103" priority="8" operator="lessThan">
      <formula>0</formula>
    </cfRule>
    <cfRule type="cellIs" dxfId="102" priority="9" operator="greaterThan">
      <formula>0</formula>
    </cfRule>
  </conditionalFormatting>
  <conditionalFormatting sqref="X64">
    <cfRule type="cellIs" dxfId="101" priority="2306" operator="greaterThan">
      <formula>0</formula>
    </cfRule>
    <cfRule type="cellIs" dxfId="100" priority="2305" operator="lessThan">
      <formula>0</formula>
    </cfRule>
  </conditionalFormatting>
  <conditionalFormatting sqref="X74">
    <cfRule type="cellIs" dxfId="99" priority="2289" operator="lessThan">
      <formula>0</formula>
    </cfRule>
    <cfRule type="cellIs" dxfId="98" priority="2290" operator="greaterThan">
      <formula>0</formula>
    </cfRule>
  </conditionalFormatting>
  <conditionalFormatting sqref="X84">
    <cfRule type="cellIs" dxfId="97" priority="2271" operator="lessThan">
      <formula>0</formula>
    </cfRule>
    <cfRule type="cellIs" dxfId="96" priority="2272" operator="greaterThan">
      <formula>0</formula>
    </cfRule>
  </conditionalFormatting>
  <conditionalFormatting sqref="X94">
    <cfRule type="cellIs" dxfId="95" priority="2256" operator="greaterThan">
      <formula>0</formula>
    </cfRule>
    <cfRule type="cellIs" dxfId="94" priority="2255" operator="lessThan">
      <formula>0</formula>
    </cfRule>
  </conditionalFormatting>
  <conditionalFormatting sqref="X104">
    <cfRule type="cellIs" dxfId="93" priority="2239" operator="lessThan">
      <formula>0</formula>
    </cfRule>
    <cfRule type="cellIs" dxfId="92" priority="2240" operator="greaterThan">
      <formula>0</formula>
    </cfRule>
  </conditionalFormatting>
  <conditionalFormatting sqref="X114">
    <cfRule type="cellIs" dxfId="91" priority="2224" operator="greaterThan">
      <formula>0</formula>
    </cfRule>
    <cfRule type="cellIs" dxfId="90" priority="2223" operator="lessThan">
      <formula>0</formula>
    </cfRule>
  </conditionalFormatting>
  <conditionalFormatting sqref="X124">
    <cfRule type="cellIs" dxfId="89" priority="2208" operator="greaterThan">
      <formula>0</formula>
    </cfRule>
    <cfRule type="cellIs" dxfId="88" priority="2207" operator="lessThan">
      <formula>0</formula>
    </cfRule>
  </conditionalFormatting>
  <conditionalFormatting sqref="X134">
    <cfRule type="cellIs" dxfId="87" priority="2191" operator="lessThan">
      <formula>0</formula>
    </cfRule>
    <cfRule type="cellIs" dxfId="86" priority="2192" operator="greaterThan">
      <formula>0</formula>
    </cfRule>
  </conditionalFormatting>
  <conditionalFormatting sqref="X144">
    <cfRule type="cellIs" dxfId="85" priority="2175" operator="lessThan">
      <formula>0</formula>
    </cfRule>
    <cfRule type="cellIs" dxfId="84" priority="2176" operator="greaterThan">
      <formula>0</formula>
    </cfRule>
  </conditionalFormatting>
  <conditionalFormatting sqref="X154">
    <cfRule type="cellIs" dxfId="83" priority="2160" operator="greaterThan">
      <formula>0</formula>
    </cfRule>
    <cfRule type="cellIs" dxfId="82" priority="2159" operator="lessThan">
      <formula>0</formula>
    </cfRule>
  </conditionalFormatting>
  <conditionalFormatting sqref="X164">
    <cfRule type="cellIs" dxfId="81" priority="2143" operator="lessThan">
      <formula>0</formula>
    </cfRule>
    <cfRule type="cellIs" dxfId="80" priority="2144" operator="greaterThan">
      <formula>0</formula>
    </cfRule>
  </conditionalFormatting>
  <conditionalFormatting sqref="X174">
    <cfRule type="cellIs" dxfId="79" priority="2127" operator="lessThan">
      <formula>0</formula>
    </cfRule>
    <cfRule type="cellIs" dxfId="78" priority="2128" operator="greaterThan">
      <formula>0</formula>
    </cfRule>
  </conditionalFormatting>
  <conditionalFormatting sqref="X184">
    <cfRule type="cellIs" dxfId="77" priority="2111" operator="lessThan">
      <formula>0</formula>
    </cfRule>
    <cfRule type="cellIs" dxfId="76" priority="2112" operator="greaterThan">
      <formula>0</formula>
    </cfRule>
  </conditionalFormatting>
  <conditionalFormatting sqref="X194">
    <cfRule type="cellIs" dxfId="75" priority="2095" operator="lessThan">
      <formula>0</formula>
    </cfRule>
    <cfRule type="cellIs" dxfId="74" priority="2096" operator="greaterThan">
      <formula>0</formula>
    </cfRule>
  </conditionalFormatting>
  <conditionalFormatting sqref="X204">
    <cfRule type="cellIs" dxfId="73" priority="2079" operator="lessThan">
      <formula>0</formula>
    </cfRule>
    <cfRule type="cellIs" dxfId="72" priority="2080" operator="greaterThan">
      <formula>0</formula>
    </cfRule>
  </conditionalFormatting>
  <conditionalFormatting sqref="X214">
    <cfRule type="cellIs" dxfId="71" priority="2064" operator="greaterThan">
      <formula>0</formula>
    </cfRule>
    <cfRule type="cellIs" dxfId="70" priority="2063" operator="lessThan">
      <formula>0</formula>
    </cfRule>
  </conditionalFormatting>
  <conditionalFormatting sqref="X224">
    <cfRule type="cellIs" dxfId="69" priority="2048" operator="greaterThan">
      <formula>0</formula>
    </cfRule>
    <cfRule type="cellIs" dxfId="68" priority="2047" operator="lessThan">
      <formula>0</formula>
    </cfRule>
  </conditionalFormatting>
  <conditionalFormatting sqref="X234">
    <cfRule type="cellIs" dxfId="67" priority="2032" operator="greaterThan">
      <formula>0</formula>
    </cfRule>
    <cfRule type="cellIs" dxfId="66" priority="2031" operator="lessThan">
      <formula>0</formula>
    </cfRule>
  </conditionalFormatting>
  <conditionalFormatting sqref="X244">
    <cfRule type="cellIs" dxfId="65" priority="2015" operator="lessThan">
      <formula>0</formula>
    </cfRule>
    <cfRule type="cellIs" dxfId="64" priority="2016" operator="greaterThan">
      <formula>0</formula>
    </cfRule>
  </conditionalFormatting>
  <conditionalFormatting sqref="X254">
    <cfRule type="cellIs" dxfId="63" priority="1999" operator="lessThan">
      <formula>0</formula>
    </cfRule>
    <cfRule type="cellIs" dxfId="62" priority="2000" operator="greaterThan">
      <formula>0</formula>
    </cfRule>
  </conditionalFormatting>
  <conditionalFormatting sqref="X264">
    <cfRule type="cellIs" dxfId="61" priority="1983" operator="lessThan">
      <formula>0</formula>
    </cfRule>
    <cfRule type="cellIs" dxfId="60" priority="1984" operator="greaterThan">
      <formula>0</formula>
    </cfRule>
  </conditionalFormatting>
  <conditionalFormatting sqref="X274">
    <cfRule type="cellIs" dxfId="59" priority="1967" operator="lessThan">
      <formula>0</formula>
    </cfRule>
    <cfRule type="cellIs" dxfId="58" priority="1968" operator="greaterThan">
      <formula>0</formula>
    </cfRule>
  </conditionalFormatting>
  <conditionalFormatting sqref="X284">
    <cfRule type="cellIs" dxfId="57" priority="1952" operator="greaterThan">
      <formula>0</formula>
    </cfRule>
    <cfRule type="cellIs" dxfId="56" priority="1951" operator="lessThan">
      <formula>0</formula>
    </cfRule>
  </conditionalFormatting>
  <conditionalFormatting sqref="X294">
    <cfRule type="cellIs" dxfId="55" priority="1935" operator="lessThan">
      <formula>0</formula>
    </cfRule>
    <cfRule type="cellIs" dxfId="54" priority="1936" operator="greaterThan">
      <formula>0</formula>
    </cfRule>
  </conditionalFormatting>
  <conditionalFormatting sqref="X304">
    <cfRule type="cellIs" dxfId="53" priority="1920" operator="greaterThan">
      <formula>0</formula>
    </cfRule>
    <cfRule type="cellIs" dxfId="52" priority="1919" operator="lessThan">
      <formula>0</formula>
    </cfRule>
  </conditionalFormatting>
  <conditionalFormatting sqref="X314">
    <cfRule type="cellIs" dxfId="51" priority="1904" operator="greaterThan">
      <formula>0</formula>
    </cfRule>
    <cfRule type="cellIs" dxfId="50" priority="1903" operator="lessThan">
      <formula>0</formula>
    </cfRule>
  </conditionalFormatting>
  <conditionalFormatting sqref="X324">
    <cfRule type="cellIs" dxfId="49" priority="1888" operator="greaterThan">
      <formula>0</formula>
    </cfRule>
    <cfRule type="cellIs" dxfId="48" priority="1887" operator="lessThan">
      <formula>0</formula>
    </cfRule>
  </conditionalFormatting>
  <conditionalFormatting sqref="X334">
    <cfRule type="cellIs" dxfId="47" priority="1872" operator="greaterThan">
      <formula>0</formula>
    </cfRule>
    <cfRule type="cellIs" dxfId="46" priority="1871" operator="lessThan">
      <formula>0</formula>
    </cfRule>
  </conditionalFormatting>
  <conditionalFormatting sqref="X344">
    <cfRule type="cellIs" dxfId="45" priority="1856" operator="greaterThan">
      <formula>0</formula>
    </cfRule>
    <cfRule type="cellIs" dxfId="44" priority="1855" operator="lessThan">
      <formula>0</formula>
    </cfRule>
  </conditionalFormatting>
  <conditionalFormatting sqref="X354">
    <cfRule type="cellIs" dxfId="43" priority="1840" operator="greaterThan">
      <formula>0</formula>
    </cfRule>
    <cfRule type="cellIs" dxfId="42" priority="1839" operator="lessThan">
      <formula>0</formula>
    </cfRule>
  </conditionalFormatting>
  <conditionalFormatting sqref="X364">
    <cfRule type="cellIs" dxfId="41" priority="1823" operator="lessThan">
      <formula>0</formula>
    </cfRule>
    <cfRule type="cellIs" dxfId="40" priority="1824" operator="greaterThan">
      <formula>0</formula>
    </cfRule>
  </conditionalFormatting>
  <conditionalFormatting sqref="X374">
    <cfRule type="cellIs" dxfId="39" priority="1807" operator="lessThan">
      <formula>0</formula>
    </cfRule>
    <cfRule type="cellIs" dxfId="38" priority="1808" operator="greaterThan">
      <formula>0</formula>
    </cfRule>
  </conditionalFormatting>
  <conditionalFormatting sqref="X384">
    <cfRule type="cellIs" dxfId="37" priority="1791" operator="lessThan">
      <formula>0</formula>
    </cfRule>
    <cfRule type="cellIs" dxfId="36" priority="1792" operator="greaterThan">
      <formula>0</formula>
    </cfRule>
  </conditionalFormatting>
  <conditionalFormatting sqref="X394">
    <cfRule type="cellIs" dxfId="35" priority="1775" operator="lessThan">
      <formula>0</formula>
    </cfRule>
    <cfRule type="cellIs" dxfId="34" priority="1776" operator="greaterThan">
      <formula>0</formula>
    </cfRule>
  </conditionalFormatting>
  <conditionalFormatting sqref="X404">
    <cfRule type="cellIs" dxfId="33" priority="1759" operator="lessThan">
      <formula>0</formula>
    </cfRule>
    <cfRule type="cellIs" dxfId="32" priority="1760" operator="greaterThan">
      <formula>0</formula>
    </cfRule>
  </conditionalFormatting>
  <conditionalFormatting sqref="X414">
    <cfRule type="cellIs" dxfId="31" priority="1744" operator="greaterThan">
      <formula>0</formula>
    </cfRule>
    <cfRule type="cellIs" dxfId="30" priority="1743" operator="lessThan">
      <formula>0</formula>
    </cfRule>
  </conditionalFormatting>
  <conditionalFormatting sqref="X424">
    <cfRule type="cellIs" dxfId="29" priority="1728" operator="greaterThan">
      <formula>0</formula>
    </cfRule>
    <cfRule type="cellIs" dxfId="28" priority="1727" operator="lessThan">
      <formula>0</formula>
    </cfRule>
  </conditionalFormatting>
  <conditionalFormatting sqref="X434">
    <cfRule type="cellIs" dxfId="27" priority="1711" operator="lessThan">
      <formula>0</formula>
    </cfRule>
    <cfRule type="cellIs" dxfId="26" priority="1712" operator="greaterThan">
      <formula>0</formula>
    </cfRule>
  </conditionalFormatting>
  <conditionalFormatting sqref="X444">
    <cfRule type="cellIs" dxfId="25" priority="1696" operator="greaterThan">
      <formula>0</formula>
    </cfRule>
    <cfRule type="cellIs" dxfId="24" priority="1695" operator="lessThan">
      <formula>0</formula>
    </cfRule>
  </conditionalFormatting>
  <conditionalFormatting sqref="X454">
    <cfRule type="cellIs" dxfId="23" priority="1679" operator="lessThan">
      <formula>0</formula>
    </cfRule>
    <cfRule type="cellIs" dxfId="22" priority="1680" operator="greaterThan">
      <formula>0</formula>
    </cfRule>
  </conditionalFormatting>
  <conditionalFormatting sqref="X464">
    <cfRule type="cellIs" dxfId="21" priority="1663" operator="lessThan">
      <formula>0</formula>
    </cfRule>
    <cfRule type="cellIs" dxfId="20" priority="1664" operator="greaterThan">
      <formula>0</formula>
    </cfRule>
  </conditionalFormatting>
  <conditionalFormatting sqref="X474">
    <cfRule type="cellIs" dxfId="19" priority="1648" operator="greaterThan">
      <formula>0</formula>
    </cfRule>
    <cfRule type="cellIs" dxfId="18" priority="1647" operator="lessThan">
      <formula>0</formula>
    </cfRule>
  </conditionalFormatting>
  <conditionalFormatting sqref="X484">
    <cfRule type="cellIs" dxfId="17" priority="1631" operator="lessThan">
      <formula>0</formula>
    </cfRule>
    <cfRule type="cellIs" dxfId="16" priority="1632" operator="greaterThan">
      <formula>0</formula>
    </cfRule>
  </conditionalFormatting>
  <conditionalFormatting sqref="X494">
    <cfRule type="cellIs" dxfId="15" priority="1616" operator="greaterThan">
      <formula>0</formula>
    </cfRule>
    <cfRule type="cellIs" dxfId="14" priority="1615" operator="lessThan">
      <formula>0</formula>
    </cfRule>
  </conditionalFormatting>
  <conditionalFormatting sqref="X504">
    <cfRule type="cellIs" dxfId="13" priority="1600" operator="greaterThan">
      <formula>0</formula>
    </cfRule>
    <cfRule type="cellIs" dxfId="12" priority="1599" operator="lessThan">
      <formula>0</formula>
    </cfRule>
  </conditionalFormatting>
  <conditionalFormatting sqref="X514">
    <cfRule type="cellIs" dxfId="11" priority="1583" operator="lessThan">
      <formula>0</formula>
    </cfRule>
    <cfRule type="cellIs" dxfId="10" priority="1584" operator="greaterThan">
      <formula>0</formula>
    </cfRule>
  </conditionalFormatting>
  <conditionalFormatting sqref="X524">
    <cfRule type="cellIs" dxfId="9" priority="1568" operator="greaterThan">
      <formula>0</formula>
    </cfRule>
    <cfRule type="cellIs" dxfId="8" priority="1567" operator="lessThan">
      <formula>0</formula>
    </cfRule>
  </conditionalFormatting>
  <conditionalFormatting sqref="X534">
    <cfRule type="cellIs" dxfId="7" priority="1551" operator="lessThan">
      <formula>0</formula>
    </cfRule>
    <cfRule type="cellIs" dxfId="6" priority="1552" operator="greaterThan">
      <formula>0</formula>
    </cfRule>
  </conditionalFormatting>
  <conditionalFormatting sqref="X544">
    <cfRule type="cellIs" dxfId="5" priority="1535" operator="lessThan">
      <formula>0</formula>
    </cfRule>
    <cfRule type="cellIs" dxfId="4" priority="1536" operator="greaterThan">
      <formula>0</formula>
    </cfRule>
  </conditionalFormatting>
  <conditionalFormatting sqref="X554">
    <cfRule type="cellIs" dxfId="3" priority="1519" operator="lessThan">
      <formula>0</formula>
    </cfRule>
    <cfRule type="cellIs" dxfId="2" priority="1520" operator="greaterThan">
      <formula>0</formula>
    </cfRule>
  </conditionalFormatting>
  <conditionalFormatting sqref="Z6">
    <cfRule type="cellIs" dxfId="1" priority="1516" operator="lessThan">
      <formula>0</formula>
    </cfRule>
    <cfRule type="cellIs" dxfId="0" priority="1517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2025-01-13T12:08:59Z</dcterms:modified>
</cp:coreProperties>
</file>