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50C21192-4784-4DDA-88E2-DFFBF2ECF7A4}" xr6:coauthVersionLast="47" xr6:coauthVersionMax="47" xr10:uidLastSave="{00000000-0000-0000-0000-000000000000}"/>
  <bookViews>
    <workbookView xWindow="-108" yWindow="-108" windowWidth="23256" windowHeight="12456" activeTab="1" xr2:uid="{38490BAD-5B36-42C4-8A44-8BFD9D066C79}"/>
  </bookViews>
  <sheets>
    <sheet name="Anleitung" sheetId="2" r:id="rId1"/>
    <sheet name="VORLAGE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" i="1" l="1"/>
  <c r="X8" i="1" a="1"/>
  <c r="X8" i="1" s="1"/>
  <c r="M34" i="1" l="1"/>
  <c r="N34" i="1"/>
  <c r="Q548" i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Q549" i="1" s="1"/>
  <c r="P542" i="1"/>
  <c r="P549" i="1" s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Q539" i="1" s="1"/>
  <c r="P532" i="1"/>
  <c r="P539" i="1" s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P529" i="1" s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Q519" i="1" s="1"/>
  <c r="P512" i="1"/>
  <c r="P519" i="1" s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Q509" i="1" s="1"/>
  <c r="P502" i="1"/>
  <c r="P509" i="1" s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P499" i="1" s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P489" i="1" s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Q479" i="1" s="1"/>
  <c r="P472" i="1"/>
  <c r="P479" i="1" s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P469" i="1" s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P459" i="1" s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Q449" i="1" s="1"/>
  <c r="P442" i="1"/>
  <c r="P449" i="1" s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P439" i="1" s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Q429" i="1" s="1"/>
  <c r="P422" i="1"/>
  <c r="P429" i="1" s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Q419" i="1" s="1"/>
  <c r="P412" i="1"/>
  <c r="P419" i="1" s="1"/>
  <c r="N412" i="1"/>
  <c r="M412" i="1"/>
  <c r="P409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Q409" i="1" s="1"/>
  <c r="P402" i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P399" i="1" s="1"/>
  <c r="N393" i="1"/>
  <c r="M393" i="1"/>
  <c r="Q392" i="1"/>
  <c r="Q399" i="1" s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Q389" i="1" s="1"/>
  <c r="P382" i="1"/>
  <c r="P389" i="1" s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Q379" i="1" s="1"/>
  <c r="P372" i="1"/>
  <c r="P379" i="1" s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Q369" i="1" s="1"/>
  <c r="P363" i="1"/>
  <c r="N363" i="1"/>
  <c r="M363" i="1"/>
  <c r="Q362" i="1"/>
  <c r="P362" i="1"/>
  <c r="P369" i="1" s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P359" i="1" s="1"/>
  <c r="N353" i="1"/>
  <c r="M353" i="1"/>
  <c r="Q352" i="1"/>
  <c r="Q359" i="1" s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Q349" i="1" s="1"/>
  <c r="P342" i="1"/>
  <c r="P349" i="1" s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Q339" i="1" s="1"/>
  <c r="P332" i="1"/>
  <c r="P339" i="1" s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P329" i="1" s="1"/>
  <c r="N323" i="1"/>
  <c r="M323" i="1"/>
  <c r="Q322" i="1"/>
  <c r="Q329" i="1" s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P319" i="1" s="1"/>
  <c r="N314" i="1"/>
  <c r="M314" i="1"/>
  <c r="Q313" i="1"/>
  <c r="Q319" i="1" s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Q309" i="1" s="1"/>
  <c r="P302" i="1"/>
  <c r="P309" i="1" s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Q299" i="1" s="1"/>
  <c r="P292" i="1"/>
  <c r="P299" i="1" s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Q289" i="1" s="1"/>
  <c r="P282" i="1"/>
  <c r="P289" i="1" s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Q279" i="1" s="1"/>
  <c r="P272" i="1"/>
  <c r="P279" i="1" s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Q269" i="1" s="1"/>
  <c r="P262" i="1"/>
  <c r="P269" i="1" s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P259" i="1" s="1"/>
  <c r="N253" i="1"/>
  <c r="M253" i="1"/>
  <c r="Q252" i="1"/>
  <c r="Q259" i="1" s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P249" i="1" s="1"/>
  <c r="N244" i="1"/>
  <c r="M244" i="1"/>
  <c r="Q243" i="1"/>
  <c r="P243" i="1"/>
  <c r="N243" i="1"/>
  <c r="M243" i="1"/>
  <c r="Q242" i="1"/>
  <c r="Q249" i="1" s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Q239" i="1" s="1"/>
  <c r="P232" i="1"/>
  <c r="P239" i="1" s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P229" i="1" s="1"/>
  <c r="N224" i="1"/>
  <c r="M224" i="1"/>
  <c r="Q223" i="1"/>
  <c r="P223" i="1"/>
  <c r="N223" i="1"/>
  <c r="M223" i="1"/>
  <c r="Q222" i="1"/>
  <c r="Q229" i="1" s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Q219" i="1" s="1"/>
  <c r="P212" i="1"/>
  <c r="P219" i="1" s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Q209" i="1" s="1"/>
  <c r="P202" i="1"/>
  <c r="P209" i="1" s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Q199" i="1" s="1"/>
  <c r="P193" i="1"/>
  <c r="N193" i="1"/>
  <c r="M193" i="1"/>
  <c r="Q192" i="1"/>
  <c r="P192" i="1"/>
  <c r="P199" i="1" s="1"/>
  <c r="N192" i="1"/>
  <c r="M192" i="1"/>
  <c r="P189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Q189" i="1" s="1"/>
  <c r="P182" i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Q179" i="1" s="1"/>
  <c r="P172" i="1"/>
  <c r="P179" i="1" s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Q169" i="1" s="1"/>
  <c r="P163" i="1"/>
  <c r="N163" i="1"/>
  <c r="M163" i="1"/>
  <c r="Q162" i="1"/>
  <c r="P162" i="1"/>
  <c r="P169" i="1" s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Q159" i="1" s="1"/>
  <c r="P152" i="1"/>
  <c r="P159" i="1" s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Q149" i="1" s="1"/>
  <c r="P143" i="1"/>
  <c r="P149" i="1" s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Q139" i="1" s="1"/>
  <c r="P132" i="1"/>
  <c r="P139" i="1" s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Q129" i="1" s="1"/>
  <c r="P122" i="1"/>
  <c r="P129" i="1" s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Q119" i="1" s="1"/>
  <c r="P112" i="1"/>
  <c r="P119" i="1" s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Q109" i="1" s="1"/>
  <c r="P102" i="1"/>
  <c r="P109" i="1" s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P99" i="1" s="1"/>
  <c r="N94" i="1"/>
  <c r="M94" i="1"/>
  <c r="Q93" i="1"/>
  <c r="P93" i="1"/>
  <c r="N93" i="1"/>
  <c r="M93" i="1"/>
  <c r="Q92" i="1"/>
  <c r="Q99" i="1" s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P89" i="1" s="1"/>
  <c r="N84" i="1"/>
  <c r="M84" i="1"/>
  <c r="Q83" i="1"/>
  <c r="P83" i="1"/>
  <c r="N83" i="1"/>
  <c r="M83" i="1"/>
  <c r="Q82" i="1"/>
  <c r="Q89" i="1" s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Q79" i="1" s="1"/>
  <c r="P73" i="1"/>
  <c r="N73" i="1"/>
  <c r="M73" i="1"/>
  <c r="Q72" i="1"/>
  <c r="P72" i="1"/>
  <c r="P79" i="1" s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P69" i="1" s="1"/>
  <c r="N63" i="1"/>
  <c r="M63" i="1"/>
  <c r="Q62" i="1"/>
  <c r="Q69" i="1" s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Q59" i="1" s="1"/>
  <c r="P52" i="1"/>
  <c r="P59" i="1" s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49" i="1" l="1"/>
  <c r="Q49" i="1"/>
  <c r="X11" i="1"/>
  <c r="X6" i="1"/>
  <c r="X3" i="1"/>
  <c r="X2" i="1"/>
  <c r="X10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X54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A372" i="1" s="1"/>
  <c r="A382" i="1" s="1"/>
  <c r="A392" i="1" s="1"/>
  <c r="A402" i="1" s="1"/>
  <c r="A412" i="1" s="1"/>
  <c r="A422" i="1" s="1"/>
  <c r="A432" i="1" s="1"/>
  <c r="A442" i="1" s="1"/>
  <c r="A452" i="1" s="1"/>
  <c r="A462" i="1" s="1"/>
  <c r="A472" i="1" s="1"/>
  <c r="A482" i="1" s="1"/>
  <c r="A492" i="1" s="1"/>
  <c r="A502" i="1" s="1"/>
  <c r="A512" i="1" s="1"/>
  <c r="A522" i="1" s="1"/>
  <c r="A532" i="1" s="1"/>
  <c r="A542" i="1" s="1"/>
  <c r="T42" i="1"/>
  <c r="T43" i="1"/>
  <c r="K33" i="1" l="1"/>
  <c r="L33" i="1" s="1"/>
  <c r="L32" i="1"/>
  <c r="C32" i="1"/>
  <c r="I32" i="1" s="1"/>
  <c r="B33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R33" i="1" l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8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M36" i="1" l="1"/>
  <c r="B37" i="1"/>
  <c r="R35" i="1"/>
  <c r="P36" i="1" l="1"/>
  <c r="K37" i="1"/>
  <c r="L37" i="1" s="1"/>
  <c r="M37" i="1" s="1"/>
  <c r="Q36" i="1"/>
  <c r="N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K558" i="1"/>
  <c r="R558" i="1"/>
  <c r="R559" i="1" s="1"/>
  <c r="X553" i="1" s="1"/>
  <c r="T558" i="1" l="1"/>
  <c r="X554" i="1"/>
  <c r="Z5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<sst xmlns="http://schemas.openxmlformats.org/spreadsheetml/2006/main" count="1405" uniqueCount="100">
  <si>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</si>
  <si>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</si>
  <si>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</si>
  <si>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</si>
  <si>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</si>
  <si>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</si>
  <si>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</si>
  <si>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</si>
  <si>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</si>
  <si>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</si>
  <si>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</si>
  <si>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</si>
  <si>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</si>
  <si>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</si>
  <si>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</si>
  <si>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</si>
  <si>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</si>
  <si>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</si>
  <si>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</si>
  <si>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</si>
  <si>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</si>
  <si>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</si>
  <si>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</si>
  <si>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</si>
  <si>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</si>
  <si>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</si>
  <si>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</si>
  <si>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</si>
  <si>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</si>
  <si>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</si>
  <si>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</si>
  <si>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</si>
  <si>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STUNDENBILANZ</t>
  </si>
  <si>
    <t>KW</t>
  </si>
  <si>
    <t>Stundenaktualisierung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</si>
  <si>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</si>
  <si>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</si>
  <si>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</si>
  <si>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</si>
  <si>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</si>
  <si>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</si>
  <si>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</si>
  <si>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</si>
  <si>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</si>
  <si>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</si>
  <si>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</si>
  <si>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</si>
  <si>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</si>
  <si>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</si>
  <si>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</si>
  <si>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</si>
  <si>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</si>
  <si>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</si>
  <si>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</si>
  <si>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</si>
  <si>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</si>
  <si>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</si>
  <si>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</si>
  <si>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</si>
  <si>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</si>
  <si>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</si>
  <si>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1</t>
  </si>
  <si>
    <t>Template 2</t>
  </si>
  <si>
    <t>Template 4</t>
  </si>
  <si>
    <t>Template 3</t>
  </si>
  <si>
    <t>Bedienungsanleitung</t>
  </si>
  <si>
    <t>1.</t>
  </si>
  <si>
    <t>2.</t>
  </si>
  <si>
    <t>3.</t>
  </si>
  <si>
    <t>Weiter unten sieht man 4 "Templates" bzw. Muster. Dort kann man seine Arbeitszeitmodelle eintragen, um sie später dort herauszukopieren.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</si>
  <si>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</si>
  <si>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</si>
  <si>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</si>
  <si>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</si>
  <si>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Anschließend drückt man "Strg" + "c", scrollt zur gewünschten Woche, klickt dort die linke obere Ecke an und drückt "Strg" + "v".</t>
  </si>
  <si>
    <t>6.</t>
  </si>
  <si>
    <t>In jede Woche kopiert man bei "SOLL-Arbeitszeit" (linke Seite) das jeweilige Arbeitszeitmodell, das zu dieser Woche geplant ist,</t>
  </si>
  <si>
    <t>aus den "Templates" hinein.</t>
  </si>
  <si>
    <t>Anschließend schauen, ob man krank war oder Urlaub hatte:</t>
  </si>
  <si>
    <t>7.</t>
  </si>
  <si>
    <t>Zuletzt gilt es nur noch, tatsächlich passierten Arbeitsbeginn, Arbeitsende, Pausenzeit und eventuell zusätzlich gearbeitetes einzutragen!</t>
  </si>
  <si>
    <t>Viel Spaß!</t>
  </si>
  <si>
    <t>Achtung" An Feiertagen mit der Zusatzzeit aufpassen.</t>
  </si>
  <si>
    <t>Hat man dort ordentlich sein "F" vorher eingetragen, steht bei der Zusatzzeit schon die gutgeschriebene Zeit vom Feiertag.</t>
  </si>
  <si>
    <t>Hat man auf der entsprechenden linken Seite sein Arbeitszeitmodell hineinkopiert, kann man nun seine tatsächlichen Zeit rechts eintragen:</t>
  </si>
  <si>
    <t>Dazu zunächst für jeden Tag schauen, ob es ein Feiertag ist (sieht man am automatisch gelb markierten Datum):</t>
  </si>
  <si>
    <t>-&gt; Wenn man Urlaub hatte, dann in der Spalte "Eintragung" ein "U" hineinschreiben (wird automatisch blau markiert)</t>
  </si>
  <si>
    <t>-&gt; Wenn man krank war, dann in der Spalte "Eintragung" ein "K" hineinschreiben (wird automatisch rot markiert)</t>
  </si>
  <si>
    <t>-&gt; Wenn ja, dann in der Spalte "Eintragung" ein "F" hineinschreiben. (Außer an Silvester) (wird automatisch gelb markiert)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</si>
  <si>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</si>
  <si>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</si>
  <si>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</si>
  <si>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auf "Verschieben oder kopieren" gehen, auf "(ans Ende stellen)", bei "Kopie erstellen" einen Haken machen und "OK" drücken.</t>
  </si>
  <si>
    <t>Stundenbilanz vorheriges Jahr</t>
  </si>
  <si>
    <t>0.</t>
  </si>
  <si>
    <t>Falls das hier die Vorlagendatei ist, diese erst einmal kopieren und auf den eigenen Namen personalisieren!</t>
  </si>
  <si>
    <t>Zunächst unten das Blatt "VORLAGE_Zeiterfassung_20--" rechtsklicken,</t>
  </si>
  <si>
    <t>(z.B. für das Jahr 2025: "Zeiterfassung_2025").</t>
  </si>
  <si>
    <t>Das kopierte Blatt "VORLAGE_Zeiterfassung_20--" auswählen, rechtsklicken, auf "umbenennen" gehen und mit dem richtigen Jahr benennen</t>
  </si>
  <si>
    <t>Im Blatt selbst links oben das richtige Jahr eintragen. Gegebenenfalls weiter rechts die Gesamtstundenbilanz des letzten Jahres eintragen.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</si>
</sst>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13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3" fillId="9" borderId="6" xfId="0" applyFont="1" applyFill="1" applyBorder="1" applyAlignment="1">
      <alignment horizontal="left"/>
    </xf>
    <xf numFmtId="14" fontId="3" fillId="9" borderId="7" xfId="0" applyNumberFormat="1" applyFont="1" applyFill="1" applyBorder="1" applyAlignment="1">
      <alignment horizontal="right"/>
    </xf>
    <xf numFmtId="20" fontId="2" fillId="9" borderId="11" xfId="0" applyNumberFormat="1" applyFont="1" applyFill="1" applyBorder="1" applyAlignment="1">
      <alignment horizontal="right"/>
    </xf>
    <xf numFmtId="20" fontId="2" fillId="9" borderId="1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right"/>
    </xf>
    <xf numFmtId="20" fontId="2" fillId="9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right"/>
    </xf>
    <xf numFmtId="0" fontId="3" fillId="9" borderId="0" xfId="0" applyFont="1" applyFill="1" applyAlignment="1">
      <alignment horizontal="center"/>
    </xf>
    <xf numFmtId="14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9" borderId="0" xfId="0" applyFont="1" applyFill="1"/>
    <xf numFmtId="0" fontId="8" fillId="0" borderId="0" xfId="0" applyFont="1" applyAlignment="1">
      <alignment horizontal="center"/>
    </xf>
    <xf numFmtId="14" fontId="3" fillId="8" borderId="16" xfId="0" applyNumberFormat="1" applyFont="1" applyFill="1" applyBorder="1" applyAlignment="1">
      <alignment horizontal="center"/>
    </xf>
    <xf numFmtId="14" fontId="3" fillId="8" borderId="19" xfId="0" applyNumberFormat="1" applyFont="1" applyFill="1" applyBorder="1" applyAlignment="1">
      <alignment horizontal="center"/>
    </xf>
    <xf numFmtId="164" fontId="3" fillId="8" borderId="13" xfId="0" applyNumberFormat="1" applyFont="1" applyFill="1" applyBorder="1" applyAlignment="1">
      <alignment horizontal="center"/>
    </xf>
    <xf numFmtId="164" fontId="3" fillId="8" borderId="20" xfId="0" applyNumberFormat="1" applyFont="1" applyFill="1" applyBorder="1" applyAlignment="1">
      <alignment horizontal="center"/>
    </xf>
    <xf numFmtId="164" fontId="3" fillId="8" borderId="21" xfId="0" applyNumberFormat="1" applyFont="1" applyFill="1" applyBorder="1" applyAlignment="1">
      <alignment horizontal="center"/>
    </xf>
    <xf numFmtId="20" fontId="3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4" fontId="8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10" borderId="19" xfId="0" applyNumberFormat="1" applyFont="1" applyFill="1" applyBorder="1" applyAlignment="1">
      <alignment horizontal="center"/>
    </xf>
    <xf numFmtId="14" fontId="3" fillId="10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8" borderId="17" xfId="0" applyNumberFormat="1" applyFont="1" applyFill="1" applyBorder="1" applyAlignment="1">
      <alignment horizontal="center"/>
    </xf>
    <xf numFmtId="164" fontId="3" fillId="8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7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1" borderId="7" xfId="0" applyNumberFormat="1" applyFont="1" applyFill="1" applyBorder="1" applyAlignment="1">
      <alignment horizontal="right"/>
    </xf>
    <xf numFmtId="164" fontId="3" fillId="8" borderId="0" xfId="0" applyNumberFormat="1" applyFont="1" applyFill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0" fontId="9" fillId="9" borderId="0" xfId="0" applyFont="1" applyFill="1"/>
    <xf numFmtId="0" fontId="10" fillId="9" borderId="0" xfId="0" applyFont="1" applyFill="1"/>
    <xf numFmtId="0" fontId="11" fillId="9" borderId="0" xfId="0" applyFont="1" applyFill="1"/>
    <xf numFmtId="0" fontId="11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/>
    <xf numFmtId="0" fontId="14" fillId="9" borderId="0" xfId="0" applyFont="1" applyFill="1"/>
    <xf numFmtId="0" fontId="11" fillId="9" borderId="0" xfId="0" quotePrefix="1" applyFont="1" applyFill="1"/>
    <xf numFmtId="0" fontId="11" fillId="0" borderId="0" xfId="0" quotePrefix="1" applyFont="1"/>
    <xf numFmtId="0" fontId="9" fillId="12" borderId="0" xfId="0" applyFont="1" applyFill="1"/>
    <xf numFmtId="0" fontId="9" fillId="2" borderId="0" xfId="0" applyFont="1" applyFill="1"/>
    <xf numFmtId="0" fontId="9" fillId="13" borderId="0" xfId="0" applyFont="1" applyFill="1"/>
    <xf numFmtId="0" fontId="9" fillId="0" borderId="0" xfId="0" applyFont="1"/>
    <xf numFmtId="0" fontId="17" fillId="9" borderId="0" xfId="0" applyFont="1" applyFill="1" applyAlignment="1">
      <alignment horizontal="center"/>
    </xf>
    <xf numFmtId="0" fontId="17" fillId="9" borderId="0" xfId="0" applyFont="1" applyFill="1"/>
    <xf numFmtId="0" fontId="18" fillId="9" borderId="0" xfId="0" applyFont="1" applyFill="1"/>
    <xf numFmtId="0" fontId="16" fillId="9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9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20" fontId="3" fillId="9" borderId="15" xfId="0" applyNumberFormat="1" applyFont="1" applyFill="1" applyBorder="1" applyAlignment="1">
      <alignment horizontal="center"/>
    </xf>
    <xf numFmtId="20" fontId="3" fillId="9" borderId="18" xfId="0" applyNumberFormat="1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right"/>
    </xf>
  </cellXfs>
  <cellStyles count="2">
    <cellStyle name="Standard" xfId="0" builtinId="0"/>
    <cellStyle name="Stil 1" xfId="1" xr:uid="{DD23F44F-2314-4C09-8C74-223C55CC0E07}"/>
  </cellStyles>
  <dxfs count="177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2" dataDxfId="1770" headerRowBorderDxfId="1771" tableBorderDxfId="1769">
  <tableColumns count="8">
    <tableColumn id="1" xr3:uid="{5A6CD86A-53D2-4543-89EE-AA01630B906F}" name="Tag" dataDxfId="1768">
      <calculatedColumnFormula>TEXT(Tabelle121730301[[#This Row],[Datum]],"tttt")</calculatedColumnFormula>
    </tableColumn>
    <tableColumn id="2" xr3:uid="{E04B22CE-B70B-4794-BD76-40B384D495D3}" name="Datum" dataDxfId="1767"/>
    <tableColumn id="3" xr3:uid="{2054E7F2-FC95-4301-9FE8-CA47570E7F83}" name="Beginn" dataDxfId="1766">
      <calculatedColumnFormula>Tabelle121730[[#This Row],[Beginn]]</calculatedColumnFormula>
    </tableColumn>
    <tableColumn id="4" xr3:uid="{035D3708-F192-48E5-A5CA-C794D54CA04A}" name="Ende" dataDxfId="1765">
      <calculatedColumnFormula>Tabelle121730[[#This Row],[Ende]]</calculatedColumnFormula>
    </tableColumn>
    <tableColumn id="5" xr3:uid="{02006F45-78B5-4BFC-B1EF-93603CAA6E34}" name="Eintragung" dataDxfId="1764">
      <calculatedColumnFormula>F32</calculatedColumnFormula>
    </tableColumn>
    <tableColumn id="6" xr3:uid="{3EEA7A06-3F78-47F9-8B77-A2457BBF2908}" name="Pause" dataDxfId="1763"/>
    <tableColumn id="7" xr3:uid="{5D40E971-CC9B-48B2-833F-ED346516FC60}" name="Homeoffice/Zusatz" dataDxfId="1762">
      <calculatedColumnFormula>SUM(Q13:Q31)</calculatedColumnFormula>
    </tableColumn>
    <tableColumn id="8" xr3:uid="{7C7DFC8B-8143-4EE8-8BE9-A2FE3A181D07}" name="Summe Tagesarbeitszeit" dataDxfId="17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0" dataDxfId="1758" headerRowBorderDxfId="1759" tableBorderDxfId="1757">
  <tableColumns count="8">
    <tableColumn id="1" xr3:uid="{D4111217-AC54-4A72-867B-A0FDDE00DF32}" name="Tag" dataDxfId="1756">
      <calculatedColumnFormula>TEXT(Tabelle12173030297208[[#This Row],[Datum]],"tttt")</calculatedColumnFormula>
    </tableColumn>
    <tableColumn id="2" xr3:uid="{640501B1-177C-4701-887E-D57B0224E43D}" name="Datum" dataDxfId="1755"/>
    <tableColumn id="3" xr3:uid="{2C6A0D70-1447-4ECF-8C61-4CF949AAE738}" name="Beginn" dataDxfId="1754"/>
    <tableColumn id="4" xr3:uid="{6EF334FE-EF36-48F8-AC53-3ABD203DFBDA}" name="Ende" dataDxfId="1753">
      <calculatedColumnFormula>SUM(E35:E41)</calculatedColumnFormula>
    </tableColumn>
    <tableColumn id="5" xr3:uid="{681A6781-347A-4478-BB1D-51651226413E}" name="Eintragung" dataDxfId="1752"/>
    <tableColumn id="6" xr3:uid="{5C14A999-02AA-4088-9DAC-4FFBBD58C794}" name="Pause" dataDxfId="1751"/>
    <tableColumn id="7" xr3:uid="{95DFDB67-2A3D-4730-8E20-889BBA26588D}" name="Homeoffice/Zusatz" dataDxfId="1750">
      <calculatedColumnFormula>SUM(H35:H41)</calculatedColumnFormula>
    </tableColumn>
    <tableColumn id="8" xr3:uid="{50B34A7F-B190-4A1B-976D-835F4E5E97CF}" name="Summe Tagesarbeitszeit" dataDxfId="17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48" dataDxfId="1746" headerRowBorderDxfId="1747" tableBorderDxfId="1745">
  <tableColumns count="8">
    <tableColumn id="1" xr3:uid="{50841EFF-C76B-4530-968B-697F02619B20}" name="Tag" dataDxfId="1744">
      <calculatedColumnFormula>TEXT(Tabelle121730302622107109117209[[#This Row],[Datum]],"tttt")</calculatedColumnFormula>
    </tableColumn>
    <tableColumn id="2" xr3:uid="{408F769A-C973-4110-9C5C-847ED231F066}" name="Datum" dataDxfId="1743"/>
    <tableColumn id="3" xr3:uid="{B44D7BBE-D584-4337-B031-08FCF7A54688}" name="Beginn" dataDxfId="1742"/>
    <tableColumn id="4" xr3:uid="{FB67B3B9-D334-442B-A558-02CC69BF8A82}" name="Ende" dataDxfId="1741">
      <calculatedColumnFormula>SUM(E545:E551)</calculatedColumnFormula>
    </tableColumn>
    <tableColumn id="5" xr3:uid="{51024AED-FEEB-4E4F-BFA6-D42C46C42DA7}" name="Eintragung" dataDxfId="1740"/>
    <tableColumn id="6" xr3:uid="{B4D3C7EE-6C1A-49F1-A69E-14EE909933DF}" name="Pause" dataDxfId="1739"/>
    <tableColumn id="7" xr3:uid="{7CF665FE-58A2-468D-9A02-265E504045FF}" name="Homeoffice/Zusatz" dataDxfId="1738">
      <calculatedColumnFormula>SUM(H545:H551)</calculatedColumnFormula>
    </tableColumn>
    <tableColumn id="8" xr3:uid="{9D39BE3F-61F6-4BAD-A7A5-FD3EB1186E2B}" name="Summe Tagesarbeitszeit" dataDxfId="17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36" dataDxfId="1734" headerRowBorderDxfId="1735" tableBorderDxfId="1733">
  <tableColumns count="8">
    <tableColumn id="1" xr3:uid="{6C56B583-6161-42C2-A4D9-6F23E05EFF59}" name="Tag" dataDxfId="1732">
      <calculatedColumnFormula>TEXT(Tabelle121730[[#This Row],[Datum]],"tttt")</calculatedColumnFormula>
    </tableColumn>
    <tableColumn id="2" xr3:uid="{4689D30F-DFA7-4601-8673-4D70E897F9FD}" name="Datum" dataDxfId="1731"/>
    <tableColumn id="3" xr3:uid="{590234AF-6C62-4CE3-ACFE-0B193078ECF5}" name="Beginn" dataDxfId="1730"/>
    <tableColumn id="4" xr3:uid="{933CF409-73AE-4DFD-A502-F96C5EF30EEA}" name="Ende" dataDxfId="1729"/>
    <tableColumn id="5" xr3:uid="{876BB305-94D4-4D5D-AD85-D560981E02CB}" name="Eintragung" dataDxfId="1728"/>
    <tableColumn id="6" xr3:uid="{CE9D8321-3BF0-43BB-8936-2A20E4A5B337}" name="Pause" dataDxfId="1727"/>
    <tableColumn id="7" xr3:uid="{FEEEC0F0-839D-4BFA-91A3-72665864CBCA}" name="Homeoffice/Zusatz" dataDxfId="1726"/>
    <tableColumn id="8" xr3:uid="{CD6D7190-58B7-40C3-97D4-3FC3B753594C}" name="Summe Tagesarbeitszeit" dataDxfId="172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4" dataDxfId="1722" headerRowBorderDxfId="1723" tableBorderDxfId="1721">
  <tableColumns count="8">
    <tableColumn id="1" xr3:uid="{B843717A-FAD8-4BAA-97DF-A943F027B3FA}" name="Tag" dataDxfId="1720">
      <calculatedColumnFormula>TEXT(Tabelle121730302972083[[#This Row],[Datum]],"tttt")</calculatedColumnFormula>
    </tableColumn>
    <tableColumn id="2" xr3:uid="{FB4008D2-DB93-4781-8FC3-7D6E5543F320}" name="Datum" dataDxfId="1719"/>
    <tableColumn id="3" xr3:uid="{4910EE01-6EFE-496B-9324-8E5F2AFB7516}" name="Beginn" dataDxfId="1718"/>
    <tableColumn id="4" xr3:uid="{ABBD28EB-D70B-4DC3-A2AF-2B2D37BA8121}" name="Ende" dataDxfId="1717">
      <calculatedColumnFormula>SUM(E45:E51)</calculatedColumnFormula>
    </tableColumn>
    <tableColumn id="5" xr3:uid="{AD3B3E6A-5EE0-471A-A8E9-A5BCFB7613D2}" name="Eintragung" dataDxfId="1716"/>
    <tableColumn id="6" xr3:uid="{1A7A00B6-2955-4B13-8065-CBA59C7282F4}" name="Pause" dataDxfId="1715"/>
    <tableColumn id="7" xr3:uid="{FE94046A-9204-47DF-B76C-7870F89C3869}" name="Homeoffice/Zusatz" dataDxfId="1714">
      <calculatedColumnFormula>SUM(H45:H51)</calculatedColumnFormula>
    </tableColumn>
    <tableColumn id="8" xr3:uid="{32F6ADF8-E0ED-438E-8F66-1767EAD894FF}" name="Summe Tagesarbeitszeit" dataDxfId="17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2" dataDxfId="1710" headerRowBorderDxfId="1711" tableBorderDxfId="1709">
  <tableColumns count="8">
    <tableColumn id="1" xr3:uid="{A3E34D3C-3621-4601-88A8-51C23E9AF9C3}" name="Tag" dataDxfId="1708">
      <calculatedColumnFormula>TEXT(Tabelle121730302972084[[#This Row],[Datum]],"tttt")</calculatedColumnFormula>
    </tableColumn>
    <tableColumn id="2" xr3:uid="{83620748-A753-4C9C-A7D6-2BFA21D4F79E}" name="Datum" dataDxfId="1707"/>
    <tableColumn id="3" xr3:uid="{8CE0F005-935D-42DD-8242-5DF614329C7F}" name="Beginn" dataDxfId="1706"/>
    <tableColumn id="4" xr3:uid="{D5DFD9BD-C007-4CE6-A592-7543CF932C86}" name="Ende" dataDxfId="1705">
      <calculatedColumnFormula>SUM(E55:E61)</calculatedColumnFormula>
    </tableColumn>
    <tableColumn id="5" xr3:uid="{C7521458-9EFB-41B2-A085-05A2FB6FC7C4}" name="Eintragung" dataDxfId="1704"/>
    <tableColumn id="6" xr3:uid="{E017B8FA-B7A8-4540-AF02-0213E1C74485}" name="Pause" dataDxfId="1703"/>
    <tableColumn id="7" xr3:uid="{F40A2E5A-926A-4D89-8158-39AF95945408}" name="Homeoffice/Zusatz" dataDxfId="1702">
      <calculatedColumnFormula>SUM(H55:H61)</calculatedColumnFormula>
    </tableColumn>
    <tableColumn id="8" xr3:uid="{98EA9E47-49BC-4FDA-845B-C2226ADC1F1C}" name="Summe Tagesarbeitszeit" dataDxfId="170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0" dataDxfId="1698" headerRowBorderDxfId="1699" tableBorderDxfId="1697">
  <tableColumns count="8">
    <tableColumn id="1" xr3:uid="{2D9868C4-F67C-466D-BC45-44275FAE6180}" name="Tag" dataDxfId="1696">
      <calculatedColumnFormula>TEXT(Tabelle121730302972085[[#This Row],[Datum]],"tttt")</calculatedColumnFormula>
    </tableColumn>
    <tableColumn id="2" xr3:uid="{A26FEDE6-30F0-4471-9FB2-2CBD0A076158}" name="Datum" dataDxfId="1695"/>
    <tableColumn id="3" xr3:uid="{7E60BA66-564B-4B44-9D7E-9CCAD4D0CBAC}" name="Beginn" dataDxfId="1694"/>
    <tableColumn id="4" xr3:uid="{774F48C3-C282-41D2-9E12-736AED1359C8}" name="Ende" dataDxfId="1693">
      <calculatedColumnFormula>SUM(E65:E71)</calculatedColumnFormula>
    </tableColumn>
    <tableColumn id="5" xr3:uid="{59FFDCD2-EB81-467D-ADB3-90660A7FE377}" name="Eintragung" dataDxfId="1692"/>
    <tableColumn id="6" xr3:uid="{5A8475D0-1D28-4E78-949D-050EEA5A50E5}" name="Pause" dataDxfId="1691"/>
    <tableColumn id="7" xr3:uid="{9211F7EE-03B0-441B-AE3D-FDEC8BAD74AC}" name="Homeoffice/Zusatz" dataDxfId="1690">
      <calculatedColumnFormula>SUM(H65:H71)</calculatedColumnFormula>
    </tableColumn>
    <tableColumn id="8" xr3:uid="{D3028751-653D-4926-901D-512DDDB45BB6}" name="Summe Tagesarbeitszeit" dataDxfId="168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88" dataDxfId="1686" headerRowBorderDxfId="1687" tableBorderDxfId="1685">
  <tableColumns count="8">
    <tableColumn id="1" xr3:uid="{37E6621E-C9D3-4A3D-8F16-1FFFD83BBB1B}" name="Tag" dataDxfId="1684">
      <calculatedColumnFormula>TEXT(Tabelle121730302972086[[#This Row],[Datum]],"tttt")</calculatedColumnFormula>
    </tableColumn>
    <tableColumn id="2" xr3:uid="{3C9E7358-D4CC-4D45-AC08-2201EFB7666E}" name="Datum" dataDxfId="1683"/>
    <tableColumn id="3" xr3:uid="{F49D7600-0DB3-4525-9E2E-FEDBD4776356}" name="Beginn" dataDxfId="1682"/>
    <tableColumn id="4" xr3:uid="{A9E58932-1450-4A6F-8817-D6E853D54BB2}" name="Ende" dataDxfId="1681">
      <calculatedColumnFormula>SUM(E75:E81)</calculatedColumnFormula>
    </tableColumn>
    <tableColumn id="5" xr3:uid="{AFC46DF9-3549-4368-9FF6-9D15561E4EF8}" name="Eintragung" dataDxfId="1680"/>
    <tableColumn id="6" xr3:uid="{E117499F-B983-4545-9A12-DDC12D3B6914}" name="Pause" dataDxfId="1679"/>
    <tableColumn id="7" xr3:uid="{DD09FB94-95B8-44E7-BFFA-473543E4EE4A}" name="Homeoffice/Zusatz" dataDxfId="1678">
      <calculatedColumnFormula>SUM(H75:H81)</calculatedColumnFormula>
    </tableColumn>
    <tableColumn id="8" xr3:uid="{306ED56C-9E3C-4819-A427-7B1776569D9E}" name="Summe Tagesarbeitszeit" dataDxfId="167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76" dataDxfId="1674" headerRowBorderDxfId="1675" tableBorderDxfId="1673">
  <tableColumns count="8">
    <tableColumn id="1" xr3:uid="{AD784DB3-A674-4F44-B112-E8A79672BB83}" name="Tag" dataDxfId="1672">
      <calculatedColumnFormula>TEXT(Tabelle121730302972087[[#This Row],[Datum]],"tttt")</calculatedColumnFormula>
    </tableColumn>
    <tableColumn id="2" xr3:uid="{3A1D6848-CA09-48A8-9E01-C67279ECD875}" name="Datum" dataDxfId="1671"/>
    <tableColumn id="3" xr3:uid="{BF03ABE2-E684-4882-9D19-BBCAD4377BC7}" name="Beginn" dataDxfId="1670"/>
    <tableColumn id="4" xr3:uid="{F91411CF-63BC-428F-8C5B-6E60341BDE83}" name="Ende" dataDxfId="1669">
      <calculatedColumnFormula>SUM(E85:E91)</calculatedColumnFormula>
    </tableColumn>
    <tableColumn id="5" xr3:uid="{C938F560-800D-4170-91B9-04786D0E37D7}" name="Eintragung" dataDxfId="1668"/>
    <tableColumn id="6" xr3:uid="{7FD8576A-2789-4D7A-B4CD-D4ED6CF67B3D}" name="Pause" dataDxfId="1667"/>
    <tableColumn id="7" xr3:uid="{34521AAD-A40D-4621-9F41-AC1217009CB8}" name="Homeoffice/Zusatz" dataDxfId="1666">
      <calculatedColumnFormula>SUM(H85:H91)</calculatedColumnFormula>
    </tableColumn>
    <tableColumn id="8" xr3:uid="{60C24EBA-4839-4710-A183-B62D9CEA7848}" name="Summe Tagesarbeitszeit" dataDxfId="166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4" dataDxfId="1662" headerRowBorderDxfId="1663" tableBorderDxfId="1661">
  <tableColumns count="8">
    <tableColumn id="1" xr3:uid="{55EE6B8C-0BF6-4AE7-B1D0-DBA09B2AF095}" name="Tag" dataDxfId="1660">
      <calculatedColumnFormula>TEXT(Tabelle1217303029720838[[#This Row],[Datum]],"tttt")</calculatedColumnFormula>
    </tableColumn>
    <tableColumn id="2" xr3:uid="{877AC2B8-A2A0-4B23-8DC1-318EF53CBC7E}" name="Datum" dataDxfId="1659"/>
    <tableColumn id="3" xr3:uid="{5166BBD8-D9A2-4DE3-BF30-290BAE946737}" name="Beginn" dataDxfId="1658"/>
    <tableColumn id="4" xr3:uid="{07D15E99-6E33-47F8-B085-D620C2ED1ABB}" name="Ende" dataDxfId="1657">
      <calculatedColumnFormula>SUM(E95:E101)</calculatedColumnFormula>
    </tableColumn>
    <tableColumn id="5" xr3:uid="{49766A01-EF8A-43BB-B932-3BBFE992444A}" name="Eintragung" dataDxfId="1656"/>
    <tableColumn id="6" xr3:uid="{AD76A18F-E36C-4D11-B144-BE05D9E0BCD3}" name="Pause" dataDxfId="1655"/>
    <tableColumn id="7" xr3:uid="{53AB41EF-2F4A-469E-8624-B6C5A491831E}" name="Homeoffice/Zusatz" dataDxfId="1654">
      <calculatedColumnFormula>SUM(H95:H101)</calculatedColumnFormula>
    </tableColumn>
    <tableColumn id="8" xr3:uid="{127DAC08-E2C4-4CCD-8CF1-53C4ACBCABEA}" name="Summe Tagesarbeitszeit" dataDxfId="165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2" dataDxfId="1650" headerRowBorderDxfId="1651" tableBorderDxfId="1649">
  <tableColumns count="8">
    <tableColumn id="1" xr3:uid="{EEA4C81E-C307-4E56-883D-BDC9F7EE46DB}" name="Tag" dataDxfId="1648">
      <calculatedColumnFormula>TEXT(Tabelle1217303029720849[[#This Row],[Datum]],"tttt")</calculatedColumnFormula>
    </tableColumn>
    <tableColumn id="2" xr3:uid="{6D7E91EF-F5CA-43C4-BAB8-8CD858E65CBD}" name="Datum" dataDxfId="1647"/>
    <tableColumn id="3" xr3:uid="{279DA3E7-5F0B-40C0-BDAB-68E46F322A4B}" name="Beginn" dataDxfId="1646"/>
    <tableColumn id="4" xr3:uid="{BE01B1AF-E224-4477-9474-1FD655CEBBFE}" name="Ende" dataDxfId="1645">
      <calculatedColumnFormula>SUM(E105:E111)</calculatedColumnFormula>
    </tableColumn>
    <tableColumn id="5" xr3:uid="{CFC21BAD-B823-42C8-8B4D-5F8C81AF1BB1}" name="Eintragung" dataDxfId="1644"/>
    <tableColumn id="6" xr3:uid="{47FBC378-F675-46A4-B3FD-55DD696E6E16}" name="Pause" dataDxfId="1643"/>
    <tableColumn id="7" xr3:uid="{7801E1A0-D23A-474A-9558-75BD27D61905}" name="Homeoffice/Zusatz" dataDxfId="1642">
      <calculatedColumnFormula>SUM(H105:H111)</calculatedColumnFormula>
    </tableColumn>
    <tableColumn id="8" xr3:uid="{126FE688-0D3B-4143-A601-1F13FD69A210}" name="Summe Tagesarbeitszeit" dataDxfId="164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0" dataDxfId="1638" headerRowBorderDxfId="1639" tableBorderDxfId="1637">
  <tableColumns count="8">
    <tableColumn id="1" xr3:uid="{AA680C9B-17A7-4505-835C-0638AA0EA8CC}" name="Tag" dataDxfId="1636">
      <calculatedColumnFormula>TEXT(Tabelle1217303029720810[[#This Row],[Datum]],"tttt")</calculatedColumnFormula>
    </tableColumn>
    <tableColumn id="2" xr3:uid="{CA10E77B-F842-4EF7-AD3B-3D212BAA5F5B}" name="Datum" dataDxfId="1635"/>
    <tableColumn id="3" xr3:uid="{9D43C789-C067-49E4-A380-7013E6FC5810}" name="Beginn" dataDxfId="1634"/>
    <tableColumn id="4" xr3:uid="{084597C3-FFA7-43E6-8CF6-66991CBE775A}" name="Ende" dataDxfId="1633">
      <calculatedColumnFormula>SUM(E115:E121)</calculatedColumnFormula>
    </tableColumn>
    <tableColumn id="5" xr3:uid="{3169FFB8-E2DD-418E-B75B-78AE5FC0B7F8}" name="Eintragung" dataDxfId="1632"/>
    <tableColumn id="6" xr3:uid="{78EBB02F-1177-432F-B628-1C58154B6314}" name="Pause" dataDxfId="1631"/>
    <tableColumn id="7" xr3:uid="{08F08734-3B89-44BF-997A-A8223FF608B6}" name="Homeoffice/Zusatz" dataDxfId="1630">
      <calculatedColumnFormula>SUM(H115:H121)</calculatedColumnFormula>
    </tableColumn>
    <tableColumn id="8" xr3:uid="{A1D3C5E8-E0DB-4923-8668-3BAE443CBC15}" name="Summe Tagesarbeitszeit" dataDxfId="162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28" dataDxfId="1626" headerRowBorderDxfId="1627" tableBorderDxfId="1625">
  <tableColumns count="8">
    <tableColumn id="1" xr3:uid="{0DF33955-E5B8-49D1-A6CF-252036001DCF}" name="Tag" dataDxfId="1624">
      <calculatedColumnFormula>TEXT(Tabelle12173030297208311[[#This Row],[Datum]],"tttt")</calculatedColumnFormula>
    </tableColumn>
    <tableColumn id="2" xr3:uid="{836E3504-E9A0-4EF1-8ED1-52C919F52814}" name="Datum" dataDxfId="1623"/>
    <tableColumn id="3" xr3:uid="{10D2A8EC-9F3A-4F55-B68E-AA845508A503}" name="Beginn" dataDxfId="1622"/>
    <tableColumn id="4" xr3:uid="{D22BFC78-F0D7-4A5D-8372-2B05A056ADF4}" name="Ende" dataDxfId="1621">
      <calculatedColumnFormula>SUM(E125:E131)</calculatedColumnFormula>
    </tableColumn>
    <tableColumn id="5" xr3:uid="{A5308834-9C67-4444-ACDF-4D43E6E1631E}" name="Eintragung" dataDxfId="1620"/>
    <tableColumn id="6" xr3:uid="{0B458959-04B5-4419-8F76-BE94C4715434}" name="Pause" dataDxfId="1619"/>
    <tableColumn id="7" xr3:uid="{2635EE68-C8A2-4745-A86A-6AB3046AB482}" name="Homeoffice/Zusatz" dataDxfId="1618">
      <calculatedColumnFormula>SUM(H125:H131)</calculatedColumnFormula>
    </tableColumn>
    <tableColumn id="8" xr3:uid="{D6DB9623-E1B4-4114-BF81-CE6932F29468}" name="Summe Tagesarbeitszeit" dataDxfId="161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16" dataDxfId="1614" headerRowBorderDxfId="1615" tableBorderDxfId="1613">
  <tableColumns count="8">
    <tableColumn id="1" xr3:uid="{D5407D55-851B-4368-8363-D284E803EE47}" name="Tag" dataDxfId="1612">
      <calculatedColumnFormula>TEXT(Tabelle12173030297208412[[#This Row],[Datum]],"tttt")</calculatedColumnFormula>
    </tableColumn>
    <tableColumn id="2" xr3:uid="{31724FA6-42AB-4A98-9649-6DC8F3278825}" name="Datum" dataDxfId="1611"/>
    <tableColumn id="3" xr3:uid="{696F3533-5862-4A1B-9A2A-525982B45833}" name="Beginn" dataDxfId="1610"/>
    <tableColumn id="4" xr3:uid="{8674F842-1547-4475-8C41-B4B271377096}" name="Ende" dataDxfId="1609">
      <calculatedColumnFormula>SUM(E135:E141)</calculatedColumnFormula>
    </tableColumn>
    <tableColumn id="5" xr3:uid="{3383188E-8AA5-45C5-9AF0-A2BC1316354B}" name="Eintragung" dataDxfId="1608"/>
    <tableColumn id="6" xr3:uid="{C47802FD-F2AB-48F4-8965-BC3DB338E918}" name="Pause" dataDxfId="1607"/>
    <tableColumn id="7" xr3:uid="{9332B7D8-00CE-48D7-817C-84A5958A48FD}" name="Homeoffice/Zusatz" dataDxfId="1606">
      <calculatedColumnFormula>SUM(H135:H141)</calculatedColumnFormula>
    </tableColumn>
    <tableColumn id="8" xr3:uid="{22CB0B57-FFA7-4303-B51C-1D72FCF4367C}" name="Summe Tagesarbeitszeit" dataDxfId="160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4" dataDxfId="1602" headerRowBorderDxfId="1603" tableBorderDxfId="1601">
  <tableColumns count="8">
    <tableColumn id="1" xr3:uid="{699BBD68-6AF3-4CDE-B6A5-1F84875103BF}" name="Tag" dataDxfId="1600">
      <calculatedColumnFormula>TEXT(Tabelle1217303029720813[[#This Row],[Datum]],"tttt")</calculatedColumnFormula>
    </tableColumn>
    <tableColumn id="2" xr3:uid="{C89AD4CC-6A1A-4CDC-9AF5-A495194B814E}" name="Datum" dataDxfId="1599"/>
    <tableColumn id="3" xr3:uid="{43C25ABB-DC59-4617-92DA-A28BA2FE3782}" name="Beginn" dataDxfId="1598"/>
    <tableColumn id="4" xr3:uid="{3D7FBA39-B7A7-4D56-BE0C-CF1CA1DC9F6B}" name="Ende" dataDxfId="1597">
      <calculatedColumnFormula>SUM(E145:E151)</calculatedColumnFormula>
    </tableColumn>
    <tableColumn id="5" xr3:uid="{A4EB2EA1-BC2E-4AE8-81B3-E37F0EC8E68F}" name="Eintragung" dataDxfId="1596"/>
    <tableColumn id="6" xr3:uid="{6BD092C5-BF9C-490B-8907-EA580A3D1B91}" name="Pause" dataDxfId="1595"/>
    <tableColumn id="7" xr3:uid="{F9F35663-B1C8-468E-841E-066A9674A6E3}" name="Homeoffice/Zusatz" dataDxfId="1594">
      <calculatedColumnFormula>SUM(H145:H151)</calculatedColumnFormula>
    </tableColumn>
    <tableColumn id="8" xr3:uid="{A32342B0-CE95-4099-B803-E559679A3D56}" name="Summe Tagesarbeitszeit" dataDxfId="159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2" dataDxfId="1590" headerRowBorderDxfId="1591" tableBorderDxfId="1589">
  <tableColumns count="8">
    <tableColumn id="1" xr3:uid="{788D866B-B453-4BBE-BEB6-B20081ABE2D8}" name="Tag" dataDxfId="1588">
      <calculatedColumnFormula>TEXT(Tabelle12173030297208314[[#This Row],[Datum]],"tttt")</calculatedColumnFormula>
    </tableColumn>
    <tableColumn id="2" xr3:uid="{C76A406B-3DA6-4BA1-9147-DBC5F9EE8D22}" name="Datum" dataDxfId="1587"/>
    <tableColumn id="3" xr3:uid="{B6622FA5-2AA2-42DC-B9AD-0E31E3CE3E98}" name="Beginn" dataDxfId="1586"/>
    <tableColumn id="4" xr3:uid="{0B708489-20B8-4849-9DC1-A2E25866514D}" name="Ende" dataDxfId="1585">
      <calculatedColumnFormula>SUM(E155:E161)</calculatedColumnFormula>
    </tableColumn>
    <tableColumn id="5" xr3:uid="{060D6A40-C268-425D-A435-86DB0E774298}" name="Eintragung" dataDxfId="1584"/>
    <tableColumn id="6" xr3:uid="{0227F442-37D1-43A7-A01C-E18BECEB76BF}" name="Pause" dataDxfId="1583"/>
    <tableColumn id="7" xr3:uid="{26CDB8FF-58C1-4103-A9A0-465C013AAF91}" name="Homeoffice/Zusatz" dataDxfId="1582">
      <calculatedColumnFormula>SUM(H155:H161)</calculatedColumnFormula>
    </tableColumn>
    <tableColumn id="8" xr3:uid="{1C18135A-5FF1-4FAE-A605-9F98C2C957E1}" name="Summe Tagesarbeitszeit" dataDxfId="158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0" dataDxfId="1578" headerRowBorderDxfId="1579" tableBorderDxfId="1577">
  <tableColumns count="8">
    <tableColumn id="1" xr3:uid="{C823AE45-2525-4403-980D-128DAC19A745}" name="Tag" dataDxfId="1576">
      <calculatedColumnFormula>TEXT(Tabelle12173030297208415[[#This Row],[Datum]],"tttt")</calculatedColumnFormula>
    </tableColumn>
    <tableColumn id="2" xr3:uid="{77C4BEDB-E160-4DA3-A1B0-74E237C99507}" name="Datum" dataDxfId="1575"/>
    <tableColumn id="3" xr3:uid="{CC3BB2EF-0538-4EAF-9CD1-EEAF66C8147B}" name="Beginn" dataDxfId="1574"/>
    <tableColumn id="4" xr3:uid="{419FBD6D-BF75-4C91-BA29-B33235FC3B9C}" name="Ende" dataDxfId="1573">
      <calculatedColumnFormula>SUM(E165:E171)</calculatedColumnFormula>
    </tableColumn>
    <tableColumn id="5" xr3:uid="{E076CA85-A10F-4EAB-9DCE-FC0D83753AA7}" name="Eintragung" dataDxfId="1572"/>
    <tableColumn id="6" xr3:uid="{19DCD01F-9486-4946-96DC-F5E10AAC5FB8}" name="Pause" dataDxfId="1571"/>
    <tableColumn id="7" xr3:uid="{0464F5A9-C3CA-4F41-ADE2-57894DBE2F3F}" name="Homeoffice/Zusatz" dataDxfId="1570">
      <calculatedColumnFormula>SUM(H165:H171)</calculatedColumnFormula>
    </tableColumn>
    <tableColumn id="8" xr3:uid="{C03D3619-2956-4E1F-B0FE-E991AE949858}" name="Summe Tagesarbeitszeit" dataDxfId="156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68" dataDxfId="1566" headerRowBorderDxfId="1567" tableBorderDxfId="1565">
  <tableColumns count="8">
    <tableColumn id="1" xr3:uid="{1FB24F4F-514B-4D3E-8DDC-13008E524457}" name="Tag" dataDxfId="1564">
      <calculatedColumnFormula>TEXT(Tabelle1217303029720816[[#This Row],[Datum]],"tttt")</calculatedColumnFormula>
    </tableColumn>
    <tableColumn id="2" xr3:uid="{9D96AE68-4278-40B4-AB2C-D1ADE9C96F24}" name="Datum" dataDxfId="1563"/>
    <tableColumn id="3" xr3:uid="{6A53DB86-B744-4370-84A8-48CF3042118F}" name="Beginn" dataDxfId="1562"/>
    <tableColumn id="4" xr3:uid="{9FC06366-3AF0-4E0A-B8A5-8D4C43BF963D}" name="Ende" dataDxfId="1561">
      <calculatedColumnFormula>SUM(E175:E181)</calculatedColumnFormula>
    </tableColumn>
    <tableColumn id="5" xr3:uid="{805797C5-512C-49E4-8D0C-64C81B5FF8E9}" name="Eintragung" dataDxfId="1560"/>
    <tableColumn id="6" xr3:uid="{C4D5F361-761F-492C-9987-56C47FFF536E}" name="Pause" dataDxfId="1559"/>
    <tableColumn id="7" xr3:uid="{202EA4EE-073C-444E-81B9-A027C0277A90}" name="Homeoffice/Zusatz" dataDxfId="1558">
      <calculatedColumnFormula>SUM(H175:H181)</calculatedColumnFormula>
    </tableColumn>
    <tableColumn id="8" xr3:uid="{7AA1288A-7675-4E0C-B831-AE4FDFDC93B0}" name="Summe Tagesarbeitszeit" dataDxfId="155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56" dataDxfId="1554" headerRowBorderDxfId="1555" tableBorderDxfId="1553">
  <tableColumns count="8">
    <tableColumn id="1" xr3:uid="{AD58D0A3-23DF-4AF5-806B-8D98E4E77C56}" name="Tag" dataDxfId="1552">
      <calculatedColumnFormula>TEXT(Tabelle12173030297208317[[#This Row],[Datum]],"tttt")</calculatedColumnFormula>
    </tableColumn>
    <tableColumn id="2" xr3:uid="{CC4C88E8-3C8E-4AA4-A473-E298A146F533}" name="Datum" dataDxfId="1551"/>
    <tableColumn id="3" xr3:uid="{0D4BB4C5-3C11-4A86-8892-8D272B83D213}" name="Beginn" dataDxfId="1550"/>
    <tableColumn id="4" xr3:uid="{957E08F2-6D1B-4AD1-A242-BCE5A260147E}" name="Ende" dataDxfId="1549">
      <calculatedColumnFormula>SUM(E185:E191)</calculatedColumnFormula>
    </tableColumn>
    <tableColumn id="5" xr3:uid="{724AE3F2-BFC2-459E-A05B-DBCB5C69130D}" name="Eintragung" dataDxfId="1548"/>
    <tableColumn id="6" xr3:uid="{34A29602-C44B-403B-908B-DA5E7A40D5DE}" name="Pause" dataDxfId="1547"/>
    <tableColumn id="7" xr3:uid="{CBF81E64-E4BE-4169-955F-EEE965744DEF}" name="Homeoffice/Zusatz" dataDxfId="1546">
      <calculatedColumnFormula>SUM(H185:H191)</calculatedColumnFormula>
    </tableColumn>
    <tableColumn id="8" xr3:uid="{009ACF1F-3802-4EB5-BBE5-4A544559B2FC}" name="Summe Tagesarbeitszeit" dataDxfId="154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4" dataDxfId="1542" headerRowBorderDxfId="1543" tableBorderDxfId="1541">
  <tableColumns count="8">
    <tableColumn id="1" xr3:uid="{51509109-A4B5-43C5-A55E-A88943311D16}" name="Tag" dataDxfId="1540">
      <calculatedColumnFormula>TEXT(Tabelle12173030297208418[[#This Row],[Datum]],"tttt")</calculatedColumnFormula>
    </tableColumn>
    <tableColumn id="2" xr3:uid="{D4EFD17C-3F56-4EED-9067-91F09F5C9811}" name="Datum" dataDxfId="1539"/>
    <tableColumn id="3" xr3:uid="{244F1947-4621-4F83-B586-7CC6C1D87C13}" name="Beginn" dataDxfId="1538"/>
    <tableColumn id="4" xr3:uid="{79FD7CD6-E311-4F67-B132-9638030462C3}" name="Ende" dataDxfId="1537">
      <calculatedColumnFormula>SUM(E195:E201)</calculatedColumnFormula>
    </tableColumn>
    <tableColumn id="5" xr3:uid="{CF85A199-5C11-414A-933E-0BE04F0F5C7A}" name="Eintragung" dataDxfId="1536"/>
    <tableColumn id="6" xr3:uid="{E0F7F6B9-3EB5-48F1-82AE-C21B64BD7B6B}" name="Pause" dataDxfId="1535"/>
    <tableColumn id="7" xr3:uid="{C796E0E0-398B-46EF-8312-1F1BE615906D}" name="Homeoffice/Zusatz" dataDxfId="1534">
      <calculatedColumnFormula>SUM(H195:H201)</calculatedColumnFormula>
    </tableColumn>
    <tableColumn id="8" xr3:uid="{76502CF7-D49B-44B5-BB8F-A5C8882D2BC6}" name="Summe Tagesarbeitszeit" dataDxfId="153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2" dataDxfId="1530" headerRowBorderDxfId="1531" tableBorderDxfId="1529">
  <tableColumns count="8">
    <tableColumn id="1" xr3:uid="{9F798CEE-CBB0-4C73-8173-D3FEBD26A6B9}" name="Tag" dataDxfId="1528">
      <calculatedColumnFormula>TEXT(Tabelle1217303029720819[[#This Row],[Datum]],"tttt")</calculatedColumnFormula>
    </tableColumn>
    <tableColumn id="2" xr3:uid="{0D25F6C8-753F-483C-85CC-62239720A073}" name="Datum" dataDxfId="1527"/>
    <tableColumn id="3" xr3:uid="{9B308E0C-25F2-43E3-AC5D-E2D80A508C1F}" name="Beginn" dataDxfId="1526"/>
    <tableColumn id="4" xr3:uid="{8EFEFBBA-DFD0-4DB5-BDA8-4DB0CCEB9313}" name="Ende" dataDxfId="1525">
      <calculatedColumnFormula>SUM(E205:E211)</calculatedColumnFormula>
    </tableColumn>
    <tableColumn id="5" xr3:uid="{2D6E61CB-0AFE-49CE-8CE8-3A15DA37106F}" name="Eintragung" dataDxfId="1524"/>
    <tableColumn id="6" xr3:uid="{0362292D-5B60-47E9-AC40-1B811F83ED93}" name="Pause" dataDxfId="1523"/>
    <tableColumn id="7" xr3:uid="{E54AD878-796E-4538-96AA-1BA578A0E001}" name="Homeoffice/Zusatz" dataDxfId="1522">
      <calculatedColumnFormula>SUM(H205:H211)</calculatedColumnFormula>
    </tableColumn>
    <tableColumn id="8" xr3:uid="{55D22C81-64D4-40CF-B661-0D067963064A}" name="Summe Tagesarbeitszeit" dataDxfId="152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0" dataDxfId="1518" headerRowBorderDxfId="1519" tableBorderDxfId="1517">
  <tableColumns count="8">
    <tableColumn id="1" xr3:uid="{D898F3EB-C362-4795-8CE0-04FDC9E8C8A0}" name="Tag" dataDxfId="1516">
      <calculatedColumnFormula>TEXT(Tabelle12173030297208320[[#This Row],[Datum]],"tttt")</calculatedColumnFormula>
    </tableColumn>
    <tableColumn id="2" xr3:uid="{DAF35592-210A-4070-8E41-E4D8C1D16A7F}" name="Datum" dataDxfId="1515"/>
    <tableColumn id="3" xr3:uid="{AAECC6A8-C39E-472E-A2A7-4688BE84B4BB}" name="Beginn" dataDxfId="1514"/>
    <tableColumn id="4" xr3:uid="{8355B0B0-E215-42C5-8820-A888AB53CDCD}" name="Ende" dataDxfId="1513">
      <calculatedColumnFormula>SUM(E215:E221)</calculatedColumnFormula>
    </tableColumn>
    <tableColumn id="5" xr3:uid="{A2460663-8EC9-4D74-BAC8-F6AD15D3FB78}" name="Eintragung" dataDxfId="1512"/>
    <tableColumn id="6" xr3:uid="{D0F72D1A-E436-4F30-8C3C-54A5FBADBE78}" name="Pause" dataDxfId="1511"/>
    <tableColumn id="7" xr3:uid="{D92CFA33-842E-4B74-A725-2ADD753DF754}" name="Homeoffice/Zusatz" dataDxfId="1510">
      <calculatedColumnFormula>SUM(H215:H221)</calculatedColumnFormula>
    </tableColumn>
    <tableColumn id="8" xr3:uid="{1E8344E7-9607-4BBD-A220-A2C8ED61B7E4}" name="Summe Tagesarbeitszeit" dataDxfId="150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08" dataDxfId="1506" headerRowBorderDxfId="1507" tableBorderDxfId="1505">
  <tableColumns count="8">
    <tableColumn id="1" xr3:uid="{1895FA56-0B40-4AEB-9370-9D10A76AD755}" name="Tag" dataDxfId="1504">
      <calculatedColumnFormula>TEXT(Tabelle12173030297208421[[#This Row],[Datum]],"tttt")</calculatedColumnFormula>
    </tableColumn>
    <tableColumn id="2" xr3:uid="{E50170D2-901B-49CC-AECA-AB0F044DDD3D}" name="Datum" dataDxfId="1503"/>
    <tableColumn id="3" xr3:uid="{0D84E5ED-33D4-4696-AB47-D5859691465E}" name="Beginn" dataDxfId="1502"/>
    <tableColumn id="4" xr3:uid="{E6C95861-7DB0-4348-8B85-027A067BADAA}" name="Ende" dataDxfId="1501">
      <calculatedColumnFormula>SUM(E225:E231)</calculatedColumnFormula>
    </tableColumn>
    <tableColumn id="5" xr3:uid="{6E54CF09-AB85-4E54-A73A-4801EA3B5232}" name="Eintragung" dataDxfId="1500"/>
    <tableColumn id="6" xr3:uid="{04F9495E-8CF0-421E-8F20-7FEAA582573E}" name="Pause" dataDxfId="1499"/>
    <tableColumn id="7" xr3:uid="{B0B309AA-407E-4E3B-BBC9-D8E0FF146A27}" name="Homeoffice/Zusatz" dataDxfId="1498">
      <calculatedColumnFormula>SUM(H225:H231)</calculatedColumnFormula>
    </tableColumn>
    <tableColumn id="8" xr3:uid="{984B470A-596E-446A-BDFB-A301859D5EAE}" name="Summe Tagesarbeitszeit" dataDxfId="149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496" dataDxfId="1494" headerRowBorderDxfId="1495" tableBorderDxfId="1493">
  <tableColumns count="8">
    <tableColumn id="1" xr3:uid="{03543446-1FFC-4426-ACCE-C2F7E5E06365}" name="Tag" dataDxfId="1492">
      <calculatedColumnFormula>TEXT(Tabelle1217303029720822[[#This Row],[Datum]],"tttt")</calculatedColumnFormula>
    </tableColumn>
    <tableColumn id="2" xr3:uid="{FA1A7EC3-D438-465A-AC90-B2B6540A6D07}" name="Datum" dataDxfId="1491"/>
    <tableColumn id="3" xr3:uid="{1E431EE6-D9DF-4B4E-B99E-2C68F713D5D5}" name="Beginn" dataDxfId="1490"/>
    <tableColumn id="4" xr3:uid="{5B519198-B019-471F-ADFD-6D98EAC93431}" name="Ende" dataDxfId="1489">
      <calculatedColumnFormula>SUM(E235:E241)</calculatedColumnFormula>
    </tableColumn>
    <tableColumn id="5" xr3:uid="{385B9D50-F950-4B75-AEFA-2ED10EEF6712}" name="Eintragung" dataDxfId="1488"/>
    <tableColumn id="6" xr3:uid="{64A62E3A-76B3-48C8-AB91-99301BE74C39}" name="Pause" dataDxfId="1487"/>
    <tableColumn id="7" xr3:uid="{0EAF0ECC-72F8-41EC-81BC-45D4B5816427}" name="Homeoffice/Zusatz" dataDxfId="1486">
      <calculatedColumnFormula>SUM(H235:H241)</calculatedColumnFormula>
    </tableColumn>
    <tableColumn id="8" xr3:uid="{D65C7E8F-54AF-49FD-9112-2F9A1452D8B7}" name="Summe Tagesarbeitszeit" dataDxfId="148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4" dataDxfId="1482" headerRowBorderDxfId="1483" tableBorderDxfId="1481">
  <tableColumns count="8">
    <tableColumn id="1" xr3:uid="{D9F4F470-D1C2-4638-BFA9-7DACC82ABAB1}" name="Tag" dataDxfId="1480">
      <calculatedColumnFormula>TEXT(Tabelle12173030297208323[[#This Row],[Datum]],"tttt")</calculatedColumnFormula>
    </tableColumn>
    <tableColumn id="2" xr3:uid="{305532F6-148F-4FFE-9D77-6C5157D0DF68}" name="Datum" dataDxfId="1479"/>
    <tableColumn id="3" xr3:uid="{71DE9F29-EB51-4521-B0A0-7014AB0BFCB7}" name="Beginn" dataDxfId="1478"/>
    <tableColumn id="4" xr3:uid="{74736FFC-492B-4076-B366-CDD9767F38BE}" name="Ende" dataDxfId="1477">
      <calculatedColumnFormula>SUM(E245:E251)</calculatedColumnFormula>
    </tableColumn>
    <tableColumn id="5" xr3:uid="{E8A80328-BA80-4600-99A2-169828C0E521}" name="Eintragung" dataDxfId="1476"/>
    <tableColumn id="6" xr3:uid="{666B4FD0-15EF-443E-96D4-DA733AD71826}" name="Pause" dataDxfId="1475"/>
    <tableColumn id="7" xr3:uid="{08D1096A-CBD7-4A1C-9657-B3F126EFD4D7}" name="Homeoffice/Zusatz" dataDxfId="1474">
      <calculatedColumnFormula>SUM(H245:H251)</calculatedColumnFormula>
    </tableColumn>
    <tableColumn id="8" xr3:uid="{A6D444FE-6890-42FA-8EDF-8E822762B16D}" name="Summe Tagesarbeitszeit" dataDxfId="147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2" dataDxfId="1470" headerRowBorderDxfId="1471" tableBorderDxfId="1469">
  <tableColumns count="8">
    <tableColumn id="1" xr3:uid="{D48B8BB5-213C-4ABE-A60F-BA2E19E10085}" name="Tag" dataDxfId="1468">
      <calculatedColumnFormula>TEXT(Tabelle12173030297208424[[#This Row],[Datum]],"tttt")</calculatedColumnFormula>
    </tableColumn>
    <tableColumn id="2" xr3:uid="{D7B04CA5-0297-4183-93F7-73BADD3EC01A}" name="Datum" dataDxfId="1467"/>
    <tableColumn id="3" xr3:uid="{AAE8A21A-104F-4634-94DD-46CDBCF95AA8}" name="Beginn" dataDxfId="1466"/>
    <tableColumn id="4" xr3:uid="{873BC0BE-AF15-45C5-BE73-E099ADB0BFF5}" name="Ende" dataDxfId="1465">
      <calculatedColumnFormula>SUM(E255:E261)</calculatedColumnFormula>
    </tableColumn>
    <tableColumn id="5" xr3:uid="{BE61B455-252F-4954-9DB7-2C4F4E388910}" name="Eintragung" dataDxfId="1464"/>
    <tableColumn id="6" xr3:uid="{B1F27E90-087E-4431-B8A9-F13067DE2941}" name="Pause" dataDxfId="1463"/>
    <tableColumn id="7" xr3:uid="{6176A618-ED9D-4188-AEC0-58B66F0D0A25}" name="Homeoffice/Zusatz" dataDxfId="1462">
      <calculatedColumnFormula>SUM(H255:H261)</calculatedColumnFormula>
    </tableColumn>
    <tableColumn id="8" xr3:uid="{D1328545-DCCB-40A9-AA77-0E570802F6AA}" name="Summe Tagesarbeitszeit" dataDxfId="146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0" dataDxfId="1458" headerRowBorderDxfId="1459" tableBorderDxfId="1457">
  <tableColumns count="8">
    <tableColumn id="1" xr3:uid="{F9BA2555-83A0-4BB6-89A0-9E0C4FA3BE9C}" name="Tag" dataDxfId="1456">
      <calculatedColumnFormula>TEXT(Tabelle1217303029720825[[#This Row],[Datum]],"tttt")</calculatedColumnFormula>
    </tableColumn>
    <tableColumn id="2" xr3:uid="{3235BD80-3712-4622-890D-3826DDF37F2A}" name="Datum" dataDxfId="1455"/>
    <tableColumn id="3" xr3:uid="{3F540362-D739-475E-B468-C069F513F11E}" name="Beginn" dataDxfId="1454"/>
    <tableColumn id="4" xr3:uid="{1A8897AF-C36F-478A-9832-BE6D16B62C81}" name="Ende" dataDxfId="1453">
      <calculatedColumnFormula>SUM(E265:E271)</calculatedColumnFormula>
    </tableColumn>
    <tableColumn id="5" xr3:uid="{3782CD83-441F-4439-B019-F1D37E4F57FC}" name="Eintragung" dataDxfId="1452"/>
    <tableColumn id="6" xr3:uid="{33B43215-C248-4304-BEF2-B82E91B7495F}" name="Pause" dataDxfId="1451"/>
    <tableColumn id="7" xr3:uid="{74C5F289-F521-4C16-8A5F-B5280DD2045D}" name="Homeoffice/Zusatz" dataDxfId="1450">
      <calculatedColumnFormula>SUM(H265:H271)</calculatedColumnFormula>
    </tableColumn>
    <tableColumn id="8" xr3:uid="{68D45E92-592D-40E2-A4D3-C50FF111B9F8}" name="Summe Tagesarbeitszeit" dataDxfId="14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48" dataDxfId="1446" headerRowBorderDxfId="1447" tableBorderDxfId="1445">
  <tableColumns count="8">
    <tableColumn id="1" xr3:uid="{57778E48-8098-4A9B-AC37-519F73195E38}" name="Tag" dataDxfId="1444">
      <calculatedColumnFormula>TEXT(Tabelle12173030297208326[[#This Row],[Datum]],"tttt")</calculatedColumnFormula>
    </tableColumn>
    <tableColumn id="2" xr3:uid="{4B313844-1BDB-4CE2-BB50-C4D0CC2BAB57}" name="Datum" dataDxfId="1443"/>
    <tableColumn id="3" xr3:uid="{A57FE896-BE25-41E3-BFF2-81ACABA04BAC}" name="Beginn" dataDxfId="1442"/>
    <tableColumn id="4" xr3:uid="{6C4D8C9E-8A47-4B0E-B48D-50FE1DCC25E1}" name="Ende" dataDxfId="1441">
      <calculatedColumnFormula>SUM(E275:E281)</calculatedColumnFormula>
    </tableColumn>
    <tableColumn id="5" xr3:uid="{B643A7F9-78BD-4D72-B4A4-C2F04823E3A7}" name="Eintragung" dataDxfId="1440"/>
    <tableColumn id="6" xr3:uid="{FC574488-0489-4702-932C-40156CC12277}" name="Pause" dataDxfId="1439"/>
    <tableColumn id="7" xr3:uid="{44968976-C62F-4354-9DFE-5748B6A3F8D2}" name="Homeoffice/Zusatz" dataDxfId="1438">
      <calculatedColumnFormula>SUM(H275:H281)</calculatedColumnFormula>
    </tableColumn>
    <tableColumn id="8" xr3:uid="{945D9A35-02FC-4494-BA9A-62E274589056}" name="Summe Tagesarbeitszeit" dataDxfId="143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36" dataDxfId="1434" headerRowBorderDxfId="1435" tableBorderDxfId="1433">
  <tableColumns count="8">
    <tableColumn id="1" xr3:uid="{19FB061D-5B66-42E1-B8D4-FDA53ABB7424}" name="Tag" dataDxfId="1432">
      <calculatedColumnFormula>TEXT(Tabelle12173030297208427[[#This Row],[Datum]],"tttt")</calculatedColumnFormula>
    </tableColumn>
    <tableColumn id="2" xr3:uid="{AEBC2956-F6B9-4DEE-A0C8-3411E58FDFDF}" name="Datum" dataDxfId="1431"/>
    <tableColumn id="3" xr3:uid="{061E78ED-5DAD-4F22-9DAE-892408AC023B}" name="Beginn" dataDxfId="1430"/>
    <tableColumn id="4" xr3:uid="{A1835634-6BC5-4C22-A819-B44C6521CC5D}" name="Ende" dataDxfId="1429">
      <calculatedColumnFormula>SUM(E285:E291)</calculatedColumnFormula>
    </tableColumn>
    <tableColumn id="5" xr3:uid="{1AA52E54-CE29-467E-B196-D08D14F099C3}" name="Eintragung" dataDxfId="1428"/>
    <tableColumn id="6" xr3:uid="{D7FF979A-3C9A-4A25-ADAD-B684A1B694B7}" name="Pause" dataDxfId="1427"/>
    <tableColumn id="7" xr3:uid="{9F1AF600-E327-428D-B57F-E1862FEDDA35}" name="Homeoffice/Zusatz" dataDxfId="1426">
      <calculatedColumnFormula>SUM(H285:H291)</calculatedColumnFormula>
    </tableColumn>
    <tableColumn id="8" xr3:uid="{A5085E3E-5171-4789-8CB8-DE9F597CB859}" name="Summe Tagesarbeitszeit" dataDxfId="142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4" dataDxfId="1422" headerRowBorderDxfId="1423" tableBorderDxfId="1421">
  <tableColumns count="8">
    <tableColumn id="1" xr3:uid="{844F5C3F-90F8-430C-A973-804A75352004}" name="Tag" dataDxfId="1420">
      <calculatedColumnFormula>TEXT(Tabelle1217303029720828[[#This Row],[Datum]],"tttt")</calculatedColumnFormula>
    </tableColumn>
    <tableColumn id="2" xr3:uid="{85341D52-FC23-4F88-8AFF-9724DFC3A0A5}" name="Datum" dataDxfId="1419"/>
    <tableColumn id="3" xr3:uid="{D4F35D66-7590-4FF1-8DF0-9121279864BA}" name="Beginn" dataDxfId="1418"/>
    <tableColumn id="4" xr3:uid="{C62ED9BB-2DD1-4174-9467-71480CE52822}" name="Ende" dataDxfId="1417">
      <calculatedColumnFormula>SUM(E295:E301)</calculatedColumnFormula>
    </tableColumn>
    <tableColumn id="5" xr3:uid="{5BFC4DDB-2DDD-4FC7-83C8-7D7DFE0B420F}" name="Eintragung" dataDxfId="1416"/>
    <tableColumn id="6" xr3:uid="{195178F0-D0EF-4D28-AA2A-50932896E6D5}" name="Pause" dataDxfId="1415"/>
    <tableColumn id="7" xr3:uid="{EF3E31C0-D4DE-4268-8F09-E578DD34BC3C}" name="Homeoffice/Zusatz" dataDxfId="1414">
      <calculatedColumnFormula>SUM(H295:H301)</calculatedColumnFormula>
    </tableColumn>
    <tableColumn id="8" xr3:uid="{6CF564C2-2C7D-4C79-909F-B5B29DFFCEA8}" name="Summe Tagesarbeitszeit" dataDxfId="141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2" dataDxfId="1410" headerRowBorderDxfId="1411" tableBorderDxfId="1409">
  <tableColumns count="8">
    <tableColumn id="1" xr3:uid="{BD2AB8B9-E7B8-4AD7-B2FC-859643864202}" name="Tag" dataDxfId="1408">
      <calculatedColumnFormula>TEXT(Tabelle12173030297208329[[#This Row],[Datum]],"tttt")</calculatedColumnFormula>
    </tableColumn>
    <tableColumn id="2" xr3:uid="{608EF4E0-3242-47E4-9BD8-34FC1081A91E}" name="Datum" dataDxfId="1407"/>
    <tableColumn id="3" xr3:uid="{3F8B689C-8EB6-425D-970C-21AB42D08D05}" name="Beginn" dataDxfId="1406"/>
    <tableColumn id="4" xr3:uid="{708E0B2E-F1B7-4BFA-A90D-3F2EB9C0DB18}" name="Ende" dataDxfId="1405">
      <calculatedColumnFormula>SUM(E305:E311)</calculatedColumnFormula>
    </tableColumn>
    <tableColumn id="5" xr3:uid="{C6DFD254-DBD0-4209-9813-6EFAEA1EBF66}" name="Eintragung" dataDxfId="1404"/>
    <tableColumn id="6" xr3:uid="{E6683EB4-5B41-4BBA-A6A3-B539FEC73CF9}" name="Pause" dataDxfId="1403"/>
    <tableColumn id="7" xr3:uid="{53613E87-5FD2-43DC-8F4A-F11928217D10}" name="Homeoffice/Zusatz" dataDxfId="1402">
      <calculatedColumnFormula>SUM(H305:H311)</calculatedColumnFormula>
    </tableColumn>
    <tableColumn id="8" xr3:uid="{7DEBCE11-5817-4A6F-83E3-F6DDF9C44035}" name="Summe Tagesarbeitszeit" dataDxfId="14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0" dataDxfId="1398" headerRowBorderDxfId="1399" tableBorderDxfId="1397">
  <tableColumns count="8">
    <tableColumn id="1" xr3:uid="{EA73DF64-4ED7-4F9E-8F4D-7ADED7050D35}" name="Tag" dataDxfId="1396">
      <calculatedColumnFormula>TEXT(Tabelle12173030297208431[[#This Row],[Datum]],"tttt")</calculatedColumnFormula>
    </tableColumn>
    <tableColumn id="2" xr3:uid="{DF682555-BBF7-4ED7-BD57-B5995A2DA589}" name="Datum" dataDxfId="1395"/>
    <tableColumn id="3" xr3:uid="{3631421A-5804-42FE-AF9E-22FADD1A9FB6}" name="Beginn" dataDxfId="1394"/>
    <tableColumn id="4" xr3:uid="{F8782665-CA71-4DE6-B91F-4B7EB91B76B9}" name="Ende" dataDxfId="1393">
      <calculatedColumnFormula>SUM(E315:E321)</calculatedColumnFormula>
    </tableColumn>
    <tableColumn id="5" xr3:uid="{D14D69AD-B58A-4387-B7AA-EBC3DE5DB21B}" name="Eintragung" dataDxfId="1392"/>
    <tableColumn id="6" xr3:uid="{77461660-6C79-480D-A1F5-DD1B4A41B4A6}" name="Pause" dataDxfId="1391"/>
    <tableColumn id="7" xr3:uid="{C9A45EFB-4DF2-46CF-9332-C544F93E2EA6}" name="Homeoffice/Zusatz" dataDxfId="1390">
      <calculatedColumnFormula>SUM(H315:H321)</calculatedColumnFormula>
    </tableColumn>
    <tableColumn id="8" xr3:uid="{9A067010-F783-4F24-BA05-3E2F713CD90B}" name="Summe Tagesarbeitszeit" dataDxfId="138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88" dataDxfId="1386" headerRowBorderDxfId="1387" tableBorderDxfId="1385">
  <tableColumns count="8">
    <tableColumn id="1" xr3:uid="{CBE6BA6C-6C82-4C6A-BFAC-820EDFAFE097}" name="Tag" dataDxfId="1384">
      <calculatedColumnFormula>TEXT(Tabelle1217303029720832[[#This Row],[Datum]],"tttt")</calculatedColumnFormula>
    </tableColumn>
    <tableColumn id="2" xr3:uid="{AE93EB63-FD59-44E3-8E77-C5922F0D15CF}" name="Datum" dataDxfId="1383"/>
    <tableColumn id="3" xr3:uid="{8ACB1DFC-9E7D-4AAB-867D-5BCC082D54A5}" name="Beginn" dataDxfId="1382"/>
    <tableColumn id="4" xr3:uid="{354D9318-DBC8-4A17-B2AC-6C119A448BA2}" name="Ende" dataDxfId="1381">
      <calculatedColumnFormula>SUM(E325:E331)</calculatedColumnFormula>
    </tableColumn>
    <tableColumn id="5" xr3:uid="{E3188C7B-FB7E-4532-8EA1-102662D08639}" name="Eintragung" dataDxfId="1380"/>
    <tableColumn id="6" xr3:uid="{8167DAC1-26DA-4E51-A0C2-ABC6F358BDD9}" name="Pause" dataDxfId="1379"/>
    <tableColumn id="7" xr3:uid="{52390E35-930F-49CB-B88B-068C351276EF}" name="Homeoffice/Zusatz" dataDxfId="1378">
      <calculatedColumnFormula>SUM(H325:H331)</calculatedColumnFormula>
    </tableColumn>
    <tableColumn id="8" xr3:uid="{79E013E5-B914-4154-A221-65DD114E49CB}" name="Summe Tagesarbeitszeit" dataDxfId="137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76" dataDxfId="1374" headerRowBorderDxfId="1375" tableBorderDxfId="1373">
  <tableColumns count="8">
    <tableColumn id="1" xr3:uid="{B282ECBB-96B2-4EF6-9237-083CB74DDAD8}" name="Tag" dataDxfId="1372">
      <calculatedColumnFormula>TEXT(Tabelle12173030297208333[[#This Row],[Datum]],"tttt")</calculatedColumnFormula>
    </tableColumn>
    <tableColumn id="2" xr3:uid="{663A2947-F452-4319-8010-BECE3B99FA37}" name="Datum" dataDxfId="1371"/>
    <tableColumn id="3" xr3:uid="{F4B0677E-D994-43E0-85B9-F75098D87F87}" name="Beginn" dataDxfId="1370"/>
    <tableColumn id="4" xr3:uid="{B2E13BEB-A8F1-42AB-92C1-9F3C1A900122}" name="Ende" dataDxfId="1369">
      <calculatedColumnFormula>SUM(E335:E341)</calculatedColumnFormula>
    </tableColumn>
    <tableColumn id="5" xr3:uid="{F1842CAF-AE2C-4E76-B04A-10B5D3349D0A}" name="Eintragung" dataDxfId="1368"/>
    <tableColumn id="6" xr3:uid="{44E28DAB-520B-4A3F-9CB6-5E507413EFE6}" name="Pause" dataDxfId="1367"/>
    <tableColumn id="7" xr3:uid="{4108548B-C770-4211-A964-CCB9873445BD}" name="Homeoffice/Zusatz" dataDxfId="1366">
      <calculatedColumnFormula>SUM(H335:H341)</calculatedColumnFormula>
    </tableColumn>
    <tableColumn id="8" xr3:uid="{1737CB21-024C-40EA-96CC-D933D66E481B}" name="Summe Tagesarbeitszeit" dataDxfId="136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4" dataDxfId="1362" headerRowBorderDxfId="1363" tableBorderDxfId="1361">
  <tableColumns count="8">
    <tableColumn id="1" xr3:uid="{73160943-CB04-4A81-BAAA-13BB5B52A533}" name="Tag" dataDxfId="1360">
      <calculatedColumnFormula>TEXT(Tabelle12173030297208434[[#This Row],[Datum]],"tttt")</calculatedColumnFormula>
    </tableColumn>
    <tableColumn id="2" xr3:uid="{7076287E-6019-4445-9CC0-122A786D511B}" name="Datum" dataDxfId="1359"/>
    <tableColumn id="3" xr3:uid="{63079012-F4D8-4947-B432-71F72356FA04}" name="Beginn" dataDxfId="1358"/>
    <tableColumn id="4" xr3:uid="{7CD5A922-DFBD-47A0-A201-3B4079D3355E}" name="Ende" dataDxfId="1357">
      <calculatedColumnFormula>SUM(E345:E351)</calculatedColumnFormula>
    </tableColumn>
    <tableColumn id="5" xr3:uid="{7A620BB8-01C1-4EA6-B4C6-534CEE980F13}" name="Eintragung" dataDxfId="1356"/>
    <tableColumn id="6" xr3:uid="{835A4956-5718-4400-B7A9-EBB3D48F7AC5}" name="Pause" dataDxfId="1355"/>
    <tableColumn id="7" xr3:uid="{45759DF5-CDB4-4563-BDF4-6FEE964257E2}" name="Homeoffice/Zusatz" dataDxfId="1354">
      <calculatedColumnFormula>SUM(H345:H351)</calculatedColumnFormula>
    </tableColumn>
    <tableColumn id="8" xr3:uid="{D52B559E-43F3-449D-8D8E-8955AFE4A3B4}" name="Summe Tagesarbeitszeit" dataDxfId="135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2" dataDxfId="1350" headerRowBorderDxfId="1351" tableBorderDxfId="1349">
  <tableColumns count="8">
    <tableColumn id="1" xr3:uid="{8CDBB8E5-BB8B-48B3-9C79-A7705FDB6D1E}" name="Tag" dataDxfId="1348">
      <calculatedColumnFormula>TEXT(Tabelle1217303029720835[[#This Row],[Datum]],"tttt")</calculatedColumnFormula>
    </tableColumn>
    <tableColumn id="2" xr3:uid="{3215215C-32D3-4AA5-90E0-AE150C52E7AE}" name="Datum" dataDxfId="1347"/>
    <tableColumn id="3" xr3:uid="{D6433B95-63EB-4F4F-B4CC-801C898D683D}" name="Beginn" dataDxfId="1346"/>
    <tableColumn id="4" xr3:uid="{AB26791A-9699-453D-BE4F-AC567F81F872}" name="Ende" dataDxfId="1345">
      <calculatedColumnFormula>SUM(E355:E361)</calculatedColumnFormula>
    </tableColumn>
    <tableColumn id="5" xr3:uid="{3F79109F-7E04-4FAF-BD23-961F017BC7CE}" name="Eintragung" dataDxfId="1344"/>
    <tableColumn id="6" xr3:uid="{204BBB11-F5E1-4E95-9AF0-2E853FD965F1}" name="Pause" dataDxfId="1343"/>
    <tableColumn id="7" xr3:uid="{55CDD24D-5F40-4A02-996D-88DAAB86FC86}" name="Homeoffice/Zusatz" dataDxfId="1342">
      <calculatedColumnFormula>SUM(H355:H361)</calculatedColumnFormula>
    </tableColumn>
    <tableColumn id="8" xr3:uid="{5069DA9C-6380-44EC-8E82-B52F7853B51B}" name="Summe Tagesarbeitszeit" dataDxfId="134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0" dataDxfId="1338" headerRowBorderDxfId="1339" tableBorderDxfId="1337">
  <tableColumns count="8">
    <tableColumn id="1" xr3:uid="{77930BD8-E715-4BC9-BBEF-E0D740E830B7}" name="Tag" dataDxfId="1336">
      <calculatedColumnFormula>TEXT(Tabelle12173030297208336[[#This Row],[Datum]],"tttt")</calculatedColumnFormula>
    </tableColumn>
    <tableColumn id="2" xr3:uid="{4C5CBDC0-9AB6-4888-B21C-47328ACF0629}" name="Datum" dataDxfId="1335"/>
    <tableColumn id="3" xr3:uid="{9DD405E2-8E8D-40F3-9266-0FEF706674BC}" name="Beginn" dataDxfId="1334"/>
    <tableColumn id="4" xr3:uid="{0F72F231-91A7-4596-848D-B3314224D31E}" name="Ende" dataDxfId="1333">
      <calculatedColumnFormula>SUM(E365:E371)</calculatedColumnFormula>
    </tableColumn>
    <tableColumn id="5" xr3:uid="{D5EF1309-C765-470E-8AF0-920E2B945849}" name="Eintragung" dataDxfId="1332"/>
    <tableColumn id="6" xr3:uid="{5CF31167-CE00-4AFD-B8FF-07649DF3B943}" name="Pause" dataDxfId="1331"/>
    <tableColumn id="7" xr3:uid="{8F23C6A9-4EC6-433D-922D-9E8F11D0A9E4}" name="Homeoffice/Zusatz" dataDxfId="1330">
      <calculatedColumnFormula>SUM(H365:H371)</calculatedColumnFormula>
    </tableColumn>
    <tableColumn id="8" xr3:uid="{F58041B6-1650-4358-9E31-76287529A864}" name="Summe Tagesarbeitszeit" dataDxfId="132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28" dataDxfId="1326" headerRowBorderDxfId="1327" tableBorderDxfId="1325">
  <tableColumns count="8">
    <tableColumn id="1" xr3:uid="{FFFC5503-3CF8-4715-B003-94CDD514541A}" name="Tag" dataDxfId="1324">
      <calculatedColumnFormula>TEXT(Tabelle12173030297208437[[#This Row],[Datum]],"tttt")</calculatedColumnFormula>
    </tableColumn>
    <tableColumn id="2" xr3:uid="{70BB0DA9-7710-42F7-BD69-F91E1F6816AA}" name="Datum" dataDxfId="1323"/>
    <tableColumn id="3" xr3:uid="{614A5249-8C4B-4B70-9973-9A8A52EF7C06}" name="Beginn" dataDxfId="1322"/>
    <tableColumn id="4" xr3:uid="{315DA6CC-C69C-404B-ACEC-08DDF44E5961}" name="Ende" dataDxfId="1321">
      <calculatedColumnFormula>SUM(E375:E381)</calculatedColumnFormula>
    </tableColumn>
    <tableColumn id="5" xr3:uid="{EAB251D9-0150-421D-884A-3E83010D71D0}" name="Eintragung" dataDxfId="1320"/>
    <tableColumn id="6" xr3:uid="{4AE0737C-4CC1-4119-BB43-8FACD52652A9}" name="Pause" dataDxfId="1319"/>
    <tableColumn id="7" xr3:uid="{C3688468-075F-4D28-9C98-17689A2A88A1}" name="Homeoffice/Zusatz" dataDxfId="1318">
      <calculatedColumnFormula>SUM(H375:H381)</calculatedColumnFormula>
    </tableColumn>
    <tableColumn id="8" xr3:uid="{682EA27D-9267-4483-90E8-63D738593A89}" name="Summe Tagesarbeitszeit" dataDxfId="131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16" dataDxfId="1314" headerRowBorderDxfId="1315" tableBorderDxfId="1313">
  <tableColumns count="8">
    <tableColumn id="1" xr3:uid="{945910B5-7FBF-401E-B489-316AE1794360}" name="Tag" dataDxfId="1312">
      <calculatedColumnFormula>TEXT(Tabelle1217303029720839[[#This Row],[Datum]],"tttt")</calculatedColumnFormula>
    </tableColumn>
    <tableColumn id="2" xr3:uid="{35F4ACB3-A864-4AF9-94A1-D6966F2E6FC9}" name="Datum" dataDxfId="1311"/>
    <tableColumn id="3" xr3:uid="{1FF620A9-1BA0-489A-AC02-65A3207EEDDE}" name="Beginn" dataDxfId="1310"/>
    <tableColumn id="4" xr3:uid="{EF660C47-6188-422E-A56E-68EE5C493680}" name="Ende" dataDxfId="1309">
      <calculatedColumnFormula>SUM(E385:E391)</calculatedColumnFormula>
    </tableColumn>
    <tableColumn id="5" xr3:uid="{10117E8D-9461-4F0F-8C93-04DD6C1D7558}" name="Eintragung" dataDxfId="1308"/>
    <tableColumn id="6" xr3:uid="{E7EE43A4-A5A3-4216-8E95-DD14301438D7}" name="Pause" dataDxfId="1307"/>
    <tableColumn id="7" xr3:uid="{40401E5E-11C6-4CBB-BCAB-0F3267D6813E}" name="Homeoffice/Zusatz" dataDxfId="1306">
      <calculatedColumnFormula>SUM(H385:H391)</calculatedColumnFormula>
    </tableColumn>
    <tableColumn id="8" xr3:uid="{DE1C2840-D63F-4A2E-A2F6-9E69426F8257}" name="Summe Tagesarbeitszeit" dataDxfId="130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4" dataDxfId="1302" headerRowBorderDxfId="1303" tableBorderDxfId="1301">
  <tableColumns count="8">
    <tableColumn id="1" xr3:uid="{AC5A753C-99F4-41AE-A84E-07593C2B8B90}" name="Tag" dataDxfId="1300">
      <calculatedColumnFormula>TEXT(Tabelle12173030297208339[[#This Row],[Datum]],"tttt")</calculatedColumnFormula>
    </tableColumn>
    <tableColumn id="2" xr3:uid="{28A01576-5580-4D27-AB11-9A0AC1B3C5D0}" name="Datum" dataDxfId="1299"/>
    <tableColumn id="3" xr3:uid="{BD7E04A0-4A18-4E01-9488-6BC2EFBA90F1}" name="Beginn" dataDxfId="1298"/>
    <tableColumn id="4" xr3:uid="{7F105F9B-B3C9-4FAB-A92A-E44737F10748}" name="Ende" dataDxfId="1297">
      <calculatedColumnFormula>SUM(E395:E401)</calculatedColumnFormula>
    </tableColumn>
    <tableColumn id="5" xr3:uid="{73456B6A-3966-4904-AF6C-B1CDD0822586}" name="Eintragung" dataDxfId="1296"/>
    <tableColumn id="6" xr3:uid="{7E5E3FC8-40E4-470F-A03C-EB319CC4B89C}" name="Pause" dataDxfId="1295"/>
    <tableColumn id="7" xr3:uid="{C1571E10-F0B2-467C-A293-63CBE96442FE}" name="Homeoffice/Zusatz" dataDxfId="1294">
      <calculatedColumnFormula>SUM(H395:H401)</calculatedColumnFormula>
    </tableColumn>
    <tableColumn id="8" xr3:uid="{9133C834-710A-4B5A-837E-B3E219041E80}" name="Summe Tagesarbeitszeit" dataDxfId="129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2" dataDxfId="1290" headerRowBorderDxfId="1291" tableBorderDxfId="1289">
  <tableColumns count="8">
    <tableColumn id="1" xr3:uid="{53835448-1ED8-4CA4-B06C-6C84AAD9D50A}" name="Tag" dataDxfId="1288">
      <calculatedColumnFormula>TEXT(Tabelle12173030297208440[[#This Row],[Datum]],"tttt")</calculatedColumnFormula>
    </tableColumn>
    <tableColumn id="2" xr3:uid="{AE151F4C-EB84-47BD-8FAB-891BAE086C1A}" name="Datum" dataDxfId="1287"/>
    <tableColumn id="3" xr3:uid="{E7AA8731-DBAA-49A4-8680-9D8CE37BA02B}" name="Beginn" dataDxfId="1286"/>
    <tableColumn id="4" xr3:uid="{9CCFE3D1-0822-4938-9D41-FAFD1A50BCE2}" name="Ende" dataDxfId="1285">
      <calculatedColumnFormula>SUM(E405:E411)</calculatedColumnFormula>
    </tableColumn>
    <tableColumn id="5" xr3:uid="{02949210-4D29-48D4-A4E0-4CC824713255}" name="Eintragung" dataDxfId="1284"/>
    <tableColumn id="6" xr3:uid="{F065D78B-C42D-49B3-A1EE-588740A0655F}" name="Pause" dataDxfId="1283"/>
    <tableColumn id="7" xr3:uid="{14F27018-8C13-42D9-A864-BEFC7B184B4D}" name="Homeoffice/Zusatz" dataDxfId="1282">
      <calculatedColumnFormula>SUM(H405:H411)</calculatedColumnFormula>
    </tableColumn>
    <tableColumn id="8" xr3:uid="{AD9E33F4-AEA0-479B-A9B8-9C038C9041E2}" name="Summe Tagesarbeitszeit" dataDxfId="128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0" dataDxfId="1278" headerRowBorderDxfId="1279" tableBorderDxfId="1277">
  <tableColumns count="8">
    <tableColumn id="1" xr3:uid="{01C9526E-EA4F-4CEF-8D23-A4813A5BBDD3}" name="Tag" dataDxfId="1276">
      <calculatedColumnFormula>TEXT(Tabelle1217303029720841[[#This Row],[Datum]],"tttt")</calculatedColumnFormula>
    </tableColumn>
    <tableColumn id="2" xr3:uid="{9D4AF58C-B22D-4C7A-BEEA-0190A3A16BDD}" name="Datum" dataDxfId="1275"/>
    <tableColumn id="3" xr3:uid="{9A53628A-C042-463E-AE70-B7E6C2756A5E}" name="Beginn" dataDxfId="1274"/>
    <tableColumn id="4" xr3:uid="{41335DB4-5FE6-450C-B7E9-C5796B29850D}" name="Ende" dataDxfId="1273">
      <calculatedColumnFormula>SUM(E415:E421)</calculatedColumnFormula>
    </tableColumn>
    <tableColumn id="5" xr3:uid="{24082E00-0DAB-417E-9745-0E75B676C0F6}" name="Eintragung" dataDxfId="1272"/>
    <tableColumn id="6" xr3:uid="{4D90F213-B978-4FA4-81AD-DD0137288187}" name="Pause" dataDxfId="1271"/>
    <tableColumn id="7" xr3:uid="{352D49EF-0714-48AF-BF39-20F31C243361}" name="Homeoffice/Zusatz" dataDxfId="1270">
      <calculatedColumnFormula>SUM(H415:H421)</calculatedColumnFormula>
    </tableColumn>
    <tableColumn id="8" xr3:uid="{33B8FE24-F23A-423D-AF61-AB843FCA09D7}" name="Summe Tagesarbeitszeit" dataDxfId="126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68" dataDxfId="1266" headerRowBorderDxfId="1267" tableBorderDxfId="1265">
  <tableColumns count="8">
    <tableColumn id="1" xr3:uid="{E89FF923-6386-4B5C-9899-048ADFCD2891}" name="Tag" dataDxfId="1264">
      <calculatedColumnFormula>TEXT(Tabelle12173030297208342[[#This Row],[Datum]],"tttt")</calculatedColumnFormula>
    </tableColumn>
    <tableColumn id="2" xr3:uid="{BDCC732C-B84B-47BF-8DEB-8448468CC6C9}" name="Datum" dataDxfId="1263"/>
    <tableColumn id="3" xr3:uid="{B602B0A4-AD26-4E25-B8D9-46090D0CBEE5}" name="Beginn" dataDxfId="1262"/>
    <tableColumn id="4" xr3:uid="{77CC9835-F5B8-47FE-9F77-9E3E6EC66D3A}" name="Ende" dataDxfId="1261">
      <calculatedColumnFormula>SUM(E425:E431)</calculatedColumnFormula>
    </tableColumn>
    <tableColumn id="5" xr3:uid="{AEC5C25A-77B6-427D-94AD-641C7BF195C2}" name="Eintragung" dataDxfId="1260"/>
    <tableColumn id="6" xr3:uid="{1042AF3B-20C1-4A37-9A4E-AA9631A808EC}" name="Pause" dataDxfId="1259"/>
    <tableColumn id="7" xr3:uid="{9F9FD657-E201-436D-9C07-443408FA815A}" name="Homeoffice/Zusatz" dataDxfId="1258">
      <calculatedColumnFormula>SUM(H425:H431)</calculatedColumnFormula>
    </tableColumn>
    <tableColumn id="8" xr3:uid="{DB066206-E6F1-437C-8697-B6E208A633F1}" name="Summe Tagesarbeitszeit" dataDxfId="125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56" dataDxfId="1254" headerRowBorderDxfId="1255" tableBorderDxfId="1253">
  <tableColumns count="8">
    <tableColumn id="1" xr3:uid="{B89BDB20-61C5-4654-BC3C-DF549E115D92}" name="Tag" dataDxfId="1252">
      <calculatedColumnFormula>TEXT(Tabelle12173030297208443[[#This Row],[Datum]],"tttt")</calculatedColumnFormula>
    </tableColumn>
    <tableColumn id="2" xr3:uid="{A9DD6E61-770A-4156-8CAA-1C57100CFD48}" name="Datum" dataDxfId="1251"/>
    <tableColumn id="3" xr3:uid="{226F5B7F-5526-41CD-8401-4B2C8635A3E0}" name="Beginn" dataDxfId="1250"/>
    <tableColumn id="4" xr3:uid="{B4E8D0F0-CDF6-43A4-ACB9-35BD64F9B06F}" name="Ende" dataDxfId="1249">
      <calculatedColumnFormula>SUM(E435:E441)</calculatedColumnFormula>
    </tableColumn>
    <tableColumn id="5" xr3:uid="{BC1A227C-F3C1-4C94-9869-1E4C6C9265EA}" name="Eintragung" dataDxfId="1248"/>
    <tableColumn id="6" xr3:uid="{E0AD5E8D-BD98-46FD-B08E-E2269229415F}" name="Pause" dataDxfId="1247"/>
    <tableColumn id="7" xr3:uid="{C9D578A3-2480-493C-97A0-31D84B0A5B9A}" name="Homeoffice/Zusatz" dataDxfId="1246">
      <calculatedColumnFormula>SUM(H435:H441)</calculatedColumnFormula>
    </tableColumn>
    <tableColumn id="8" xr3:uid="{99B162FC-FBF3-4559-9EDA-A75756534C46}" name="Summe Tagesarbeitszeit" dataDxfId="124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4" dataDxfId="1242" headerRowBorderDxfId="1243" tableBorderDxfId="1241">
  <tableColumns count="8">
    <tableColumn id="1" xr3:uid="{F8687140-1BD7-489B-A755-DF4D11300C5E}" name="Tag" dataDxfId="1240">
      <calculatedColumnFormula>TEXT(Tabelle1217303029720844[[#This Row],[Datum]],"tttt")</calculatedColumnFormula>
    </tableColumn>
    <tableColumn id="2" xr3:uid="{73FCCF2E-337A-4C38-A934-F43291CD0795}" name="Datum" dataDxfId="1239"/>
    <tableColumn id="3" xr3:uid="{630459B2-D96A-470C-9D72-BEA41DBD0818}" name="Beginn" dataDxfId="1238"/>
    <tableColumn id="4" xr3:uid="{FD265416-DB10-45B0-BF5E-E9DF20420D0B}" name="Ende" dataDxfId="1237">
      <calculatedColumnFormula>SUM(E445:E451)</calculatedColumnFormula>
    </tableColumn>
    <tableColumn id="5" xr3:uid="{9AE58FA5-F763-4FF9-B0FD-087B366D8EA9}" name="Eintragung" dataDxfId="1236"/>
    <tableColumn id="6" xr3:uid="{6528C063-AA4E-46AD-8234-D7ABC994A822}" name="Pause" dataDxfId="1235"/>
    <tableColumn id="7" xr3:uid="{50758D6C-5FA3-46CE-8C37-7A1648BE2106}" name="Homeoffice/Zusatz" dataDxfId="1234">
      <calculatedColumnFormula>SUM(H445:H451)</calculatedColumnFormula>
    </tableColumn>
    <tableColumn id="8" xr3:uid="{67541295-6E77-43F5-8176-E19124D7738B}" name="Summe Tagesarbeitszeit" dataDxfId="123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2" dataDxfId="1230" headerRowBorderDxfId="1231" tableBorderDxfId="1229">
  <tableColumns count="8">
    <tableColumn id="1" xr3:uid="{A407A6F1-BDEE-4C59-BA61-75456E3D1283}" name="Tag" dataDxfId="1228">
      <calculatedColumnFormula>TEXT(Tabelle12173030297208345[[#This Row],[Datum]],"tttt")</calculatedColumnFormula>
    </tableColumn>
    <tableColumn id="2" xr3:uid="{7DE86FD7-BC61-494E-9DA1-F42EE3DF0249}" name="Datum" dataDxfId="1227"/>
    <tableColumn id="3" xr3:uid="{734732F5-2CA3-4BFF-95B1-63C13D62A61A}" name="Beginn" dataDxfId="1226"/>
    <tableColumn id="4" xr3:uid="{2748758F-B7E8-4ABD-9778-D70C7569FF4F}" name="Ende" dataDxfId="1225">
      <calculatedColumnFormula>SUM(E455:E461)</calculatedColumnFormula>
    </tableColumn>
    <tableColumn id="5" xr3:uid="{1283927F-74BF-421C-9397-714441B04955}" name="Eintragung" dataDxfId="1224"/>
    <tableColumn id="6" xr3:uid="{A1385B7C-4184-4600-B220-4A69DB43BF36}" name="Pause" dataDxfId="1223"/>
    <tableColumn id="7" xr3:uid="{34C7CD80-8D6D-4D80-AD33-380228F25431}" name="Homeoffice/Zusatz" dataDxfId="1222">
      <calculatedColumnFormula>SUM(H455:H461)</calculatedColumnFormula>
    </tableColumn>
    <tableColumn id="8" xr3:uid="{99432AB0-D6BC-45BB-8665-388849A0A079}" name="Summe Tagesarbeitszeit" dataDxfId="122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0" dataDxfId="1218" headerRowBorderDxfId="1219" tableBorderDxfId="1217">
  <tableColumns count="8">
    <tableColumn id="1" xr3:uid="{EF073EBE-7653-4FD7-B24C-F502DC42F08C}" name="Tag" dataDxfId="1216">
      <calculatedColumnFormula>TEXT(Tabelle1217303029720847[[#This Row],[Datum]],"tttt")</calculatedColumnFormula>
    </tableColumn>
    <tableColumn id="2" xr3:uid="{F2F97932-8FC6-4C54-B5FF-06458B5FFF97}" name="Datum" dataDxfId="1215"/>
    <tableColumn id="3" xr3:uid="{07776314-D51C-4350-A5F1-B8E0A92F1297}" name="Beginn" dataDxfId="1214"/>
    <tableColumn id="4" xr3:uid="{7D8D3E57-046E-4016-8793-DE626D573A1A}" name="Ende" dataDxfId="1213">
      <calculatedColumnFormula>SUM(E465:E471)</calculatedColumnFormula>
    </tableColumn>
    <tableColumn id="5" xr3:uid="{B67F3EA5-03BB-4F44-A37D-D1D2E31EA764}" name="Eintragung" dataDxfId="1212"/>
    <tableColumn id="6" xr3:uid="{19C7F1B0-DFF6-4B6F-85A0-B714648A6F82}" name="Pause" dataDxfId="1211"/>
    <tableColumn id="7" xr3:uid="{C9128A50-8973-4E91-BDF8-8736E73A3D50}" name="Homeoffice/Zusatz" dataDxfId="1210">
      <calculatedColumnFormula>SUM(H465:H471)</calculatedColumnFormula>
    </tableColumn>
    <tableColumn id="8" xr3:uid="{6274E1D1-72D9-44DE-BE2E-47F09F8D77E7}" name="Summe Tagesarbeitszeit" dataDxfId="120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08" dataDxfId="1206" headerRowBorderDxfId="1207" tableBorderDxfId="1205">
  <tableColumns count="8">
    <tableColumn id="1" xr3:uid="{5A10200A-D563-4219-B445-7A0BE30C200E}" name="Tag" dataDxfId="1204">
      <calculatedColumnFormula>TEXT(Tabelle12173030297208348[[#This Row],[Datum]],"tttt")</calculatedColumnFormula>
    </tableColumn>
    <tableColumn id="2" xr3:uid="{868CCBA4-6E38-440F-8283-AF99C4825791}" name="Datum" dataDxfId="1203"/>
    <tableColumn id="3" xr3:uid="{7E71064D-1CDF-473B-89B0-7C4A3BB34946}" name="Beginn" dataDxfId="1202"/>
    <tableColumn id="4" xr3:uid="{7AC9A3F9-0E4D-4854-8AD4-6C06B298088D}" name="Ende" dataDxfId="1201">
      <calculatedColumnFormula>SUM(E475:E481)</calculatedColumnFormula>
    </tableColumn>
    <tableColumn id="5" xr3:uid="{A96A97ED-49D0-4EAA-931A-B17FC0296F3F}" name="Eintragung" dataDxfId="1200"/>
    <tableColumn id="6" xr3:uid="{9263A1EE-EEB1-4B6C-A9EF-C4D100606591}" name="Pause" dataDxfId="1199"/>
    <tableColumn id="7" xr3:uid="{56ADF092-1A3B-4CDF-ACF5-B96AE27A8495}" name="Homeoffice/Zusatz" dataDxfId="1198">
      <calculatedColumnFormula>SUM(H475:H481)</calculatedColumnFormula>
    </tableColumn>
    <tableColumn id="8" xr3:uid="{D9C95818-21F0-4496-8A24-BBBB73C695B5}" name="Summe Tagesarbeitszeit" dataDxfId="119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196" dataDxfId="1194" headerRowBorderDxfId="1195" tableBorderDxfId="1193">
  <tableColumns count="8">
    <tableColumn id="1" xr3:uid="{6E56EB8A-7D2D-44D6-9D5F-2B8FA3D43D46}" name="Tag" dataDxfId="1192">
      <calculatedColumnFormula>TEXT(Tabelle12173030297208449[[#This Row],[Datum]],"tttt")</calculatedColumnFormula>
    </tableColumn>
    <tableColumn id="2" xr3:uid="{92213E4C-1727-437D-9F13-25B4B1808746}" name="Datum" dataDxfId="1191"/>
    <tableColumn id="3" xr3:uid="{CD373FC3-F36F-4AC4-89F8-FE47AC658A6A}" name="Beginn" dataDxfId="1190"/>
    <tableColumn id="4" xr3:uid="{247AFFAC-A964-44C5-959D-1411BDF40A6A}" name="Ende" dataDxfId="1189">
      <calculatedColumnFormula>SUM(E485:E491)</calculatedColumnFormula>
    </tableColumn>
    <tableColumn id="5" xr3:uid="{CDB6E1DC-2523-4AE3-A74B-6205CE387454}" name="Eintragung" dataDxfId="1188"/>
    <tableColumn id="6" xr3:uid="{5D41659E-1A63-4873-9FC9-EA977E5359BB}" name="Pause" dataDxfId="1187"/>
    <tableColumn id="7" xr3:uid="{9CCEB571-67AA-4D0A-8D60-0DF201008B9F}" name="Homeoffice/Zusatz" dataDxfId="1186">
      <calculatedColumnFormula>SUM(H485:H491)</calculatedColumnFormula>
    </tableColumn>
    <tableColumn id="8" xr3:uid="{DFD1E52C-4907-4A6B-B09F-5A5B3285B41B}" name="Summe Tagesarbeitszeit" dataDxfId="118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4" dataDxfId="1182" headerRowBorderDxfId="1183" tableBorderDxfId="1181">
  <tableColumns count="8">
    <tableColumn id="1" xr3:uid="{5E1528D6-0A24-4ED7-8A4A-13159575C2FC}" name="Tag" dataDxfId="1180">
      <calculatedColumnFormula>TEXT(Tabelle1217303029720850[[#This Row],[Datum]],"tttt")</calculatedColumnFormula>
    </tableColumn>
    <tableColumn id="2" xr3:uid="{F8222F6A-71F8-43C8-B43F-CAED9EC91B57}" name="Datum" dataDxfId="1179"/>
    <tableColumn id="3" xr3:uid="{FE42B1BF-C468-4530-B554-1464059DE370}" name="Beginn" dataDxfId="1178"/>
    <tableColumn id="4" xr3:uid="{504C1AB2-6E00-44DF-83D3-190A1F632547}" name="Ende" dataDxfId="1177">
      <calculatedColumnFormula>SUM(E495:E501)</calculatedColumnFormula>
    </tableColumn>
    <tableColumn id="5" xr3:uid="{DC2CAB3D-B332-4F36-98A5-7ACCADBD7C29}" name="Eintragung" dataDxfId="1176"/>
    <tableColumn id="6" xr3:uid="{B11E40A5-0B83-46EE-ABE6-645A167F31E8}" name="Pause" dataDxfId="1175"/>
    <tableColumn id="7" xr3:uid="{2B095341-D011-4BED-8B8D-D8C7917B20F1}" name="Homeoffice/Zusatz" dataDxfId="1174">
      <calculatedColumnFormula>SUM(H495:H501)</calculatedColumnFormula>
    </tableColumn>
    <tableColumn id="8" xr3:uid="{4ADD12A3-76FC-413B-BA46-F4A36525C82C}" name="Summe Tagesarbeitszeit" dataDxfId="117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2" dataDxfId="1170" headerRowBorderDxfId="1171" tableBorderDxfId="1169">
  <tableColumns count="8">
    <tableColumn id="1" xr3:uid="{C18F9BC3-B18F-4F60-83AB-2ADA989B8C1F}" name="Tag" dataDxfId="1168">
      <calculatedColumnFormula>TEXT(Tabelle12173030297208351[[#This Row],[Datum]],"tttt")</calculatedColumnFormula>
    </tableColumn>
    <tableColumn id="2" xr3:uid="{A5F7FE3F-47A6-49D1-9A19-DCD972E1DB10}" name="Datum" dataDxfId="1167"/>
    <tableColumn id="3" xr3:uid="{D37FCE91-AAD3-4AA4-87F5-C247D6242DB2}" name="Beginn" dataDxfId="1166"/>
    <tableColumn id="4" xr3:uid="{3AACDD0D-1057-4155-985B-BD948871EFB8}" name="Ende" dataDxfId="1165">
      <calculatedColumnFormula>SUM(E505:E511)</calculatedColumnFormula>
    </tableColumn>
    <tableColumn id="5" xr3:uid="{FBA4944F-415F-4C7C-B2D4-87A25432E618}" name="Eintragung" dataDxfId="1164"/>
    <tableColumn id="6" xr3:uid="{B5575005-5006-4600-8F7A-6BD5D808357F}" name="Pause" dataDxfId="1163"/>
    <tableColumn id="7" xr3:uid="{22B65A05-467B-45AC-AEC3-4EA9C9CE3894}" name="Homeoffice/Zusatz" dataDxfId="1162">
      <calculatedColumnFormula>SUM(H505:H511)</calculatedColumnFormula>
    </tableColumn>
    <tableColumn id="8" xr3:uid="{313CAF1A-388A-4227-95FB-B9CE10C732DC}" name="Summe Tagesarbeitszeit" dataDxfId="116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0" dataDxfId="1158" headerRowBorderDxfId="1159" tableBorderDxfId="1157">
  <tableColumns count="8">
    <tableColumn id="1" xr3:uid="{B89B0AD5-FFFD-4BBB-9AE7-5ADEAA3AA420}" name="Tag" dataDxfId="1156">
      <calculatedColumnFormula>TEXT(Tabelle12173030297208452[[#This Row],[Datum]],"tttt")</calculatedColumnFormula>
    </tableColumn>
    <tableColumn id="2" xr3:uid="{46D9346F-EDCF-45A2-8D8C-5075A4C0E6B2}" name="Datum" dataDxfId="1155"/>
    <tableColumn id="3" xr3:uid="{970DECF2-6679-48F4-A82C-7CC925E3AF7B}" name="Beginn" dataDxfId="1154"/>
    <tableColumn id="4" xr3:uid="{E9F1BCCA-AEB3-44B6-AF18-99DE0829FA6D}" name="Ende" dataDxfId="1153">
      <calculatedColumnFormula>SUM(E515:E521)</calculatedColumnFormula>
    </tableColumn>
    <tableColumn id="5" xr3:uid="{9F610ED1-0FF0-4E8F-B7A0-E638BD84D76C}" name="Eintragung" dataDxfId="1152"/>
    <tableColumn id="6" xr3:uid="{F46AA118-3F6F-40CC-A531-4CC960FF43A2}" name="Pause" dataDxfId="1151"/>
    <tableColumn id="7" xr3:uid="{20603C9A-5A95-45C3-B980-059404E61C28}" name="Homeoffice/Zusatz" dataDxfId="1150">
      <calculatedColumnFormula>SUM(H515:H521)</calculatedColumnFormula>
    </tableColumn>
    <tableColumn id="8" xr3:uid="{DEEDD3EA-EE4E-4779-8F39-43735CE4734F}" name="Summe Tagesarbeitszeit" dataDxfId="114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48" dataDxfId="1146" headerRowBorderDxfId="1147" tableBorderDxfId="1145">
  <tableColumns count="8">
    <tableColumn id="1" xr3:uid="{B71CA290-0161-420B-99B1-A033FFAAFF3E}" name="Tag" dataDxfId="1144">
      <calculatedColumnFormula>TEXT(Tabelle1217303029720835153[[#This Row],[Datum]],"tttt")</calculatedColumnFormula>
    </tableColumn>
    <tableColumn id="2" xr3:uid="{08BC8AB7-8484-427B-BE72-81EF2AFC5345}" name="Datum" dataDxfId="1143"/>
    <tableColumn id="3" xr3:uid="{5B823D23-FCAE-49A3-9EA2-CAAD0793036C}" name="Beginn" dataDxfId="1142"/>
    <tableColumn id="4" xr3:uid="{8B205DD7-AE44-41C0-A52D-145657868A2A}" name="Ende" dataDxfId="1141">
      <calculatedColumnFormula>SUM(E525:E531)</calculatedColumnFormula>
    </tableColumn>
    <tableColumn id="5" xr3:uid="{E0F15238-F11D-4FF2-B8AD-51A3F2FCB0F9}" name="Eintragung" dataDxfId="1140"/>
    <tableColumn id="6" xr3:uid="{EBE2D66C-17E2-496C-8129-E6EC4637868C}" name="Pause" dataDxfId="1139"/>
    <tableColumn id="7" xr3:uid="{6942D7B1-061E-4C31-B518-9D2AEEF146A7}" name="Homeoffice/Zusatz" dataDxfId="1138">
      <calculatedColumnFormula>SUM(H525:H531)</calculatedColumnFormula>
    </tableColumn>
    <tableColumn id="8" xr3:uid="{5A63CA79-2E37-4697-BD34-983336641C43}" name="Summe Tagesarbeitszeit" dataDxfId="113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36" dataDxfId="1134" headerRowBorderDxfId="1135" tableBorderDxfId="1133">
  <tableColumns count="8">
    <tableColumn id="1" xr3:uid="{917120D9-057B-49CA-A0E7-365E74AC5677}" name="Tag" dataDxfId="1132">
      <calculatedColumnFormula>TEXT(Tabelle1217303029720845254[[#This Row],[Datum]],"tttt")</calculatedColumnFormula>
    </tableColumn>
    <tableColumn id="2" xr3:uid="{AEFA219C-FA62-4599-9857-3B781C103C39}" name="Datum" dataDxfId="1131"/>
    <tableColumn id="3" xr3:uid="{50B2C648-09AB-4EA8-A643-5A5CEA789194}" name="Beginn" dataDxfId="1130"/>
    <tableColumn id="4" xr3:uid="{FA95E2FE-A9F1-42A0-9B6F-A02653B07323}" name="Ende" dataDxfId="1129">
      <calculatedColumnFormula>SUM(E535:E541)</calculatedColumnFormula>
    </tableColumn>
    <tableColumn id="5" xr3:uid="{7E2B5250-AC6E-42BA-9067-F68FEAF54905}" name="Eintragung" dataDxfId="1128"/>
    <tableColumn id="6" xr3:uid="{A4B41F08-3FB0-4AFF-AD47-6C1C43C7B29A}" name="Pause" dataDxfId="1127"/>
    <tableColumn id="7" xr3:uid="{FA342F8F-1BFD-4910-99A0-043528E697C8}" name="Homeoffice/Zusatz" dataDxfId="1126">
      <calculatedColumnFormula>SUM(H535:H541)</calculatedColumnFormula>
    </tableColumn>
    <tableColumn id="8" xr3:uid="{0521ADA1-4C75-48DB-B85F-5B0F8E634B38}" name="Summe Tagesarbeitszeit" dataDxfId="112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4" dataDxfId="1122" headerRowBorderDxfId="1123" tableBorderDxfId="1121">
  <tableColumns count="8">
    <tableColumn id="1" xr3:uid="{FDDF49B6-A208-4184-8819-7C83B0F3E6CC}" name="Tag" dataDxfId="1120">
      <calculatedColumnFormula>TEXT(Tabelle1217303029720855[[#This Row],[Datum]],"tttt")</calculatedColumnFormula>
    </tableColumn>
    <tableColumn id="2" xr3:uid="{3DDE41DD-3757-402F-9B19-5DEE7ED0C9F8}" name="Datum" dataDxfId="1119"/>
    <tableColumn id="3" xr3:uid="{AF572596-509E-43AC-93E3-38FFD1E25D54}" name="Beginn" dataDxfId="1118"/>
    <tableColumn id="4" xr3:uid="{626A54DA-B7C9-41F1-9BDB-BE088649C25D}" name="Ende" dataDxfId="1117"/>
    <tableColumn id="5" xr3:uid="{99038470-6BF4-462C-9ECD-61A9889EC0C1}" name="Eintragung" dataDxfId="1116"/>
    <tableColumn id="6" xr3:uid="{52078A5E-C542-481E-A9FA-1764BE4D3044}" name="Pause" dataDxfId="1115"/>
    <tableColumn id="7" xr3:uid="{7F626637-A9F1-468E-8722-235B59A21149}" name="Homeoffice/Zusatz" dataDxfId="1114"/>
    <tableColumn id="8" xr3:uid="{8106E4C6-5181-4D07-AB72-669E0C8F6D6D}" name="Summe Tagesarbeitszeit" dataDxfId="111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2" dataDxfId="1110" headerRowBorderDxfId="1111" tableBorderDxfId="1109">
  <tableColumns count="8">
    <tableColumn id="1" xr3:uid="{2EC84DFD-77C6-4C31-9B42-57EFC0378261}" name="Tag" dataDxfId="1108">
      <calculatedColumnFormula>TEXT(Tabelle121730302622107109117209[[#This Row],[Datum]],"tttt")</calculatedColumnFormula>
    </tableColumn>
    <tableColumn id="2" xr3:uid="{18FD16B6-E7C7-4B0B-8151-2017A42C60B3}" name="Datum" dataDxfId="1107"/>
    <tableColumn id="3" xr3:uid="{8A0158F8-A0E4-4D71-BFBA-AD55D38CE85F}" name="Beginn" dataDxfId="1106"/>
    <tableColumn id="4" xr3:uid="{D8BFD794-003B-4758-BBB9-F2188E8B9A7A}" name="Ende" dataDxfId="1105"/>
    <tableColumn id="5" xr3:uid="{A98F1627-D6BD-464C-ABBB-B7B819FF728D}" name="Eintragung" dataDxfId="1104"/>
    <tableColumn id="6" xr3:uid="{9D717343-07C9-4DF3-88E9-9705AE723929}" name="Pause" dataDxfId="1103"/>
    <tableColumn id="7" xr3:uid="{2770FE32-5184-4F0D-9FAC-2F8C6BF6ED33}" name="Homeoffice/Zusatz" dataDxfId="1102"/>
    <tableColumn id="8" xr3:uid="{FC1118CD-75BD-4119-8707-BDE8D053844D}" name="Summe Tagesarbeitszeit" dataDxfId="110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0" dataDxfId="1098" headerRowBorderDxfId="1099" tableBorderDxfId="1097">
  <tableColumns count="8">
    <tableColumn id="1" xr3:uid="{EA5F419F-DF02-4E2F-8982-CF82A5AF0841}" name="Tag" dataDxfId="1096">
      <calculatedColumnFormula>TEXT(Tabelle12173030297208458[[#This Row],[Datum]],"tttt")</calculatedColumnFormula>
    </tableColumn>
    <tableColumn id="2" xr3:uid="{EDBB8318-4AEF-4094-91FB-4BE4884AC848}" name="Datum" dataDxfId="1095"/>
    <tableColumn id="3" xr3:uid="{5256FFE5-4E55-44D0-9D57-573BFFF3D84F}" name="Beginn" dataDxfId="1094"/>
    <tableColumn id="4" xr3:uid="{FA3F5EE9-B5BC-4A02-859F-11E12B8B3E57}" name="Ende" dataDxfId="1093"/>
    <tableColumn id="5" xr3:uid="{9ED9B1E4-B404-437F-B56D-212252A285F6}" name="Eintragung" dataDxfId="1092"/>
    <tableColumn id="6" xr3:uid="{FBA416AA-DEBC-4ADF-990A-6ABBA38D4011}" name="Pause" dataDxfId="1091"/>
    <tableColumn id="7" xr3:uid="{D4BB1D03-46EC-45F3-AF45-1CEEA02CBF43}" name="Homeoffice/Zusatz" dataDxfId="1090"/>
    <tableColumn id="8" xr3:uid="{724624C5-11D4-4F57-82B5-F6707D6CE663}" name="Summe Tagesarbeitszeit" dataDxfId="108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88" dataDxfId="1086" headerRowBorderDxfId="1087" tableBorderDxfId="1085">
  <tableColumns count="8">
    <tableColumn id="1" xr3:uid="{5CBAC298-46FB-42DC-AF47-12CEDEE4BBAB}" name="Tag" dataDxfId="1084">
      <calculatedColumnFormula>TEXT(Tabelle12173030297208559[[#This Row],[Datum]],"tttt")</calculatedColumnFormula>
    </tableColumn>
    <tableColumn id="2" xr3:uid="{DB4695E4-B8AC-4209-A5FF-D2A1B4231E18}" name="Datum" dataDxfId="1083"/>
    <tableColumn id="3" xr3:uid="{A99C6668-C9BD-4937-8654-34F501FB8991}" name="Beginn" dataDxfId="1082"/>
    <tableColumn id="4" xr3:uid="{290D360E-16E2-4D9F-BBEB-76F49136133C}" name="Ende" dataDxfId="1081"/>
    <tableColumn id="5" xr3:uid="{968F809F-C806-45BC-BFB0-21A7A5F10FD1}" name="Eintragung" dataDxfId="1080"/>
    <tableColumn id="6" xr3:uid="{F2B4F3DE-D1F1-4B66-B182-8D5BDF68E105}" name="Pause" dataDxfId="1079"/>
    <tableColumn id="7" xr3:uid="{482DD475-604E-4E3F-AE11-83FFE63B077B}" name="Homeoffice/Zusatz" dataDxfId="1078"/>
    <tableColumn id="8" xr3:uid="{88879C8F-2BE7-42AA-874C-57004184E0E4}" name="Summe Tagesarbeitszeit" dataDxfId="107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76" dataDxfId="1074" headerRowBorderDxfId="1075" tableBorderDxfId="1073">
  <tableColumns count="8">
    <tableColumn id="1" xr3:uid="{7A0EA77A-39E0-449E-B3AE-353C001A90B3}" name="Tag" dataDxfId="1072">
      <calculatedColumnFormula>TEXT(Tabelle12173030297208660[[#This Row],[Datum]],"tttt")</calculatedColumnFormula>
    </tableColumn>
    <tableColumn id="2" xr3:uid="{4BD4F5DD-84D0-4132-B018-44BBB7E64796}" name="Datum" dataDxfId="1071"/>
    <tableColumn id="3" xr3:uid="{F5C60613-E601-443D-B733-FEEB8E08054B}" name="Beginn" dataDxfId="1070"/>
    <tableColumn id="4" xr3:uid="{904220A9-0353-418F-B94F-B385B86982D4}" name="Ende" dataDxfId="1069"/>
    <tableColumn id="5" xr3:uid="{5218663E-1186-4037-A87A-B43100C28D79}" name="Eintragung" dataDxfId="1068"/>
    <tableColumn id="6" xr3:uid="{C180FF68-E73C-4FD9-AC6D-9F3FBCAA4DA2}" name="Pause" dataDxfId="1067"/>
    <tableColumn id="7" xr3:uid="{5303EE23-7917-4AFA-BDBB-7A3B1F2EAF54}" name="Homeoffice/Zusatz" dataDxfId="1066"/>
    <tableColumn id="8" xr3:uid="{0FF352BB-FB66-44F4-B7D0-BB33AB3CCFCA}" name="Summe Tagesarbeitszeit" dataDxfId="106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4" dataDxfId="1062" headerRowBorderDxfId="1063" tableBorderDxfId="1061">
  <tableColumns count="8">
    <tableColumn id="1" xr3:uid="{292BEE2F-62D4-4B0F-B5F2-BB0DB2D49DF2}" name="Tag" dataDxfId="1060">
      <calculatedColumnFormula>TEXT(Tabelle12173030297208761[[#This Row],[Datum]],"tttt")</calculatedColumnFormula>
    </tableColumn>
    <tableColumn id="2" xr3:uid="{86CA65EE-AA81-4347-8045-966EC60B32C3}" name="Datum" dataDxfId="1059"/>
    <tableColumn id="3" xr3:uid="{A363C457-068F-417C-8195-E62EBCC1FD7A}" name="Beginn" dataDxfId="1058"/>
    <tableColumn id="4" xr3:uid="{EA075CE6-B23C-4174-91EA-B4E591EAD394}" name="Ende" dataDxfId="1057"/>
    <tableColumn id="5" xr3:uid="{0AE52C4B-5420-46E5-9C16-92AA12D2D997}" name="Eintragung" dataDxfId="1056"/>
    <tableColumn id="6" xr3:uid="{721D3169-F426-4967-A10B-3B0574BC7B1D}" name="Pause" dataDxfId="1055"/>
    <tableColumn id="7" xr3:uid="{8ECB3E97-0643-4C09-A232-98637DB72A53}" name="Homeoffice/Zusatz" dataDxfId="1054"/>
    <tableColumn id="8" xr3:uid="{E4F68A6B-BBDA-494F-B1CA-7B950EFEBB03}" name="Summe Tagesarbeitszeit" dataDxfId="105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2" dataDxfId="1050" headerRowBorderDxfId="1051" tableBorderDxfId="1049">
  <tableColumns count="8">
    <tableColumn id="1" xr3:uid="{42D87E70-E334-4A06-93C6-4DA471627C60}" name="Tag" dataDxfId="1048">
      <calculatedColumnFormula>TEXT(Tabelle121730302972083862[[#This Row],[Datum]],"tttt")</calculatedColumnFormula>
    </tableColumn>
    <tableColumn id="2" xr3:uid="{17E58140-519E-4F03-8494-709E8C31D6A5}" name="Datum" dataDxfId="1047"/>
    <tableColumn id="3" xr3:uid="{68673C03-A278-44EC-8005-2F4576ED514C}" name="Beginn" dataDxfId="1046"/>
    <tableColumn id="4" xr3:uid="{D3EE0CB6-78F1-4411-A087-A75B30FE0D3A}" name="Ende" dataDxfId="1045"/>
    <tableColumn id="5" xr3:uid="{41DA0676-DC1C-4B41-ADE6-F4D7B33E4A0F}" name="Eintragung" dataDxfId="1044"/>
    <tableColumn id="6" xr3:uid="{BA986FCF-CD19-4B9E-90F9-FD54FFC8911C}" name="Pause" dataDxfId="1043"/>
    <tableColumn id="7" xr3:uid="{678CE669-7E68-4EAB-BA4A-38B77EAE6368}" name="Homeoffice/Zusatz" dataDxfId="1042"/>
    <tableColumn id="8" xr3:uid="{A9EC1873-78AE-4328-B63B-72369F25ABE3}" name="Summe Tagesarbeitszeit" dataDxfId="104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0" dataDxfId="1038" headerRowBorderDxfId="1039" tableBorderDxfId="1037">
  <tableColumns count="8">
    <tableColumn id="1" xr3:uid="{095BD85D-DA4C-4643-A7FB-EA6EEC26496A}" name="Tag" dataDxfId="1036">
      <calculatedColumnFormula>TEXT(Tabelle121730302972084963[[#This Row],[Datum]],"tttt")</calculatedColumnFormula>
    </tableColumn>
    <tableColumn id="2" xr3:uid="{3E572FAD-1E97-4356-B092-207C5A1D7F75}" name="Datum" dataDxfId="1035"/>
    <tableColumn id="3" xr3:uid="{00194A37-0258-4A3F-BB88-2215BDD8D5E3}" name="Beginn" dataDxfId="1034"/>
    <tableColumn id="4" xr3:uid="{45AE302E-AD15-4E2B-AD6C-20034C9BEE6F}" name="Ende" dataDxfId="1033"/>
    <tableColumn id="5" xr3:uid="{A01506A6-FD50-4044-954D-DABC912B555A}" name="Eintragung" dataDxfId="1032"/>
    <tableColumn id="6" xr3:uid="{3FE7CDFA-B228-4A80-BE15-FC5B5B703DC5}" name="Pause" dataDxfId="1031"/>
    <tableColumn id="7" xr3:uid="{DDECE916-B03C-4E64-82EC-FCB8F87B3073}" name="Homeoffice/Zusatz" dataDxfId="1030"/>
    <tableColumn id="8" xr3:uid="{DB6E1BC7-B271-438C-9184-19F64A6C6FE5}" name="Summe Tagesarbeitszeit" dataDxfId="102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28" dataDxfId="1026" headerRowBorderDxfId="1027" tableBorderDxfId="1025">
  <tableColumns count="8">
    <tableColumn id="1" xr3:uid="{9901E85D-D691-4830-AC40-1B509B96153D}" name="Tag" dataDxfId="1024">
      <calculatedColumnFormula>TEXT(Tabelle121730302972081064[[#This Row],[Datum]],"tttt")</calculatedColumnFormula>
    </tableColumn>
    <tableColumn id="2" xr3:uid="{44F13C2E-9B3D-4A63-ACBD-0526D14454E3}" name="Datum" dataDxfId="1023"/>
    <tableColumn id="3" xr3:uid="{D7DA350F-F2F9-4251-93DD-CA89A8E9B5F8}" name="Beginn" dataDxfId="1022"/>
    <tableColumn id="4" xr3:uid="{DE3F9F97-93EE-4A63-961F-DF1190CA2A1E}" name="Ende" dataDxfId="1021"/>
    <tableColumn id="5" xr3:uid="{EB86C9D1-8C6F-4C52-AB08-8E51661899B7}" name="Eintragung" dataDxfId="1020"/>
    <tableColumn id="6" xr3:uid="{397CBBE4-10CD-45DF-A3B4-9A1844365A85}" name="Pause" dataDxfId="1019"/>
    <tableColumn id="7" xr3:uid="{A37D3842-3BFD-4D7F-A477-8C8D6D2151F5}" name="Homeoffice/Zusatz" dataDxfId="1018"/>
    <tableColumn id="8" xr3:uid="{49D01C90-DA25-4485-A986-0B8DB71E0331}" name="Summe Tagesarbeitszeit" dataDxfId="101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16" dataDxfId="1014" headerRowBorderDxfId="1015" tableBorderDxfId="1013">
  <tableColumns count="8">
    <tableColumn id="1" xr3:uid="{54C7D519-5F9F-4B74-8758-E01F05A9B661}" name="Tag" dataDxfId="1012">
      <calculatedColumnFormula>TEXT(Tabelle1217303029720831165[[#This Row],[Datum]],"tttt")</calculatedColumnFormula>
    </tableColumn>
    <tableColumn id="2" xr3:uid="{90C63ABE-82F6-4D47-A52A-15D887141232}" name="Datum" dataDxfId="1011"/>
    <tableColumn id="3" xr3:uid="{4410287F-CDE8-4DFF-B9F9-FD2009214779}" name="Beginn" dataDxfId="1010"/>
    <tableColumn id="4" xr3:uid="{12FBAB2A-A218-4E4A-9F17-06E299621BF1}" name="Ende" dataDxfId="1009"/>
    <tableColumn id="5" xr3:uid="{9D2B6ED5-1BEE-416F-95DF-845B871C8A14}" name="Eintragung" dataDxfId="1008"/>
    <tableColumn id="6" xr3:uid="{01C69C89-B3EB-4176-8BDF-C5289E5789FC}" name="Pause" dataDxfId="1007"/>
    <tableColumn id="7" xr3:uid="{6BE5E3A4-123D-4163-9CDC-5E8124F5FADE}" name="Homeoffice/Zusatz" dataDxfId="1006"/>
    <tableColumn id="8" xr3:uid="{FB6BF9FD-77C0-443D-9528-E3E944A48FC1}" name="Summe Tagesarbeitszeit" dataDxfId="100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4" dataDxfId="1002" headerRowBorderDxfId="1003" tableBorderDxfId="1001">
  <tableColumns count="8">
    <tableColumn id="1" xr3:uid="{21E7C4E2-6AB0-4280-BDCE-64F4ECB37312}" name="Tag" dataDxfId="1000">
      <calculatedColumnFormula>TEXT(Tabelle1217303029720841266[[#This Row],[Datum]],"tttt")</calculatedColumnFormula>
    </tableColumn>
    <tableColumn id="2" xr3:uid="{ECF1595B-396A-4C4A-A7C1-D58A7A885B82}" name="Datum" dataDxfId="999"/>
    <tableColumn id="3" xr3:uid="{E4B53517-422E-49C0-B183-49DBE1D091DF}" name="Beginn" dataDxfId="998"/>
    <tableColumn id="4" xr3:uid="{85CFD565-7592-423B-9494-9BE657038435}" name="Ende" dataDxfId="997"/>
    <tableColumn id="5" xr3:uid="{3CD1A5EB-DAFE-4F87-A22F-4F28C0DE8CC2}" name="Eintragung" dataDxfId="996"/>
    <tableColumn id="6" xr3:uid="{A4F11B70-0A45-4CC7-978A-6261D964CF06}" name="Pause" dataDxfId="995"/>
    <tableColumn id="7" xr3:uid="{1CEC19CE-7397-4BC7-A1A1-DEFCA57044CB}" name="Homeoffice/Zusatz" dataDxfId="994"/>
    <tableColumn id="8" xr3:uid="{F2E48833-E733-4F60-8EF0-18C788CCAB97}" name="Summe Tagesarbeitszeit" dataDxfId="99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2" dataDxfId="990" headerRowBorderDxfId="991" tableBorderDxfId="989">
  <tableColumns count="8">
    <tableColumn id="1" xr3:uid="{D31C6614-078B-49D9-BD02-54E5900B44A5}" name="Tag" dataDxfId="988">
      <calculatedColumnFormula>TEXT(Tabelle121730302972081367[[#This Row],[Datum]],"tttt")</calculatedColumnFormula>
    </tableColumn>
    <tableColumn id="2" xr3:uid="{2AE5E27F-E548-4268-9BC1-F46DFF6FCF36}" name="Datum" dataDxfId="987"/>
    <tableColumn id="3" xr3:uid="{0D79A88A-9B79-4A99-9857-2A2EDB759E73}" name="Beginn" dataDxfId="986"/>
    <tableColumn id="4" xr3:uid="{7873FDD9-1245-46EE-BEB2-726975B379A7}" name="Ende" dataDxfId="985"/>
    <tableColumn id="5" xr3:uid="{83E224D7-EFF5-47AE-8114-54C67C0FBAEC}" name="Eintragung" dataDxfId="984"/>
    <tableColumn id="6" xr3:uid="{ABBAFB93-2C92-4FF1-ABBD-55BD51BFB6A2}" name="Pause" dataDxfId="983"/>
    <tableColumn id="7" xr3:uid="{B612F157-8C57-4359-ABAB-2E09E0337D1E}" name="Homeoffice/Zusatz" dataDxfId="982"/>
    <tableColumn id="8" xr3:uid="{FD23A23F-1129-484A-8BE4-11F257EFEA9A}" name="Summe Tagesarbeitszeit" dataDxfId="98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0" dataDxfId="978" headerRowBorderDxfId="979" tableBorderDxfId="977">
  <tableColumns count="8">
    <tableColumn id="1" xr3:uid="{9DCFBD94-ACA4-41FF-B378-4C61668EC8D2}" name="Tag" dataDxfId="976">
      <calculatedColumnFormula>TEXT(Tabelle1217303029720831468[[#This Row],[Datum]],"tttt")</calculatedColumnFormula>
    </tableColumn>
    <tableColumn id="2" xr3:uid="{FCC64686-F815-4257-9DD6-2EEA7D59A713}" name="Datum" dataDxfId="975"/>
    <tableColumn id="3" xr3:uid="{8511BE88-77E4-413A-91DE-FAA7DDB29B3F}" name="Beginn" dataDxfId="974"/>
    <tableColumn id="4" xr3:uid="{0D850D72-964E-4236-8EA5-3677D8F859CC}" name="Ende" dataDxfId="973"/>
    <tableColumn id="5" xr3:uid="{B27D8A31-4139-4294-99A4-E27C9613F938}" name="Eintragung" dataDxfId="972"/>
    <tableColumn id="6" xr3:uid="{A2CA8E1E-6148-4DFA-938D-AFBBF4DD2C90}" name="Pause" dataDxfId="971"/>
    <tableColumn id="7" xr3:uid="{ED0C3766-C86B-48B1-9F6D-9F66A087E15D}" name="Homeoffice/Zusatz" dataDxfId="970"/>
    <tableColumn id="8" xr3:uid="{95A5CE83-876F-4548-BE5D-290770154D77}" name="Summe Tagesarbeitszeit" dataDxfId="96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68" dataDxfId="966" headerRowBorderDxfId="967" tableBorderDxfId="965">
  <tableColumns count="8">
    <tableColumn id="1" xr3:uid="{8E99FFB6-3E1F-47E1-851F-07EDE20C9A0F}" name="Tag" dataDxfId="964">
      <calculatedColumnFormula>TEXT(Tabelle1217303029720841569[[#This Row],[Datum]],"tttt")</calculatedColumnFormula>
    </tableColumn>
    <tableColumn id="2" xr3:uid="{5485C645-8CB6-440F-BC40-6787FE7898AE}" name="Datum" dataDxfId="963"/>
    <tableColumn id="3" xr3:uid="{39D2C9B7-E461-4FC1-920B-61B7390619DC}" name="Beginn" dataDxfId="962"/>
    <tableColumn id="4" xr3:uid="{A8DD164B-6ADF-46B0-A4E8-C3882A2821A4}" name="Ende" dataDxfId="961"/>
    <tableColumn id="5" xr3:uid="{73165699-2460-419D-B43E-B04AB0AB34BF}" name="Eintragung" dataDxfId="960"/>
    <tableColumn id="6" xr3:uid="{B7AF4551-E78C-4A6C-835E-F630C71C0FF3}" name="Pause" dataDxfId="959"/>
    <tableColumn id="7" xr3:uid="{24FD4D63-0185-449E-B8F5-F7B37896F2B2}" name="Homeoffice/Zusatz" dataDxfId="958"/>
    <tableColumn id="8" xr3:uid="{40BD3044-3205-45EA-974F-14398D72D9E1}" name="Summe Tagesarbeitszeit" dataDxfId="95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56" dataDxfId="954" headerRowBorderDxfId="955" tableBorderDxfId="953">
  <tableColumns count="8">
    <tableColumn id="1" xr3:uid="{B73A3C46-1683-4E5D-B61D-5BD677F90B52}" name="Tag" dataDxfId="952">
      <calculatedColumnFormula>TEXT(Tabelle121730302972081670[[#This Row],[Datum]],"tttt")</calculatedColumnFormula>
    </tableColumn>
    <tableColumn id="2" xr3:uid="{66927CAD-836C-422E-A69B-26940982C7F5}" name="Datum" dataDxfId="951"/>
    <tableColumn id="3" xr3:uid="{4FEB2A81-71EC-4006-99DF-E524CC8B9FBD}" name="Beginn" dataDxfId="950"/>
    <tableColumn id="4" xr3:uid="{7144FF8C-D9CD-41D3-9D13-32F3A84A4DA7}" name="Ende" dataDxfId="949"/>
    <tableColumn id="5" xr3:uid="{10052BAC-9C5D-499F-9893-ADAFCD25218B}" name="Eintragung" dataDxfId="948"/>
    <tableColumn id="6" xr3:uid="{79EA7432-AB42-4D3A-BEA1-F20AA703415C}" name="Pause" dataDxfId="947"/>
    <tableColumn id="7" xr3:uid="{0771CDDC-9284-4917-9756-578FE348C409}" name="Homeoffice/Zusatz" dataDxfId="946"/>
    <tableColumn id="8" xr3:uid="{8B5F8D13-0243-40E8-B9B3-0FDE2E8EBFB6}" name="Summe Tagesarbeitszeit" dataDxfId="94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4" dataDxfId="942" headerRowBorderDxfId="943" tableBorderDxfId="941">
  <tableColumns count="8">
    <tableColumn id="1" xr3:uid="{AA5E0C93-941A-4BE4-AEB4-B4C9410E4247}" name="Tag" dataDxfId="940">
      <calculatedColumnFormula>TEXT(Tabelle1217303029720831771[[#This Row],[Datum]],"tttt")</calculatedColumnFormula>
    </tableColumn>
    <tableColumn id="2" xr3:uid="{DC11F9A1-0ECF-4ECB-BDA7-C88712637BB0}" name="Datum" dataDxfId="939"/>
    <tableColumn id="3" xr3:uid="{78A3CC5D-FF97-4D4E-8CAF-BE2522B0F8D4}" name="Beginn" dataDxfId="938"/>
    <tableColumn id="4" xr3:uid="{87AB0FD3-1EE9-4352-BC34-239552225C5B}" name="Ende" dataDxfId="937"/>
    <tableColumn id="5" xr3:uid="{76BDAC92-3364-4CA9-AC53-BCE9A938F574}" name="Eintragung" dataDxfId="936"/>
    <tableColumn id="6" xr3:uid="{5C5A6548-40F7-48C0-AD61-6D0DC9F1A2BE}" name="Pause" dataDxfId="935"/>
    <tableColumn id="7" xr3:uid="{1C77C3FE-FAC1-474B-A78A-6241B39A0FAE}" name="Homeoffice/Zusatz" dataDxfId="934"/>
    <tableColumn id="8" xr3:uid="{B9BBF4B3-B7E8-402C-B1C7-0BBAFDE80BB1}" name="Summe Tagesarbeitszeit" dataDxfId="93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2" dataDxfId="930" headerRowBorderDxfId="931" tableBorderDxfId="929">
  <tableColumns count="8">
    <tableColumn id="1" xr3:uid="{4D936B69-2B1A-41F4-85EB-BBE6FA1F4973}" name="Tag" dataDxfId="928">
      <calculatedColumnFormula>TEXT(Tabelle1217303029720841872[[#This Row],[Datum]],"tttt")</calculatedColumnFormula>
    </tableColumn>
    <tableColumn id="2" xr3:uid="{FDC6C787-80E7-444D-8832-B8DE5C74217E}" name="Datum" dataDxfId="927"/>
    <tableColumn id="3" xr3:uid="{8C160BE6-7EA8-4D9A-854A-79C2619BC258}" name="Beginn" dataDxfId="926"/>
    <tableColumn id="4" xr3:uid="{51F74449-0B82-4801-BE1D-4F8E74B484A8}" name="Ende" dataDxfId="925"/>
    <tableColumn id="5" xr3:uid="{15812C93-691B-4A07-BD4A-B38F450CA8C3}" name="Eintragung" dataDxfId="924"/>
    <tableColumn id="6" xr3:uid="{C9D70554-22E1-40F0-8C53-0C67EF099E3C}" name="Pause" dataDxfId="923"/>
    <tableColumn id="7" xr3:uid="{33888B38-5623-4BD6-86D8-A4FDD09667A1}" name="Homeoffice/Zusatz" dataDxfId="922"/>
    <tableColumn id="8" xr3:uid="{7E5BD651-40F9-4024-9CA0-BB2F29A6018A}" name="Summe Tagesarbeitszeit" dataDxfId="92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0" dataDxfId="918" headerRowBorderDxfId="919" tableBorderDxfId="917">
  <tableColumns count="8">
    <tableColumn id="1" xr3:uid="{726B5AD6-74B5-4611-81D5-7ABEE9D5A17A}" name="Tag" dataDxfId="916">
      <calculatedColumnFormula>TEXT(Tabelle121730302972081973[[#This Row],[Datum]],"tttt")</calculatedColumnFormula>
    </tableColumn>
    <tableColumn id="2" xr3:uid="{775A8E01-92D3-4C79-956A-5E9F92379197}" name="Datum" dataDxfId="915"/>
    <tableColumn id="3" xr3:uid="{3B4ED841-A664-4FC9-87D5-949C6A2194C2}" name="Beginn" dataDxfId="914"/>
    <tableColumn id="4" xr3:uid="{485002D0-7AFC-4129-AD4B-FC5ECFF363CB}" name="Ende" dataDxfId="913"/>
    <tableColumn id="5" xr3:uid="{74E03956-CCD0-4118-A50F-21335605F097}" name="Eintragung" dataDxfId="912"/>
    <tableColumn id="6" xr3:uid="{1213F7A0-9CE0-4F89-8C1D-9B522C75E7DF}" name="Pause" dataDxfId="911"/>
    <tableColumn id="7" xr3:uid="{4C5C7C9D-1835-4F09-B0FB-4D049524C855}" name="Homeoffice/Zusatz" dataDxfId="910"/>
    <tableColumn id="8" xr3:uid="{19567BB8-3ACE-44CC-A807-99AD16CF5F06}" name="Summe Tagesarbeitszeit" dataDxfId="90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08" dataDxfId="906" headerRowBorderDxfId="907" tableBorderDxfId="905">
  <tableColumns count="8">
    <tableColumn id="1" xr3:uid="{4C1FFF85-020C-4683-9761-535187A8B8F4}" name="Tag" dataDxfId="904">
      <calculatedColumnFormula>TEXT(Tabelle1217303029720832074[[#This Row],[Datum]],"tttt")</calculatedColumnFormula>
    </tableColumn>
    <tableColumn id="2" xr3:uid="{33CF4BD3-5265-42A5-A30A-0F3BB1E3A468}" name="Datum" dataDxfId="903"/>
    <tableColumn id="3" xr3:uid="{10F56C84-4AE2-498A-AF1B-C02BD1AFB023}" name="Beginn" dataDxfId="902"/>
    <tableColumn id="4" xr3:uid="{E51B5D1A-44B5-4AA6-9A3F-B67D50211170}" name="Ende" dataDxfId="901"/>
    <tableColumn id="5" xr3:uid="{F703A034-70B5-4A3F-8A10-D370B17CB91F}" name="Eintragung" dataDxfId="900"/>
    <tableColumn id="6" xr3:uid="{681D16AB-E4B8-4A2C-AC69-C21FE128B955}" name="Pause" dataDxfId="899"/>
    <tableColumn id="7" xr3:uid="{ECCC55A6-60CB-45AE-832E-982B22CA4237}" name="Homeoffice/Zusatz" dataDxfId="898"/>
    <tableColumn id="8" xr3:uid="{D3EDEBD8-640D-4315-95D5-12BA8BA1AFC8}" name="Summe Tagesarbeitszeit" dataDxfId="89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896" dataDxfId="894" headerRowBorderDxfId="895" tableBorderDxfId="893">
  <tableColumns count="8">
    <tableColumn id="1" xr3:uid="{51F927E8-86CB-44C1-9772-A0876A628522}" name="Tag" dataDxfId="892">
      <calculatedColumnFormula>TEXT(Tabelle1217303029720842175[[#This Row],[Datum]],"tttt")</calculatedColumnFormula>
    </tableColumn>
    <tableColumn id="2" xr3:uid="{0C55EA97-78F9-4973-B657-F6806C5F7F03}" name="Datum" dataDxfId="891"/>
    <tableColumn id="3" xr3:uid="{9C96F409-27C0-4A6F-9E4C-DBD35D9EBBE6}" name="Beginn" dataDxfId="890"/>
    <tableColumn id="4" xr3:uid="{C321B2F6-B230-4031-B96A-0FA23E93AA10}" name="Ende" dataDxfId="889"/>
    <tableColumn id="5" xr3:uid="{6B78F326-FA15-490D-9974-FF668DC7FF65}" name="Eintragung" dataDxfId="888"/>
    <tableColumn id="6" xr3:uid="{0137AF37-DE07-4A70-9877-35F0262811D2}" name="Pause" dataDxfId="887"/>
    <tableColumn id="7" xr3:uid="{9AA9B195-C51B-4F04-ADC3-421651A64C66}" name="Homeoffice/Zusatz" dataDxfId="886"/>
    <tableColumn id="8" xr3:uid="{36A8A505-F197-42B2-948E-96B8359DBA58}" name="Summe Tagesarbeitszeit" dataDxfId="88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4" dataDxfId="882" headerRowBorderDxfId="883" tableBorderDxfId="881">
  <tableColumns count="8">
    <tableColumn id="1" xr3:uid="{6E78B853-F02E-470E-A041-87F5979A4C3B}" name="Tag" dataDxfId="880">
      <calculatedColumnFormula>TEXT(Tabelle121730302972082276[[#This Row],[Datum]],"tttt")</calculatedColumnFormula>
    </tableColumn>
    <tableColumn id="2" xr3:uid="{D7EB7E41-AA87-4777-820F-9A6C5E12F75C}" name="Datum" dataDxfId="879"/>
    <tableColumn id="3" xr3:uid="{776899A9-E0D1-4EAF-855F-441BB15BA6DA}" name="Beginn" dataDxfId="878"/>
    <tableColumn id="4" xr3:uid="{16E37B82-3764-4AE6-A02E-EB4BDB35FECC}" name="Ende" dataDxfId="877"/>
    <tableColumn id="5" xr3:uid="{65E11C1F-8CC9-4FB8-90A4-AB18F03AED26}" name="Eintragung" dataDxfId="876"/>
    <tableColumn id="6" xr3:uid="{3D68656D-C411-43AC-87E8-E0E336257E11}" name="Pause" dataDxfId="875"/>
    <tableColumn id="7" xr3:uid="{A8677A7D-CA71-44C4-BB91-F3CFA37DFDFB}" name="Homeoffice/Zusatz" dataDxfId="874"/>
    <tableColumn id="8" xr3:uid="{4B72967A-E0AB-418B-A950-D449E20ED987}" name="Summe Tagesarbeitszeit" dataDxfId="87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2" dataDxfId="870" headerRowBorderDxfId="871" tableBorderDxfId="869">
  <tableColumns count="8">
    <tableColumn id="1" xr3:uid="{13C28D15-3C04-4F8C-8D6E-0882DB1AAE91}" name="Tag" dataDxfId="868">
      <calculatedColumnFormula>TEXT(Tabelle1217303029720832377[[#This Row],[Datum]],"tttt")</calculatedColumnFormula>
    </tableColumn>
    <tableColumn id="2" xr3:uid="{4BA1F658-9FC9-4BC3-864A-818E1CEDC858}" name="Datum" dataDxfId="867"/>
    <tableColumn id="3" xr3:uid="{741166AE-0E27-454D-AA07-038881207D99}" name="Beginn" dataDxfId="866"/>
    <tableColumn id="4" xr3:uid="{8649C607-E558-49AB-9EA5-638EFF7E8E3E}" name="Ende" dataDxfId="865"/>
    <tableColumn id="5" xr3:uid="{0041BCF8-414E-4F45-86AA-42730AD9E199}" name="Eintragung" dataDxfId="864"/>
    <tableColumn id="6" xr3:uid="{EDBD2B47-E106-4A89-B0F7-086B14E619D2}" name="Pause" dataDxfId="863"/>
    <tableColumn id="7" xr3:uid="{C0789A8F-4DA1-45E0-AD4F-712EC8E849FE}" name="Homeoffice/Zusatz" dataDxfId="862"/>
    <tableColumn id="8" xr3:uid="{B2B8B49C-353A-42D0-9CAD-D4E550EEC577}" name="Summe Tagesarbeitszeit" dataDxfId="86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0" dataDxfId="858" headerRowBorderDxfId="859" tableBorderDxfId="857">
  <tableColumns count="8">
    <tableColumn id="1" xr3:uid="{32EC6F6E-A040-4F24-9205-D92215C6F359}" name="Tag" dataDxfId="856">
      <calculatedColumnFormula>TEXT(Tabelle1217303029720842478[[#This Row],[Datum]],"tttt")</calculatedColumnFormula>
    </tableColumn>
    <tableColumn id="2" xr3:uid="{49D5A8DF-5AA4-45A3-A942-3CE03DF2F43D}" name="Datum" dataDxfId="855"/>
    <tableColumn id="3" xr3:uid="{4D0294D2-F32A-4E96-91DF-AABEB19DB96D}" name="Beginn" dataDxfId="854"/>
    <tableColumn id="4" xr3:uid="{CED2726F-B73F-4984-95B6-40CFB36030B3}" name="Ende" dataDxfId="853"/>
    <tableColumn id="5" xr3:uid="{C082C0A4-C60F-4BFB-B181-225321066843}" name="Eintragung" dataDxfId="852"/>
    <tableColumn id="6" xr3:uid="{8CE529DB-25E1-4109-BF55-7145760CC144}" name="Pause" dataDxfId="851"/>
    <tableColumn id="7" xr3:uid="{E7AA3410-5C61-4E0B-89EF-885161CDCB60}" name="Homeoffice/Zusatz" dataDxfId="850"/>
    <tableColumn id="8" xr3:uid="{942F682D-DB1B-41FB-B8F3-428F8CA01661}" name="Summe Tagesarbeitszeit" dataDxfId="84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48" dataDxfId="846" headerRowBorderDxfId="847" tableBorderDxfId="845">
  <tableColumns count="8">
    <tableColumn id="1" xr3:uid="{45D3F465-75D4-4EA1-A650-8BC4B31F9D26}" name="Tag" dataDxfId="844">
      <calculatedColumnFormula>TEXT(Tabelle121730302972082579[[#This Row],[Datum]],"tttt")</calculatedColumnFormula>
    </tableColumn>
    <tableColumn id="2" xr3:uid="{6E4A4A93-9240-4993-9E65-2030B1CF2EA5}" name="Datum" dataDxfId="843"/>
    <tableColumn id="3" xr3:uid="{57EE06F1-FC7F-4596-9B53-044FD1B31EF0}" name="Beginn" dataDxfId="842"/>
    <tableColumn id="4" xr3:uid="{0D836D92-5232-4FF5-9349-57E5992A5329}" name="Ende" dataDxfId="841"/>
    <tableColumn id="5" xr3:uid="{A5681A09-8D29-4BF8-A4A8-4D3704DB9395}" name="Eintragung" dataDxfId="840"/>
    <tableColumn id="6" xr3:uid="{332C9ECC-048A-4E29-A249-685317022761}" name="Pause" dataDxfId="839"/>
    <tableColumn id="7" xr3:uid="{12337B08-8AC6-4188-A468-61F09E473CEF}" name="Homeoffice/Zusatz" dataDxfId="838"/>
    <tableColumn id="8" xr3:uid="{43EE375B-85A2-4DC6-ADCF-B4A28F05D540}" name="Summe Tagesarbeitszeit" dataDxfId="83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36" dataDxfId="834" headerRowBorderDxfId="835" tableBorderDxfId="833">
  <tableColumns count="8">
    <tableColumn id="1" xr3:uid="{02B8473A-27B8-4F5E-BB2A-D4164DD71794}" name="Tag" dataDxfId="832">
      <calculatedColumnFormula>TEXT(Tabelle1217303029720832680[[#This Row],[Datum]],"tttt")</calculatedColumnFormula>
    </tableColumn>
    <tableColumn id="2" xr3:uid="{27F56199-C290-493C-B07C-BC3E9ECA72B2}" name="Datum" dataDxfId="831"/>
    <tableColumn id="3" xr3:uid="{86CFADEF-50CE-4A62-B3FA-42C4E1A3F983}" name="Beginn" dataDxfId="830"/>
    <tableColumn id="4" xr3:uid="{71A35669-32FD-450D-A290-679D86762C17}" name="Ende" dataDxfId="829"/>
    <tableColumn id="5" xr3:uid="{07C15C98-C51A-4467-B3BC-E9966BDDF40D}" name="Eintragung" dataDxfId="828"/>
    <tableColumn id="6" xr3:uid="{C1D8051F-AC7A-4EC2-A3DC-85E4F0DF1F3E}" name="Pause" dataDxfId="827"/>
    <tableColumn id="7" xr3:uid="{C5A8B21C-1300-4C8C-B273-03A93A2B6C6C}" name="Homeoffice/Zusatz" dataDxfId="826"/>
    <tableColumn id="8" xr3:uid="{1EA4E9A4-EE8D-4B25-8A81-D2C3CEE55489}" name="Summe Tagesarbeitszeit" dataDxfId="82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4" dataDxfId="822" headerRowBorderDxfId="823" tableBorderDxfId="821">
  <tableColumns count="8">
    <tableColumn id="1" xr3:uid="{5F443411-0961-437F-8358-A602B9834926}" name="Tag" dataDxfId="820">
      <calculatedColumnFormula>TEXT(Tabelle1217303029720842781[[#This Row],[Datum]],"tttt")</calculatedColumnFormula>
    </tableColumn>
    <tableColumn id="2" xr3:uid="{8EB6DBA4-74D1-4976-B0F4-64B3ABC7A2BE}" name="Datum" dataDxfId="819"/>
    <tableColumn id="3" xr3:uid="{3556BAD1-7599-47A2-B138-175F7267A21E}" name="Beginn" dataDxfId="818"/>
    <tableColumn id="4" xr3:uid="{EB1C319C-0BE9-46A0-A980-113D5A9E9B42}" name="Ende" dataDxfId="817"/>
    <tableColumn id="5" xr3:uid="{3D817144-7915-46E0-90C8-4B49488DDAA3}" name="Eintragung" dataDxfId="816"/>
    <tableColumn id="6" xr3:uid="{067F6127-9173-4061-8F27-7176F9AAA580}" name="Pause" dataDxfId="815"/>
    <tableColumn id="7" xr3:uid="{965D9FA6-A912-48F7-B29B-8311EDEFD052}" name="Homeoffice/Zusatz" dataDxfId="814"/>
    <tableColumn id="8" xr3:uid="{B904FFCB-7BC2-4664-B181-17B13A1301D8}" name="Summe Tagesarbeitszeit" dataDxfId="81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2" dataDxfId="810" headerRowBorderDxfId="811" tableBorderDxfId="809">
  <tableColumns count="8">
    <tableColumn id="1" xr3:uid="{795AC3A5-7D11-4EC1-A0A6-D1A599BE4F8A}" name="Tag" dataDxfId="808">
      <calculatedColumnFormula>TEXT(Tabelle121730302972082882[[#This Row],[Datum]],"tttt")</calculatedColumnFormula>
    </tableColumn>
    <tableColumn id="2" xr3:uid="{840F230E-0FDF-4F75-8DFC-5F117BDC06E0}" name="Datum" dataDxfId="807"/>
    <tableColumn id="3" xr3:uid="{5D61226D-7980-48FE-8150-8048638458BD}" name="Beginn" dataDxfId="806"/>
    <tableColumn id="4" xr3:uid="{D323672B-AC22-461D-89D5-1679BA7EF5D0}" name="Ende" dataDxfId="805"/>
    <tableColumn id="5" xr3:uid="{CFA8AD81-8693-404E-95E6-A03434B81C73}" name="Eintragung" dataDxfId="804"/>
    <tableColumn id="6" xr3:uid="{1573C701-4D5A-49F9-A375-FC7BBE95989E}" name="Pause" dataDxfId="803"/>
    <tableColumn id="7" xr3:uid="{9704DD29-CA06-43E3-A192-E02E33058B3C}" name="Homeoffice/Zusatz" dataDxfId="802"/>
    <tableColumn id="8" xr3:uid="{6BBE478C-5FED-48DE-92C3-EF88F5CAE4D5}" name="Summe Tagesarbeitszeit" dataDxfId="80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0" dataDxfId="798" headerRowBorderDxfId="799" tableBorderDxfId="797">
  <tableColumns count="8">
    <tableColumn id="1" xr3:uid="{B22EEA9D-F5AF-4EB6-8EFB-82A3AC8A83E9}" name="Tag" dataDxfId="796">
      <calculatedColumnFormula>TEXT(Tabelle1217303029720832983[[#This Row],[Datum]],"tttt")</calculatedColumnFormula>
    </tableColumn>
    <tableColumn id="2" xr3:uid="{5EFEB752-4AD6-4DAC-A40F-0CE88B1D2CA7}" name="Datum" dataDxfId="795"/>
    <tableColumn id="3" xr3:uid="{FDB7CB16-B7D4-4DEF-B964-6F1A3481996A}" name="Beginn" dataDxfId="794"/>
    <tableColumn id="4" xr3:uid="{3D46F9DA-33F2-47F7-8E09-C36573A9736F}" name="Ende" dataDxfId="793"/>
    <tableColumn id="5" xr3:uid="{B7B878E1-4B6A-4745-8856-1855FD1305DB}" name="Eintragung" dataDxfId="792"/>
    <tableColumn id="6" xr3:uid="{22D50C79-7D68-4345-A4FA-BB45C5EE5424}" name="Pause" dataDxfId="791"/>
    <tableColumn id="7" xr3:uid="{8CF67576-5494-43A4-B512-98C8F3030FF2}" name="Homeoffice/Zusatz" dataDxfId="790"/>
    <tableColumn id="8" xr3:uid="{A3726EB1-B5B2-4ED6-AFA9-B6C5AC1BB51E}" name="Summe Tagesarbeitszeit" dataDxfId="78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88" dataDxfId="786" headerRowBorderDxfId="787" tableBorderDxfId="785">
  <tableColumns count="8">
    <tableColumn id="1" xr3:uid="{532A08D3-FB10-4610-AD04-401B0D62123C}" name="Tag" dataDxfId="784">
      <calculatedColumnFormula>TEXT(Tabelle1217303029720843184[[#This Row],[Datum]],"tttt")</calculatedColumnFormula>
    </tableColumn>
    <tableColumn id="2" xr3:uid="{04144221-3B49-46C4-9930-7EC9AE8BFB42}" name="Datum" dataDxfId="783"/>
    <tableColumn id="3" xr3:uid="{EF563BA4-E577-4044-BD47-EB47261F4646}" name="Beginn" dataDxfId="782"/>
    <tableColumn id="4" xr3:uid="{14574E12-88F6-4210-91E9-BE5CBACDD771}" name="Ende" dataDxfId="781"/>
    <tableColumn id="5" xr3:uid="{9F5E557A-3CD8-4513-97AC-B29BD9F8D3B8}" name="Eintragung" dataDxfId="780"/>
    <tableColumn id="6" xr3:uid="{68148D9A-0132-4606-B8DC-6E23D2AAD101}" name="Pause" dataDxfId="779"/>
    <tableColumn id="7" xr3:uid="{8CD323B7-AD2B-48CF-9BB0-502B0CEBE5ED}" name="Homeoffice/Zusatz" dataDxfId="778"/>
    <tableColumn id="8" xr3:uid="{2BF4F231-AA25-4030-9093-8A553E46D245}" name="Summe Tagesarbeitszeit" dataDxfId="77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76" dataDxfId="774" headerRowBorderDxfId="775" tableBorderDxfId="773">
  <tableColumns count="8">
    <tableColumn id="1" xr3:uid="{E5734E64-5ADB-4FA8-969C-31E7B005B395}" name="Tag" dataDxfId="772">
      <calculatedColumnFormula>TEXT(Tabelle121730302972083285[[#This Row],[Datum]],"tttt")</calculatedColumnFormula>
    </tableColumn>
    <tableColumn id="2" xr3:uid="{FF0C8D66-A30C-4F17-96F1-BE36BD7F8C4B}" name="Datum" dataDxfId="771"/>
    <tableColumn id="3" xr3:uid="{B88DC0F8-BA07-477A-BF5F-FD37947814DD}" name="Beginn" dataDxfId="770"/>
    <tableColumn id="4" xr3:uid="{35C6FC41-3B80-460C-AB7E-8AED59B363BC}" name="Ende" dataDxfId="769"/>
    <tableColumn id="5" xr3:uid="{26366C76-1C76-43B3-98DA-13402FF6BE1F}" name="Eintragung" dataDxfId="768"/>
    <tableColumn id="6" xr3:uid="{48D3F15A-1DE6-4A82-8B81-2E717514264B}" name="Pause" dataDxfId="767"/>
    <tableColumn id="7" xr3:uid="{8BD78E64-087D-4A20-B806-EE13AAD4A1E3}" name="Homeoffice/Zusatz" dataDxfId="766"/>
    <tableColumn id="8" xr3:uid="{D7314F27-82B8-456D-9CD7-F2384971AB57}" name="Summe Tagesarbeitszeit" dataDxfId="76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4" dataDxfId="762" headerRowBorderDxfId="763" tableBorderDxfId="761">
  <tableColumns count="8">
    <tableColumn id="1" xr3:uid="{5897CADA-6B4A-4EDC-9DC5-95FACE0F5882}" name="Tag" dataDxfId="760">
      <calculatedColumnFormula>TEXT(Tabelle1217303029720833386[[#This Row],[Datum]],"tttt")</calculatedColumnFormula>
    </tableColumn>
    <tableColumn id="2" xr3:uid="{4A32A1A1-F249-4952-9CAF-7ACCD002BD20}" name="Datum" dataDxfId="759"/>
    <tableColumn id="3" xr3:uid="{3656FC04-1C45-4457-B878-FED3D97B4A72}" name="Beginn" dataDxfId="758"/>
    <tableColumn id="4" xr3:uid="{4D9B3346-EB79-4305-8614-A5F0836F9800}" name="Ende" dataDxfId="757"/>
    <tableColumn id="5" xr3:uid="{CDCDDBC0-FAB2-4A07-81A7-1E0762C3263C}" name="Eintragung" dataDxfId="756"/>
    <tableColumn id="6" xr3:uid="{737E8D0A-06F9-4F43-8A0C-6C6A5C656170}" name="Pause" dataDxfId="755"/>
    <tableColumn id="7" xr3:uid="{204DA91A-D486-4EDE-B41B-7F98F0B13078}" name="Homeoffice/Zusatz" dataDxfId="754"/>
    <tableColumn id="8" xr3:uid="{F7AAE7C1-3AC9-4F22-A664-81C8FF961C8A}" name="Summe Tagesarbeitszeit" dataDxfId="75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2" dataDxfId="750" headerRowBorderDxfId="751" tableBorderDxfId="749">
  <tableColumns count="8">
    <tableColumn id="1" xr3:uid="{ECA542A2-C1D7-43CC-B660-204AF591F8BE}" name="Tag" dataDxfId="748">
      <calculatedColumnFormula>TEXT(Tabelle1217303029720843487[[#This Row],[Datum]],"tttt")</calculatedColumnFormula>
    </tableColumn>
    <tableColumn id="2" xr3:uid="{70516662-42E0-4EE4-8EDA-F68234C7DB38}" name="Datum" dataDxfId="747"/>
    <tableColumn id="3" xr3:uid="{7AA4E684-1759-4F78-950E-8B2E955D33EF}" name="Beginn" dataDxfId="746"/>
    <tableColumn id="4" xr3:uid="{7BB1D1A6-D1AC-4AA9-AFC3-C55B6BDC684A}" name="Ende" dataDxfId="745"/>
    <tableColumn id="5" xr3:uid="{DDA7F636-1FAA-41DC-8E2E-82400DA9E5A9}" name="Eintragung" dataDxfId="744"/>
    <tableColumn id="6" xr3:uid="{4B709E85-5042-419D-B317-3DD0ED0C501B}" name="Pause" dataDxfId="743"/>
    <tableColumn id="7" xr3:uid="{5C711791-B972-44E5-9DFA-CED0C02BC5ED}" name="Homeoffice/Zusatz" dataDxfId="742"/>
    <tableColumn id="8" xr3:uid="{A02A9275-7A9B-4D0B-A29E-9F37DA2222B8}" name="Summe Tagesarbeitszeit" dataDxfId="74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0" dataDxfId="738" headerRowBorderDxfId="739" tableBorderDxfId="737">
  <tableColumns count="8">
    <tableColumn id="1" xr3:uid="{E7D99E7E-AC26-4B6C-B2F7-A2361A01F283}" name="Tag" dataDxfId="736">
      <calculatedColumnFormula>TEXT(Tabelle121730302972083588[[#This Row],[Datum]],"tttt")</calculatedColumnFormula>
    </tableColumn>
    <tableColumn id="2" xr3:uid="{BA31A41C-8C18-4BEC-BFD0-22B67F8E58EE}" name="Datum" dataDxfId="735"/>
    <tableColumn id="3" xr3:uid="{814F48C1-7172-4631-9E23-498539B6DE17}" name="Beginn" dataDxfId="734"/>
    <tableColumn id="4" xr3:uid="{889C9A09-991F-4472-B171-617C33AAA408}" name="Ende" dataDxfId="733"/>
    <tableColumn id="5" xr3:uid="{DE6413F7-6DEE-4DED-9891-6B728E25D201}" name="Eintragung" dataDxfId="732"/>
    <tableColumn id="6" xr3:uid="{CF566A4B-B0B0-4A9D-83E9-612851906874}" name="Pause" dataDxfId="731"/>
    <tableColumn id="7" xr3:uid="{5A6557DC-8CC9-43F3-89E3-7C37A5D24AF7}" name="Homeoffice/Zusatz" dataDxfId="730"/>
    <tableColumn id="8" xr3:uid="{036D3556-FFF5-4EB2-9476-A91D3E1BAC41}" name="Summe Tagesarbeitszeit" dataDxfId="72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28" dataDxfId="726" headerRowBorderDxfId="727" tableBorderDxfId="725">
  <tableColumns count="8">
    <tableColumn id="1" xr3:uid="{A59C4999-40E9-45F3-B047-714B252D5E74}" name="Tag" dataDxfId="724">
      <calculatedColumnFormula>TEXT(Tabelle1217303029720833689[[#This Row],[Datum]],"tttt")</calculatedColumnFormula>
    </tableColumn>
    <tableColumn id="2" xr3:uid="{08389551-F193-499A-A49D-F927E30B400E}" name="Datum" dataDxfId="723"/>
    <tableColumn id="3" xr3:uid="{A1ACCFBA-C50A-47D0-8F91-60A9549D278F}" name="Beginn" dataDxfId="722"/>
    <tableColumn id="4" xr3:uid="{AFAE5CA3-3551-449C-BE64-F2AB54F54C1C}" name="Ende" dataDxfId="721"/>
    <tableColumn id="5" xr3:uid="{CEA97062-FF7A-4D8F-81C9-429431896A4A}" name="Eintragung" dataDxfId="720"/>
    <tableColumn id="6" xr3:uid="{BF1D6CF3-6459-48E7-BDB5-2360C3F1BA90}" name="Pause" dataDxfId="719"/>
    <tableColumn id="7" xr3:uid="{148690F4-32BF-4396-A087-12CDD586982B}" name="Homeoffice/Zusatz" dataDxfId="718"/>
    <tableColumn id="8" xr3:uid="{316E64A0-1CBE-4A80-B373-6B7C6F6D59F5}" name="Summe Tagesarbeitszeit" dataDxfId="71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16" dataDxfId="714" headerRowBorderDxfId="715" tableBorderDxfId="713">
  <tableColumns count="8">
    <tableColumn id="1" xr3:uid="{19103191-A8EE-4050-969D-392871F2939E}" name="Tag" dataDxfId="712">
      <calculatedColumnFormula>TEXT(Tabelle1217303029720843790[[#This Row],[Datum]],"tttt")</calculatedColumnFormula>
    </tableColumn>
    <tableColumn id="2" xr3:uid="{AEC18D0F-3E88-4297-8559-0384BE90617D}" name="Datum" dataDxfId="711"/>
    <tableColumn id="3" xr3:uid="{BD5E1D88-2DCF-497A-B9DD-4E76D02AA040}" name="Beginn" dataDxfId="710"/>
    <tableColumn id="4" xr3:uid="{9886C890-840F-4884-8F11-AAA6098C9749}" name="Ende" dataDxfId="709"/>
    <tableColumn id="5" xr3:uid="{9F3E500A-A47A-4CFC-A3C5-B01E4E734CC9}" name="Eintragung" dataDxfId="708"/>
    <tableColumn id="6" xr3:uid="{940C72C4-7FB7-4AAE-8978-D6873D6CF2B9}" name="Pause" dataDxfId="707"/>
    <tableColumn id="7" xr3:uid="{8773428E-E908-41B6-982C-88D734065C7A}" name="Homeoffice/Zusatz" dataDxfId="706"/>
    <tableColumn id="8" xr3:uid="{4B93B678-8D82-442E-B2D7-0B78417B1BD3}" name="Summe Tagesarbeitszeit" dataDxfId="70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4" dataDxfId="702" headerRowBorderDxfId="703" tableBorderDxfId="701">
  <tableColumns count="8">
    <tableColumn id="1" xr3:uid="{887E0E8D-64A9-482D-A3E8-24EBB1BF97BA}" name="Tag" dataDxfId="700">
      <calculatedColumnFormula>TEXT(Tabelle121730302972083991[[#This Row],[Datum]],"tttt")</calculatedColumnFormula>
    </tableColumn>
    <tableColumn id="2" xr3:uid="{9B4B7EC6-7B5F-4666-AB41-C76798E61FEB}" name="Datum" dataDxfId="699"/>
    <tableColumn id="3" xr3:uid="{C7BF6026-624A-4AA6-ABDC-18B613033144}" name="Beginn" dataDxfId="698"/>
    <tableColumn id="4" xr3:uid="{C20C4D79-CD54-4FEF-A57D-E763EF284ACB}" name="Ende" dataDxfId="697"/>
    <tableColumn id="5" xr3:uid="{632824D5-6305-459A-AD78-87DFA0DF2E5F}" name="Eintragung" dataDxfId="696"/>
    <tableColumn id="6" xr3:uid="{564DB27F-C395-4BBF-B8A0-4AF614A7C253}" name="Pause" dataDxfId="695"/>
    <tableColumn id="7" xr3:uid="{324E2386-EC7D-4779-8A86-64E5A883FB57}" name="Homeoffice/Zusatz" dataDxfId="694"/>
    <tableColumn id="8" xr3:uid="{8E2E4767-C1AA-4A67-8F5B-B9B8F32B2607}" name="Summe Tagesarbeitszeit" dataDxfId="69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2" dataDxfId="690" headerRowBorderDxfId="691" tableBorderDxfId="689">
  <tableColumns count="8">
    <tableColumn id="1" xr3:uid="{A9864898-EA7C-4DAA-857B-702CE021F4EE}" name="Tag" dataDxfId="688">
      <calculatedColumnFormula>TEXT(Tabelle1217303029720833992[[#This Row],[Datum]],"tttt")</calculatedColumnFormula>
    </tableColumn>
    <tableColumn id="2" xr3:uid="{36F4CB32-74C8-4EE0-B57B-28331ABCE15C}" name="Datum" dataDxfId="687"/>
    <tableColumn id="3" xr3:uid="{2A8F4D28-2F92-4A8F-9488-B98F43A56E4A}" name="Beginn" dataDxfId="686"/>
    <tableColumn id="4" xr3:uid="{61118535-DE30-403D-8D29-FBEDDE4C2E52}" name="Ende" dataDxfId="685"/>
    <tableColumn id="5" xr3:uid="{E93C8AC9-4071-4FA0-A5F6-EF4D9B76D3D5}" name="Eintragung" dataDxfId="684"/>
    <tableColumn id="6" xr3:uid="{41BA6810-920C-45A8-BBAD-14C343EB0ACA}" name="Pause" dataDxfId="683"/>
    <tableColumn id="7" xr3:uid="{E8C5DC92-48C2-41B4-B21F-C6B3DA54B432}" name="Homeoffice/Zusatz" dataDxfId="682"/>
    <tableColumn id="8" xr3:uid="{836B2CBD-2FAF-4708-8E55-ED9CA1CBAB41}" name="Summe Tagesarbeitszeit" dataDxfId="68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0" dataDxfId="678" headerRowBorderDxfId="679" tableBorderDxfId="677">
  <tableColumns count="8">
    <tableColumn id="1" xr3:uid="{02760543-B538-44AF-9484-9D66E23524C6}" name="Tag" dataDxfId="676">
      <calculatedColumnFormula>TEXT(Tabelle1217303029720844093[[#This Row],[Datum]],"tttt")</calculatedColumnFormula>
    </tableColumn>
    <tableColumn id="2" xr3:uid="{6DB7CD22-992C-4CCA-8C08-66E82AC80226}" name="Datum" dataDxfId="675"/>
    <tableColumn id="3" xr3:uid="{B4957EE6-F408-4091-AD5F-3444994B2DCC}" name="Beginn" dataDxfId="674"/>
    <tableColumn id="4" xr3:uid="{19182D8A-21E1-46EC-856A-5692ACD316AA}" name="Ende" dataDxfId="673"/>
    <tableColumn id="5" xr3:uid="{EC6FBB7A-FE11-405D-963A-A2738AF3C09D}" name="Eintragung" dataDxfId="672"/>
    <tableColumn id="6" xr3:uid="{BD05260D-CB65-4345-8651-1F72519823AB}" name="Pause" dataDxfId="671"/>
    <tableColumn id="7" xr3:uid="{2C500A16-D673-46F5-BFE4-59F93F2B73BD}" name="Homeoffice/Zusatz" dataDxfId="670"/>
    <tableColumn id="8" xr3:uid="{0E2A4C1C-C906-455C-B370-77268ACC0B40}" name="Summe Tagesarbeitszeit" dataDxfId="66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68" dataDxfId="666" headerRowBorderDxfId="667" tableBorderDxfId="665">
  <tableColumns count="8">
    <tableColumn id="1" xr3:uid="{39200F5A-2E99-4B62-9F01-106E51E57A7B}" name="Tag" dataDxfId="664">
      <calculatedColumnFormula>TEXT(Tabelle121730302972084194[[#This Row],[Datum]],"tttt")</calculatedColumnFormula>
    </tableColumn>
    <tableColumn id="2" xr3:uid="{10DB29AA-65DA-4B79-80FC-70D39641FF32}" name="Datum" dataDxfId="663"/>
    <tableColumn id="3" xr3:uid="{839F6AC1-F677-41C7-BD4B-0552031DBF2B}" name="Beginn" dataDxfId="662"/>
    <tableColumn id="4" xr3:uid="{AE5130AC-EE3E-470A-9411-0AE2042E4C77}" name="Ende" dataDxfId="661"/>
    <tableColumn id="5" xr3:uid="{E2B40B88-7A57-47A0-BCC4-AA214490F2A7}" name="Eintragung" dataDxfId="660"/>
    <tableColumn id="6" xr3:uid="{E9C6381C-4DB6-4478-B976-55EE8D50CC7E}" name="Pause" dataDxfId="659"/>
    <tableColumn id="7" xr3:uid="{462E9967-E249-473C-9588-6B965A91DCE5}" name="Homeoffice/Zusatz" dataDxfId="658"/>
    <tableColumn id="8" xr3:uid="{0BD116B2-0ABE-4AC4-A7E5-F5D1A78B361B}" name="Summe Tagesarbeitszeit" dataDxfId="65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56" dataDxfId="654" headerRowBorderDxfId="655" tableBorderDxfId="653">
  <tableColumns count="8">
    <tableColumn id="1" xr3:uid="{DEA0A7CF-F9D1-4853-8030-97DEBFEE7CCF}" name="Tag" dataDxfId="652">
      <calculatedColumnFormula>TEXT(Tabelle1217303029720834295[[#This Row],[Datum]],"tttt")</calculatedColumnFormula>
    </tableColumn>
    <tableColumn id="2" xr3:uid="{68A5AD9F-19BD-4AF4-BEE5-372C3E708156}" name="Datum" dataDxfId="651"/>
    <tableColumn id="3" xr3:uid="{6253BFB1-5074-4A0D-8D0F-9897213A805C}" name="Beginn" dataDxfId="650"/>
    <tableColumn id="4" xr3:uid="{0235F1D6-5C2A-4354-9D22-90655AEEA239}" name="Ende" dataDxfId="649"/>
    <tableColumn id="5" xr3:uid="{3B5FD729-DCB5-4E41-9E55-0F4B755569D0}" name="Eintragung" dataDxfId="648"/>
    <tableColumn id="6" xr3:uid="{BCAAF081-1E5D-45AF-821F-C3E7D43C3617}" name="Pause" dataDxfId="647"/>
    <tableColumn id="7" xr3:uid="{1AA73DB7-1369-4B1E-BA5F-C3F9EBECFC6F}" name="Homeoffice/Zusatz" dataDxfId="646"/>
    <tableColumn id="8" xr3:uid="{E3843797-CB7C-43A7-8423-BC1091F5253F}" name="Summe Tagesarbeitszeit" dataDxfId="64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4" dataDxfId="642" headerRowBorderDxfId="643" tableBorderDxfId="641">
  <tableColumns count="8">
    <tableColumn id="1" xr3:uid="{B0285D01-1531-436E-9FC1-619C119D7571}" name="Tag" dataDxfId="640">
      <calculatedColumnFormula>TEXT(Tabelle1217303029720844396[[#This Row],[Datum]],"tttt")</calculatedColumnFormula>
    </tableColumn>
    <tableColumn id="2" xr3:uid="{9DFF2C3D-9273-47DA-BBB0-9408769C025B}" name="Datum" dataDxfId="639"/>
    <tableColumn id="3" xr3:uid="{2BF3F077-FFC1-478F-B0E9-B735DA62E85D}" name="Beginn" dataDxfId="638"/>
    <tableColumn id="4" xr3:uid="{C3DB7522-A2E1-43C5-A186-0619C9A16FA4}" name="Ende" dataDxfId="637"/>
    <tableColumn id="5" xr3:uid="{EC8C7B01-F5AB-47DF-A6DF-EDB4F258322D}" name="Eintragung" dataDxfId="636"/>
    <tableColumn id="6" xr3:uid="{0BEC4463-91DE-49F9-BFC9-71A585188C4F}" name="Pause" dataDxfId="635"/>
    <tableColumn id="7" xr3:uid="{13C48BE5-6FA1-46CF-8FDB-403A69F0F27B}" name="Homeoffice/Zusatz" dataDxfId="634"/>
    <tableColumn id="8" xr3:uid="{C92FF08B-D6B1-4235-9F2F-1D05374ABCD7}" name="Summe Tagesarbeitszeit" dataDxfId="63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2" dataDxfId="630" headerRowBorderDxfId="631" tableBorderDxfId="629">
  <tableColumns count="8">
    <tableColumn id="1" xr3:uid="{1450B984-EB34-483D-84B3-ED1639C1D880}" name="Tag" dataDxfId="628">
      <calculatedColumnFormula>TEXT(Tabelle121730302972084498[[#This Row],[Datum]],"tttt")</calculatedColumnFormula>
    </tableColumn>
    <tableColumn id="2" xr3:uid="{F88B9BE4-AD04-4E80-AD49-A0180215B06C}" name="Datum" dataDxfId="627"/>
    <tableColumn id="3" xr3:uid="{00D2FF5E-4A1B-46DB-864A-A99D0EE29F7D}" name="Beginn" dataDxfId="626"/>
    <tableColumn id="4" xr3:uid="{34FCC671-7285-4F18-8D8C-FBBC8DE8DE1A}" name="Ende" dataDxfId="625"/>
    <tableColumn id="5" xr3:uid="{8E78B844-4F75-468D-9A89-4CFEC10BB6B4}" name="Eintragung" dataDxfId="624"/>
    <tableColumn id="6" xr3:uid="{34B10647-A3E9-4F42-95E5-C737C9C329AB}" name="Pause" dataDxfId="623"/>
    <tableColumn id="7" xr3:uid="{8F992476-A7CA-4EEE-B106-D424A2ED9AEC}" name="Homeoffice/Zusatz" dataDxfId="622"/>
    <tableColumn id="8" xr3:uid="{C5D9B50B-BE06-4B30-A2CF-B66BBBBD850D}" name="Summe Tagesarbeitszeit" dataDxfId="62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0" dataDxfId="618" headerRowBorderDxfId="619" tableBorderDxfId="617">
  <tableColumns count="8">
    <tableColumn id="1" xr3:uid="{67EF8791-35CD-4931-A76B-DE050A9AF17C}" name="Tag" dataDxfId="616">
      <calculatedColumnFormula>TEXT(Tabelle1217303029720834599[[#This Row],[Datum]],"tttt")</calculatedColumnFormula>
    </tableColumn>
    <tableColumn id="2" xr3:uid="{2DE055A5-05CA-4345-9C52-8206BAD821AF}" name="Datum" dataDxfId="615"/>
    <tableColumn id="3" xr3:uid="{5357C9BE-9F71-4436-A8B8-3B134D21C239}" name="Beginn" dataDxfId="614"/>
    <tableColumn id="4" xr3:uid="{7ABEC382-4EA1-4585-99F4-F99E576827D0}" name="Ende" dataDxfId="613"/>
    <tableColumn id="5" xr3:uid="{230C6B02-50B9-4B8D-A292-9060B6F1DAEF}" name="Eintragung" dataDxfId="612"/>
    <tableColumn id="6" xr3:uid="{9D348CDB-604A-4C5B-81C7-70C96EEC87CE}" name="Pause" dataDxfId="611"/>
    <tableColumn id="7" xr3:uid="{FE86F5E3-DCDE-4F7E-A0BE-D5779F25D07C}" name="Homeoffice/Zusatz" dataDxfId="610"/>
    <tableColumn id="8" xr3:uid="{EE14D8AC-79F0-4F10-AFFF-4BE2097897F3}" name="Summe Tagesarbeitszeit" dataDxfId="60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08" dataDxfId="606" headerRowBorderDxfId="607" tableBorderDxfId="605">
  <tableColumns count="8">
    <tableColumn id="1" xr3:uid="{0A855E32-83CF-4417-B9E4-1D663C3CB360}" name="Tag" dataDxfId="604">
      <calculatedColumnFormula>TEXT(Tabelle1217303029720847100[[#This Row],[Datum]],"tttt")</calculatedColumnFormula>
    </tableColumn>
    <tableColumn id="2" xr3:uid="{4602C0B2-EE7F-45A7-BC28-91A101B4B0DB}" name="Datum" dataDxfId="603"/>
    <tableColumn id="3" xr3:uid="{CCFAE04B-5C5C-4ED2-855A-41F98190C4EE}" name="Beginn" dataDxfId="602"/>
    <tableColumn id="4" xr3:uid="{532395F0-99E7-4DCD-8C3A-27F4ABC998B3}" name="Ende" dataDxfId="601"/>
    <tableColumn id="5" xr3:uid="{DC548281-0C44-4EE1-BE4A-FEA147BE5357}" name="Eintragung" dataDxfId="600"/>
    <tableColumn id="6" xr3:uid="{1EB0E15C-C21C-46FB-BC54-64168A5018C2}" name="Pause" dataDxfId="599"/>
    <tableColumn id="7" xr3:uid="{35F6FC6E-0C2E-4FF4-A95D-8FDEEFA8C66B}" name="Homeoffice/Zusatz" dataDxfId="598"/>
    <tableColumn id="8" xr3:uid="{8F363608-8F33-45FB-BC77-B7A3F8B79759}" name="Summe Tagesarbeitszeit" dataDxfId="59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596" dataDxfId="594" headerRowBorderDxfId="595" tableBorderDxfId="593">
  <tableColumns count="8">
    <tableColumn id="1" xr3:uid="{714A39ED-7726-4877-AE5C-0F47394FD1FF}" name="Tag" dataDxfId="592">
      <calculatedColumnFormula>TEXT(Tabelle12173030297208348101[[#This Row],[Datum]],"tttt")</calculatedColumnFormula>
    </tableColumn>
    <tableColumn id="2" xr3:uid="{CA0FB773-C756-4A40-96B0-7993462F93E6}" name="Datum" dataDxfId="591"/>
    <tableColumn id="3" xr3:uid="{7FA1C527-D53F-49DC-9808-A62F4043130C}" name="Beginn" dataDxfId="590"/>
    <tableColumn id="4" xr3:uid="{774909F3-09B2-4AEF-AC97-A6E124E88E5C}" name="Ende" dataDxfId="589"/>
    <tableColumn id="5" xr3:uid="{CC9A81ED-D134-4F10-A0E0-6559509652BA}" name="Eintragung" dataDxfId="588"/>
    <tableColumn id="6" xr3:uid="{6425418B-FA90-41F7-A2D8-A41F7E681533}" name="Pause" dataDxfId="587"/>
    <tableColumn id="7" xr3:uid="{B1F71275-AACB-4F9F-A9AF-CD637AE6F72D}" name="Homeoffice/Zusatz" dataDxfId="586"/>
    <tableColumn id="8" xr3:uid="{E64E28ED-5F2F-4BCC-ABC2-F9D669CF4F46}" name="Summe Tagesarbeitszeit" dataDxfId="58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4" dataDxfId="582" headerRowBorderDxfId="583" tableBorderDxfId="581">
  <tableColumns count="8">
    <tableColumn id="1" xr3:uid="{2651DC8A-E6E8-4D9C-ABA6-44A997EA27F0}" name="Tag" dataDxfId="580">
      <calculatedColumnFormula>TEXT(Tabelle12173030297208449102[[#This Row],[Datum]],"tttt")</calculatedColumnFormula>
    </tableColumn>
    <tableColumn id="2" xr3:uid="{FFD61EA2-CA4C-4568-8972-6EF3F80AF2BB}" name="Datum" dataDxfId="579"/>
    <tableColumn id="3" xr3:uid="{AC62592C-7E59-46B8-B1D9-8FDD47C66DA6}" name="Beginn" dataDxfId="578"/>
    <tableColumn id="4" xr3:uid="{2C531E1B-1BFA-40E3-BD65-3128BADBF69B}" name="Ende" dataDxfId="577"/>
    <tableColumn id="5" xr3:uid="{022E4ED1-042C-4CB8-8144-2CC5102E3F45}" name="Eintragung" dataDxfId="576"/>
    <tableColumn id="6" xr3:uid="{36CAA8A3-B997-4F2D-97C0-FAED9918AA0D}" name="Pause" dataDxfId="575"/>
    <tableColumn id="7" xr3:uid="{E5852FC3-21B5-4FC1-96CD-E6CAD562B382}" name="Homeoffice/Zusatz" dataDxfId="574"/>
    <tableColumn id="8" xr3:uid="{414D40EF-F11F-401B-A2D7-7827845D32D4}" name="Summe Tagesarbeitszeit" dataDxfId="57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2" dataDxfId="570" headerRowBorderDxfId="571" tableBorderDxfId="569">
  <tableColumns count="8">
    <tableColumn id="1" xr3:uid="{4B5FD56E-8004-4B3B-8597-0F1645A7B478}" name="Tag" dataDxfId="568">
      <calculatedColumnFormula>TEXT(Tabelle1217303029720850103[[#This Row],[Datum]],"tttt")</calculatedColumnFormula>
    </tableColumn>
    <tableColumn id="2" xr3:uid="{9C676FE2-2656-4926-9817-53C2DD658056}" name="Datum" dataDxfId="567"/>
    <tableColumn id="3" xr3:uid="{021486BC-ECA5-473C-82F7-B46BBF63A107}" name="Beginn" dataDxfId="566"/>
    <tableColumn id="4" xr3:uid="{962D29E2-4699-457F-8E32-E42380554C59}" name="Ende" dataDxfId="565"/>
    <tableColumn id="5" xr3:uid="{76408667-83B3-43E0-B5ED-B02A538AD306}" name="Eintragung" dataDxfId="564"/>
    <tableColumn id="6" xr3:uid="{3B6FA22B-163B-467A-9C13-6D1B954FA47C}" name="Pause" dataDxfId="563"/>
    <tableColumn id="7" xr3:uid="{565CFBD0-3329-41D0-98A4-B7A7E71CC624}" name="Homeoffice/Zusatz" dataDxfId="562"/>
    <tableColumn id="8" xr3:uid="{3E7A76D4-3339-483E-89C3-7870D9FE0672}" name="Summe Tagesarbeitszeit" dataDxfId="56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0" dataDxfId="558" headerRowBorderDxfId="559" tableBorderDxfId="557">
  <tableColumns count="8">
    <tableColumn id="1" xr3:uid="{ED2AC71C-85F2-4DC3-AFCB-34B7F516A6C0}" name="Tag" dataDxfId="556">
      <calculatedColumnFormula>TEXT(Tabelle12173030297208351104[[#This Row],[Datum]],"tttt")</calculatedColumnFormula>
    </tableColumn>
    <tableColumn id="2" xr3:uid="{710BA173-848F-4695-A040-0F016DE398ED}" name="Datum" dataDxfId="555"/>
    <tableColumn id="3" xr3:uid="{5967D3C4-2C74-4F45-9BBF-6D78F7DA0FCF}" name="Beginn" dataDxfId="554"/>
    <tableColumn id="4" xr3:uid="{A07B6E23-F688-4F78-B140-9A901511A6F9}" name="Ende" dataDxfId="553"/>
    <tableColumn id="5" xr3:uid="{0345E0CB-5095-4CEA-8839-C2B7B70CE925}" name="Eintragung" dataDxfId="552"/>
    <tableColumn id="6" xr3:uid="{271EDE66-1E6D-4C7B-A418-64E570B7BDFA}" name="Pause" dataDxfId="551"/>
    <tableColumn id="7" xr3:uid="{D8892F07-336D-4631-B581-90CCFF8A7236}" name="Homeoffice/Zusatz" dataDxfId="550"/>
    <tableColumn id="8" xr3:uid="{7A3FA112-1B55-4FAB-8387-AA3A0D7106B9}" name="Summe Tagesarbeitszeit" dataDxfId="54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48" dataDxfId="546" headerRowBorderDxfId="547" tableBorderDxfId="545">
  <tableColumns count="8">
    <tableColumn id="1" xr3:uid="{1DD3624C-CBC7-43F6-9CEB-8A1AE2522028}" name="Tag" dataDxfId="544">
      <calculatedColumnFormula>TEXT(Tabelle12173030297208452105[[#This Row],[Datum]],"tttt")</calculatedColumnFormula>
    </tableColumn>
    <tableColumn id="2" xr3:uid="{F8B477AA-DE44-4C9B-9CB5-31B3657E37A5}" name="Datum" dataDxfId="543"/>
    <tableColumn id="3" xr3:uid="{DC129AB5-9FD8-4F74-8B9F-07133D0B23ED}" name="Beginn" dataDxfId="542"/>
    <tableColumn id="4" xr3:uid="{6BE5A758-8C3B-4AAD-8095-CF3A4210D2B3}" name="Ende" dataDxfId="541"/>
    <tableColumn id="5" xr3:uid="{F3E97932-3907-4A7B-B494-4F0BECC2A043}" name="Eintragung" dataDxfId="540"/>
    <tableColumn id="6" xr3:uid="{0055D913-4576-4C0D-9E85-3B6E35AC6931}" name="Pause" dataDxfId="539"/>
    <tableColumn id="7" xr3:uid="{1B51760A-384D-403A-8825-DF62E6E932D0}" name="Homeoffice/Zusatz" dataDxfId="538"/>
    <tableColumn id="8" xr3:uid="{C43C06AD-CA7B-41CD-A600-13353C9DE983}" name="Summe Tagesarbeitszeit" dataDxfId="53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36" dataDxfId="534" headerRowBorderDxfId="535" tableBorderDxfId="533">
  <tableColumns count="8">
    <tableColumn id="1" xr3:uid="{F973B90E-9F28-4900-BF63-283C49EABAD5}" name="Tag" dataDxfId="532">
      <calculatedColumnFormula>TEXT(Tabelle1217303029720835153106[[#This Row],[Datum]],"tttt")</calculatedColumnFormula>
    </tableColumn>
    <tableColumn id="2" xr3:uid="{AC751F08-746A-4CBC-9C70-841D58B161D8}" name="Datum" dataDxfId="531"/>
    <tableColumn id="3" xr3:uid="{A9227328-7B96-4EBF-9524-AEDE75CD73A4}" name="Beginn" dataDxfId="530"/>
    <tableColumn id="4" xr3:uid="{226C2493-1748-4E2A-A8EC-16EE01564D99}" name="Ende" dataDxfId="529"/>
    <tableColumn id="5" xr3:uid="{B962EF9C-D138-4D17-91C0-343614A2D953}" name="Eintragung" dataDxfId="528"/>
    <tableColumn id="6" xr3:uid="{7E647080-1FFE-4890-91D3-87414CE01BBC}" name="Pause" dataDxfId="527"/>
    <tableColumn id="7" xr3:uid="{D143BF6F-7E58-47F1-B052-07A975D59CCB}" name="Homeoffice/Zusatz" dataDxfId="526"/>
    <tableColumn id="8" xr3:uid="{97098B75-0A93-490B-B58B-57C304A1F2F4}" name="Summe Tagesarbeitszeit" dataDxfId="52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4" dataDxfId="522" headerRowBorderDxfId="523" tableBorderDxfId="521">
  <tableColumns count="8">
    <tableColumn id="1" xr3:uid="{D1077043-FF3D-4371-BEA8-0E876C1FA5BB}" name="Tag" dataDxfId="520">
      <calculatedColumnFormula>TEXT(Tabelle1217303029720845254107[[#This Row],[Datum]],"tttt")</calculatedColumnFormula>
    </tableColumn>
    <tableColumn id="2" xr3:uid="{428DAB2A-35A4-4D3C-9004-9617CF5082B0}" name="Datum" dataDxfId="519"/>
    <tableColumn id="3" xr3:uid="{193DCD93-951D-4338-84E5-949A1C7B6694}" name="Beginn" dataDxfId="518"/>
    <tableColumn id="4" xr3:uid="{2FA738E7-BF33-437A-BBAF-77C0B5CBAD3D}" name="Ende" dataDxfId="517"/>
    <tableColumn id="5" xr3:uid="{FC6128A9-476E-475B-B58F-48B63DBA5E78}" name="Eintragung" dataDxfId="516"/>
    <tableColumn id="6" xr3:uid="{D56C4685-98A1-4B12-AF2A-1283D04369AC}" name="Pause" dataDxfId="515"/>
    <tableColumn id="7" xr3:uid="{20459E86-7932-429D-B54F-40670B93EEA2}" name="Homeoffice/Zusatz" dataDxfId="514"/>
    <tableColumn id="8" xr3:uid="{728FD576-C11F-414F-A67B-0100CF387D2E}" name="Summe Tagesarbeitszeit" dataDxfId="51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2" dataDxfId="510" headerRowBorderDxfId="511" tableBorderDxfId="509">
  <tableColumns count="8">
    <tableColumn id="1" xr3:uid="{30FA235C-8F03-4189-AF58-12425EC46262}" name="Tag" dataDxfId="508">
      <calculatedColumnFormula>TEXT(Tabelle12173030297208552[[#This Row],[Datum]],"tttt")</calculatedColumnFormula>
    </tableColumn>
    <tableColumn id="2" xr3:uid="{3085D3AB-C203-48FC-9B41-8718067BE95D}" name="Datum" dataDxfId="507"/>
    <tableColumn id="3" xr3:uid="{A451B68C-39CC-415E-B76B-56F6922FFF31}" name="Beginn" dataDxfId="506"/>
    <tableColumn id="4" xr3:uid="{C016952B-1BBD-44B9-8DDC-E7C42C426924}" name="Ende" dataDxfId="505"/>
    <tableColumn id="5" xr3:uid="{3B3E1010-4343-4477-ADC8-949B00AEE9B3}" name="Eintragung" dataDxfId="504"/>
    <tableColumn id="6" xr3:uid="{D56AB55A-68AA-43CE-B9AC-BDE3924FD1E8}" name="Pause" dataDxfId="503"/>
    <tableColumn id="7" xr3:uid="{6A13A461-74A5-4AA1-99CE-7D369C98A35E}" name="Homeoffice/Zusatz" dataDxfId="502"/>
    <tableColumn id="8" xr3:uid="{7ACD4952-7EE9-436F-A6E8-05E66FEE3EC7}" name="Summe Tagesarbeitszeit" dataDxfId="50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36"/>
  <sheetViews>
    <sheetView zoomScaleNormal="100" workbookViewId="0">
      <selection activeCell="C13" sqref="C13"/>
    </sheetView>
  </sheetViews>
  <sheetFormatPr baseColWidth="10" defaultRowHeight="14.4" x14ac:dyDescent="0.3"/>
  <cols>
    <col min="1" max="1" width="2.88671875" style="81" customWidth="1"/>
    <col min="2" max="2" width="11.5546875" style="81"/>
    <col min="3" max="3" width="12.44140625" style="81" customWidth="1"/>
    <col min="4" max="16384" width="11.5546875" style="81"/>
  </cols>
  <sheetData>
    <row r="2" spans="2:10" ht="31.2" x14ac:dyDescent="0.6">
      <c r="B2" s="98" t="s">
        <v>65</v>
      </c>
      <c r="C2" s="98"/>
      <c r="D2" s="98"/>
      <c r="E2" s="98"/>
    </row>
    <row r="4" spans="2:10" ht="25.8" x14ac:dyDescent="0.5">
      <c r="B4" s="94" t="s">
        <v>94</v>
      </c>
      <c r="C4" s="95" t="s">
        <v>95</v>
      </c>
      <c r="D4" s="82"/>
      <c r="E4" s="82"/>
      <c r="F4" s="82"/>
      <c r="G4" s="82"/>
      <c r="H4" s="82"/>
      <c r="I4" s="82"/>
      <c r="J4" s="82"/>
    </row>
    <row r="5" spans="2:10" ht="24" customHeight="1" x14ac:dyDescent="0.3"/>
    <row r="6" spans="2:10" ht="23.4" x14ac:dyDescent="0.45">
      <c r="B6" s="94" t="s">
        <v>66</v>
      </c>
      <c r="C6" s="95" t="s">
        <v>96</v>
      </c>
    </row>
    <row r="7" spans="2:10" ht="23.4" x14ac:dyDescent="0.45">
      <c r="B7" s="96"/>
      <c r="C7" s="95" t="s">
        <v>92</v>
      </c>
    </row>
    <row r="8" spans="2:10" x14ac:dyDescent="0.3">
      <c r="B8" s="87"/>
    </row>
    <row r="9" spans="2:10" ht="23.4" x14ac:dyDescent="0.45">
      <c r="B9" s="84" t="s">
        <v>67</v>
      </c>
      <c r="C9" s="83" t="s">
        <v>98</v>
      </c>
    </row>
    <row r="10" spans="2:10" ht="23.4" x14ac:dyDescent="0.45">
      <c r="C10" s="83" t="s">
        <v>97</v>
      </c>
    </row>
    <row r="12" spans="2:10" ht="23.4" x14ac:dyDescent="0.45">
      <c r="B12" s="84" t="s">
        <v>68</v>
      </c>
      <c r="C12" s="83" t="s">
        <v>99</v>
      </c>
    </row>
    <row r="13" spans="2:10" ht="27.6" customHeight="1" x14ac:dyDescent="0.3"/>
    <row r="14" spans="2:10" ht="23.4" x14ac:dyDescent="0.45">
      <c r="B14" s="84" t="s">
        <v>70</v>
      </c>
      <c r="C14" s="83" t="s">
        <v>69</v>
      </c>
    </row>
    <row r="15" spans="2:10" ht="22.2" customHeight="1" x14ac:dyDescent="0.3"/>
    <row r="16" spans="2:10" ht="23.4" x14ac:dyDescent="0.45">
      <c r="B16" s="84" t="s">
        <v>72</v>
      </c>
      <c r="C16" s="83" t="s">
        <v>71</v>
      </c>
    </row>
    <row r="18" spans="2:18" ht="23.4" x14ac:dyDescent="0.45">
      <c r="B18" s="84" t="s">
        <v>75</v>
      </c>
      <c r="C18" s="83" t="s">
        <v>76</v>
      </c>
    </row>
    <row r="19" spans="2:18" ht="22.2" customHeight="1" x14ac:dyDescent="0.45">
      <c r="C19" s="83" t="s">
        <v>77</v>
      </c>
    </row>
    <row r="20" spans="2:18" ht="23.4" customHeight="1" x14ac:dyDescent="0.45">
      <c r="C20" s="83" t="s">
        <v>73</v>
      </c>
    </row>
    <row r="21" spans="2:18" ht="31.2" customHeight="1" x14ac:dyDescent="0.45">
      <c r="C21" s="83" t="s">
        <v>74</v>
      </c>
    </row>
    <row r="23" spans="2:18" ht="39" customHeight="1" x14ac:dyDescent="0.45">
      <c r="B23" s="84" t="s">
        <v>79</v>
      </c>
      <c r="C23" s="83" t="s">
        <v>84</v>
      </c>
    </row>
    <row r="24" spans="2:18" ht="23.4" x14ac:dyDescent="0.45">
      <c r="C24" s="83" t="s">
        <v>85</v>
      </c>
    </row>
    <row r="25" spans="2:18" ht="23.4" x14ac:dyDescent="0.45">
      <c r="C25" s="89" t="s">
        <v>88</v>
      </c>
      <c r="R25" s="91"/>
    </row>
    <row r="26" spans="2:18" ht="23.4" x14ac:dyDescent="0.45">
      <c r="C26" s="88" t="s">
        <v>78</v>
      </c>
      <c r="M26" s="93"/>
    </row>
    <row r="27" spans="2:18" ht="23.4" x14ac:dyDescent="0.45">
      <c r="C27" s="89" t="s">
        <v>87</v>
      </c>
      <c r="R27" s="92"/>
    </row>
    <row r="28" spans="2:18" ht="24" customHeight="1" x14ac:dyDescent="0.45">
      <c r="C28" s="89" t="s">
        <v>86</v>
      </c>
      <c r="R28" s="90"/>
    </row>
    <row r="30" spans="2:18" ht="47.4" customHeight="1" x14ac:dyDescent="0.45">
      <c r="B30" s="84" t="s">
        <v>90</v>
      </c>
      <c r="C30" s="83" t="s">
        <v>80</v>
      </c>
    </row>
    <row r="32" spans="2:18" ht="55.8" customHeight="1" x14ac:dyDescent="0.6">
      <c r="B32" s="97" t="s">
        <v>81</v>
      </c>
      <c r="C32" s="97"/>
    </row>
    <row r="33" spans="2:3" ht="97.2" customHeight="1" x14ac:dyDescent="0.3"/>
    <row r="34" spans="2:3" ht="23.4" x14ac:dyDescent="0.45">
      <c r="B34" s="85" t="s">
        <v>91</v>
      </c>
      <c r="C34" s="86" t="s">
        <v>82</v>
      </c>
    </row>
    <row r="35" spans="2:3" ht="23.4" x14ac:dyDescent="0.45">
      <c r="B35" s="87"/>
      <c r="C35" s="86" t="s">
        <v>83</v>
      </c>
    </row>
    <row r="36" spans="2:3" ht="23.4" x14ac:dyDescent="0.45">
      <c r="B36" s="87"/>
      <c r="C36" s="86" t="s">
        <v>89</v>
      </c>
    </row>
  </sheetData>
  <sheetProtection sheet="1" objects="1" scenarios="1"/>
  <mergeCells count="1">
    <mergeCell ref="B2: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tabSelected="1" zoomScale="130" zoomScaleNormal="130" workbookViewId="0">
      <selection activeCell="Q14" sqref="Q14"/>
    </sheetView>
  </sheetViews>
  <sheetFormatPr baseColWidth="10" defaultRowHeight="15.6" outlineLevelCol="1" x14ac:dyDescent="0.3"/>
  <cols>
    <col min="1" max="1" width="11.5546875" style="40"/>
    <col min="2" max="2" width="13.109375" style="30" bestFit="1" customWidth="1"/>
    <col min="3" max="3" width="11.5546875" style="29" bestFit="1" customWidth="1"/>
    <col min="4" max="4" width="9.21875" style="29" customWidth="1"/>
    <col min="5" max="5" width="7.5546875" style="29" customWidth="1"/>
    <col min="6" max="6" width="12.88671875" style="29" customWidth="1"/>
    <col min="7" max="7" width="8.5546875" style="29" customWidth="1"/>
    <col min="8" max="8" width="20.5546875" style="29" customWidth="1"/>
    <col min="9" max="9" width="25.33203125" style="29" customWidth="1"/>
    <col min="10" max="10" width="11.5546875" style="40"/>
    <col min="11" max="11" width="11.6640625" style="29" bestFit="1" customWidth="1"/>
    <col min="12" max="12" width="11" style="29" bestFit="1" customWidth="1"/>
    <col min="13" max="13" width="9.21875" style="29" customWidth="1"/>
    <col min="14" max="14" width="7.5546875" style="29" customWidth="1"/>
    <col min="15" max="15" width="12.77734375" style="29" customWidth="1"/>
    <col min="16" max="16" width="8.5546875" style="29" customWidth="1"/>
    <col min="17" max="17" width="20.33203125" style="29" customWidth="1"/>
    <col min="18" max="18" width="25.33203125" style="29" customWidth="1"/>
    <col min="19" max="19" width="11.5546875" style="40"/>
    <col min="20" max="20" width="13.33203125" style="29" customWidth="1"/>
    <col min="21" max="21" width="15" style="29" customWidth="1"/>
    <col min="22" max="22" width="11.5546875" style="42"/>
    <col min="23" max="23" width="23.6640625" style="42" bestFit="1" customWidth="1"/>
    <col min="24" max="24" width="11.5546875" style="45"/>
    <col min="25" max="25" width="3.77734375" style="40" customWidth="1"/>
    <col min="26" max="26" width="22.21875" style="40" hidden="1" customWidth="1" outlineLevel="1"/>
    <col min="27" max="27" width="25.21875" style="40" hidden="1" customWidth="1" outlineLevel="1" collapsed="1"/>
    <col min="28" max="28" width="11" style="41" hidden="1" customWidth="1" outlineLevel="1"/>
    <col min="29" max="29" width="12.5546875" style="40" bestFit="1" customWidth="1" collapsed="1"/>
    <col min="30" max="16384" width="11.5546875" style="29"/>
  </cols>
  <sheetData>
    <row r="1" spans="1:28" x14ac:dyDescent="0.3">
      <c r="A1" s="44" t="s">
        <v>0</v>
      </c>
      <c r="B1" s="28">
        <v>2025</v>
      </c>
      <c r="C1" s="48">
        <f>DATE($B$1,1,1)</f>
        <v>44196</v>
      </c>
      <c r="D1" s="40"/>
      <c r="E1" s="40"/>
      <c r="F1" s="40"/>
      <c r="G1" s="40"/>
      <c r="H1" s="40"/>
      <c r="I1" s="40"/>
      <c r="J1" s="44"/>
      <c r="K1" s="40"/>
      <c r="L1" s="40"/>
      <c r="M1" s="40"/>
      <c r="N1" s="40"/>
      <c r="O1" s="40"/>
      <c r="P1" s="40"/>
      <c r="Q1" s="40"/>
      <c r="R1" s="40"/>
      <c r="T1" s="40"/>
      <c r="U1" s="40"/>
      <c r="W1" s="12" t="s">
        <v>12</v>
      </c>
      <c r="X1" s="14" t="s">
        <v>13</v>
      </c>
      <c r="Z1" s="16" t="s">
        <v>34</v>
      </c>
      <c r="AA1" s="106" t="s">
        <v>36</v>
      </c>
      <c r="AB1" s="107"/>
    </row>
    <row r="2" spans="1:28" x14ac:dyDescent="0.3">
      <c r="B2" s="43"/>
      <c r="C2" s="40"/>
      <c r="D2" s="40"/>
      <c r="E2" s="40"/>
      <c r="F2" s="40"/>
      <c r="G2" s="40"/>
      <c r="H2" s="40"/>
      <c r="I2" s="40"/>
      <c r="K2" s="40"/>
      <c r="L2" s="40"/>
      <c r="M2" s="40"/>
      <c r="N2" s="40"/>
      <c r="O2" s="40"/>
      <c r="P2" s="40"/>
      <c r="Q2" s="40"/>
      <c r="R2" s="40"/>
      <c r="T2" s="40"/>
      <c r="U2" s="40"/>
      <c r="W2" s="17" t="s">
        <v>14</v>
      </c>
      <c r="X2" s="18">
        <f>COUNTIF(O32:O560,"K")</f>
        <v>0</v>
      </c>
      <c r="AA2" s="19" t="s">
        <v>37</v>
      </c>
      <c r="AB2" s="76">
        <f>DATE($B$1,1,1)</f>
        <v>44196</v>
      </c>
    </row>
    <row r="3" spans="1:28" x14ac:dyDescent="0.3">
      <c r="B3" s="101" t="s">
        <v>61</v>
      </c>
      <c r="C3" s="102"/>
      <c r="K3" s="101" t="s">
        <v>62</v>
      </c>
      <c r="L3" s="102"/>
      <c r="T3" s="40"/>
      <c r="U3" s="40"/>
      <c r="W3" s="17" t="s">
        <v>15</v>
      </c>
      <c r="X3" s="18">
        <f>COUNTIF(O32:O560,"U")</f>
        <v>0</v>
      </c>
      <c r="AA3" s="19" t="s">
        <v>39</v>
      </c>
      <c r="AB3" s="76">
        <f>DATE($B$1,1,6)</f>
        <v>44201</v>
      </c>
    </row>
    <row r="4" spans="1:28" x14ac:dyDescent="0.3">
      <c r="K4" s="30"/>
      <c r="T4" s="40"/>
      <c r="U4" s="40"/>
      <c r="AA4" s="22" t="s">
        <v>40</v>
      </c>
      <c r="AB4" s="77">
        <f>DATE($B$1,5,1)</f>
        <v>44316</v>
      </c>
    </row>
    <row r="5" spans="1:28" x14ac:dyDescent="0.3">
      <c r="C5" s="74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30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10" t="s">
        <v>93</v>
      </c>
      <c r="U5" s="111"/>
      <c r="AA5" s="22" t="s">
        <v>41</v>
      </c>
      <c r="AB5" s="77">
        <f>DATE($B$1,8,8)</f>
        <v>44415</v>
      </c>
    </row>
    <row r="6" spans="1:28" x14ac:dyDescent="0.3">
      <c r="C6" s="72" t="s">
        <v>24</v>
      </c>
      <c r="D6" s="32"/>
      <c r="E6" s="32"/>
      <c r="F6" s="32"/>
      <c r="G6" s="32"/>
      <c r="H6" s="32"/>
      <c r="I6" s="73" t="str">
        <f>IF(OR(D6="",D6="0:00"),"0:00",SUM(E6-D6-G6+H6))</f>
        <v>0:00</v>
      </c>
      <c r="K6" s="30"/>
      <c r="L6" s="59" t="s">
        <v>24</v>
      </c>
      <c r="M6" s="2"/>
      <c r="N6" s="2"/>
      <c r="O6" s="2"/>
      <c r="P6" s="2"/>
      <c r="Q6" s="2"/>
      <c r="R6" s="61" t="str">
        <f>IF(OR(M6="",M6="0:00"),"0:00",SUM(N6-M6-P6+Q6))</f>
        <v>0:00</v>
      </c>
      <c r="T6" s="108">
        <v>0</v>
      </c>
      <c r="U6" s="109"/>
      <c r="W6" s="20" t="s">
        <v>23</v>
      </c>
      <c r="X6" s="21">
        <f>COUNTIF(O32:O560,"S")</f>
        <v>0</v>
      </c>
      <c r="AA6" s="22" t="s">
        <v>42</v>
      </c>
      <c r="AB6" s="77">
        <f>DATE($B$1,8,15)</f>
        <v>44422</v>
      </c>
    </row>
    <row r="7" spans="1:28" x14ac:dyDescent="0.3">
      <c r="C7" s="60" t="s">
        <v>25</v>
      </c>
      <c r="D7" s="31"/>
      <c r="E7" s="31"/>
      <c r="F7" s="31"/>
      <c r="G7" s="31"/>
      <c r="H7" s="31"/>
      <c r="I7" s="62" t="str">
        <f t="shared" ref="I7:I12" si="0">IF(OR(D7="",D7="0:00"),"0:00",SUM(E7-D7-G7+H7))</f>
        <v>0:00</v>
      </c>
      <c r="K7" s="30"/>
      <c r="L7" s="60" t="s">
        <v>25</v>
      </c>
      <c r="M7" s="31"/>
      <c r="N7" s="31"/>
      <c r="O7" s="31"/>
      <c r="P7" s="31"/>
      <c r="Q7" s="31"/>
      <c r="R7" s="62" t="str">
        <f t="shared" ref="R7:R12" si="1">IF(OR(M7="",M7="0:00"),"0:00",SUM(N7-M7-P7+Q7))</f>
        <v>0:00</v>
      </c>
      <c r="T7" s="40"/>
      <c r="U7" s="40"/>
      <c r="AA7" s="22" t="s">
        <v>44</v>
      </c>
      <c r="AB7" s="77">
        <f>DATE($B$1,10,3)</f>
        <v>44471</v>
      </c>
    </row>
    <row r="8" spans="1:28" x14ac:dyDescent="0.3">
      <c r="C8" s="60" t="s">
        <v>26</v>
      </c>
      <c r="D8" s="32"/>
      <c r="E8" s="32"/>
      <c r="F8" s="32"/>
      <c r="G8" s="32"/>
      <c r="H8" s="32"/>
      <c r="I8" s="62" t="str">
        <f t="shared" si="0"/>
        <v>0:00</v>
      </c>
      <c r="K8" s="30"/>
      <c r="L8" s="60" t="s">
        <v>26</v>
      </c>
      <c r="M8" s="75"/>
      <c r="N8" s="75"/>
      <c r="O8" s="75"/>
      <c r="P8" s="75"/>
      <c r="Q8" s="75"/>
      <c r="R8" s="62" t="str">
        <f t="shared" si="1"/>
        <v>0:00</v>
      </c>
      <c r="T8" s="40"/>
      <c r="U8" s="40"/>
      <c r="W8" s="20" t="s">
        <v>32</v>
      </c>
      <c r="X8" s="24" cm="1">
        <f t="array" ref="X8">SUM(IF(MOD(ROW(X34:X554)-(ROW($X$34)-1),10)=1,X34:X554,0))+$T$6</f>
        <v>0</v>
      </c>
      <c r="Y8" s="44" t="s">
        <v>35</v>
      </c>
      <c r="Z8" s="25">
        <f>$Z$554</f>
        <v>0</v>
      </c>
      <c r="AA8" s="22" t="s">
        <v>46</v>
      </c>
      <c r="AB8" s="77">
        <f>DATE($B$1,11,1)</f>
        <v>44500</v>
      </c>
    </row>
    <row r="9" spans="1:28" x14ac:dyDescent="0.3">
      <c r="C9" s="60" t="s">
        <v>27</v>
      </c>
      <c r="D9" s="31"/>
      <c r="E9" s="31"/>
      <c r="F9" s="31"/>
      <c r="G9" s="31"/>
      <c r="H9" s="31"/>
      <c r="I9" s="62" t="str">
        <f t="shared" si="0"/>
        <v>0:00</v>
      </c>
      <c r="K9" s="30"/>
      <c r="L9" s="60" t="s">
        <v>27</v>
      </c>
      <c r="M9" s="31"/>
      <c r="N9" s="31"/>
      <c r="O9" s="31"/>
      <c r="P9" s="31"/>
      <c r="Q9" s="31"/>
      <c r="R9" s="62" t="str">
        <f t="shared" si="1"/>
        <v>0:00</v>
      </c>
      <c r="T9" s="40"/>
      <c r="U9" s="40"/>
      <c r="AA9" s="22" t="s">
        <v>48</v>
      </c>
      <c r="AB9" s="77">
        <f>DATE($B$1,12,25)</f>
        <v>44554</v>
      </c>
    </row>
    <row r="10" spans="1:28" x14ac:dyDescent="0.3">
      <c r="C10" s="60" t="s">
        <v>28</v>
      </c>
      <c r="D10" s="32"/>
      <c r="E10" s="32"/>
      <c r="F10" s="32"/>
      <c r="G10" s="32"/>
      <c r="H10" s="32"/>
      <c r="I10" s="62" t="str">
        <f t="shared" si="0"/>
        <v>0:00</v>
      </c>
      <c r="K10" s="30"/>
      <c r="L10" s="60" t="s">
        <v>28</v>
      </c>
      <c r="M10" s="75"/>
      <c r="N10" s="75"/>
      <c r="O10" s="75"/>
      <c r="P10" s="75"/>
      <c r="Q10" s="75"/>
      <c r="R10" s="62" t="str">
        <f t="shared" si="1"/>
        <v>0:00</v>
      </c>
      <c r="T10" s="40"/>
      <c r="U10" s="40"/>
      <c r="W10" s="17" t="s">
        <v>16</v>
      </c>
      <c r="X10" s="18">
        <f>COUNTIF(O32:O560,"Ü")</f>
        <v>0</v>
      </c>
      <c r="AA10" s="22" t="s">
        <v>49</v>
      </c>
      <c r="AB10" s="77">
        <f>DATE($B$1,12,26)</f>
        <v>44555</v>
      </c>
    </row>
    <row r="11" spans="1:28" x14ac:dyDescent="0.3">
      <c r="C11" s="69" t="s">
        <v>29</v>
      </c>
      <c r="D11" s="71"/>
      <c r="E11" s="71"/>
      <c r="G11" s="71"/>
      <c r="I11" s="62" t="str">
        <f t="shared" si="0"/>
        <v>0:00</v>
      </c>
      <c r="K11" s="30"/>
      <c r="L11" s="69" t="s">
        <v>29</v>
      </c>
      <c r="M11" s="71"/>
      <c r="N11" s="71"/>
      <c r="P11" s="71"/>
      <c r="R11" s="62" t="str">
        <f t="shared" si="1"/>
        <v>0:00</v>
      </c>
      <c r="T11" s="40"/>
      <c r="U11" s="40"/>
      <c r="W11" s="20" t="s">
        <v>22</v>
      </c>
      <c r="X11" s="21">
        <f>COUNTIF(O32:O560,"UÜ")</f>
        <v>0</v>
      </c>
      <c r="AA11" s="22" t="s">
        <v>51</v>
      </c>
      <c r="AB11" s="77">
        <f>7*ROUND((4&amp;-$B$1)/7+MOD(19*MOD($B$1,19)-7,30)*0.14,)-5</f>
        <v>44305</v>
      </c>
    </row>
    <row r="12" spans="1:28" x14ac:dyDescent="0.3">
      <c r="C12" s="69" t="s">
        <v>30</v>
      </c>
      <c r="D12" s="33"/>
      <c r="E12" s="33"/>
      <c r="F12" s="33"/>
      <c r="G12" s="33"/>
      <c r="H12" s="33"/>
      <c r="I12" s="62" t="str">
        <f t="shared" si="0"/>
        <v>0:00</v>
      </c>
      <c r="L12" s="70" t="s">
        <v>30</v>
      </c>
      <c r="M12" s="33"/>
      <c r="N12" s="33"/>
      <c r="O12" s="33"/>
      <c r="P12" s="33"/>
      <c r="Q12" s="33"/>
      <c r="R12" s="63" t="str">
        <f t="shared" si="1"/>
        <v>0:00</v>
      </c>
      <c r="T12" s="40"/>
      <c r="U12" s="40"/>
      <c r="AA12" s="22" t="s">
        <v>52</v>
      </c>
      <c r="AB12" s="77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</v>
      </c>
      <c r="H13" s="9">
        <f>SUM(H6:H12)</f>
        <v>0</v>
      </c>
      <c r="I13" s="9">
        <f>SUBTOTAL(109,I6:I12)</f>
        <v>0</v>
      </c>
      <c r="L13" s="11"/>
      <c r="M13" s="9"/>
      <c r="N13" s="9"/>
      <c r="O13" s="9"/>
      <c r="P13" s="9">
        <f>SUM(P6:P12)</f>
        <v>0</v>
      </c>
      <c r="Q13" s="9">
        <f>SUM(Q6:Q12)</f>
        <v>0</v>
      </c>
      <c r="R13" s="9">
        <f>SUBTOTAL(109,R6:R12)</f>
        <v>0</v>
      </c>
      <c r="T13" s="40"/>
      <c r="U13" s="40"/>
      <c r="AA13" s="22" t="s">
        <v>53</v>
      </c>
      <c r="AB13" s="77">
        <f>AB11+1</f>
        <v>44306</v>
      </c>
    </row>
    <row r="14" spans="1:28" x14ac:dyDescent="0.3">
      <c r="B14" s="43"/>
      <c r="C14" s="40"/>
      <c r="D14" s="40"/>
      <c r="E14" s="40"/>
      <c r="F14" s="40"/>
      <c r="G14" s="40"/>
      <c r="H14" s="40"/>
      <c r="I14" s="40"/>
      <c r="K14" s="40"/>
      <c r="L14" s="40"/>
      <c r="M14" s="40"/>
      <c r="N14" s="40"/>
      <c r="O14" s="40"/>
      <c r="P14" s="40"/>
      <c r="Q14" s="40"/>
      <c r="R14" s="40"/>
      <c r="T14" s="40"/>
      <c r="U14" s="40"/>
      <c r="AA14" s="22" t="s">
        <v>54</v>
      </c>
      <c r="AB14" s="77">
        <f>AB11+39</f>
        <v>44344</v>
      </c>
    </row>
    <row r="15" spans="1:28" x14ac:dyDescent="0.3">
      <c r="B15" s="101" t="s">
        <v>64</v>
      </c>
      <c r="C15" s="102"/>
      <c r="K15" s="101" t="s">
        <v>63</v>
      </c>
      <c r="L15" s="102"/>
      <c r="T15" s="40"/>
      <c r="U15" s="40"/>
      <c r="AA15" s="22" t="s">
        <v>55</v>
      </c>
      <c r="AB15" s="77">
        <f>AB11+49</f>
        <v>44354</v>
      </c>
    </row>
    <row r="16" spans="1:28" x14ac:dyDescent="0.3">
      <c r="K16" s="30"/>
      <c r="T16" s="40"/>
      <c r="U16" s="40"/>
      <c r="AA16" s="22" t="s">
        <v>56</v>
      </c>
      <c r="AB16" s="77">
        <f>AB11+50</f>
        <v>44355</v>
      </c>
    </row>
    <row r="17" spans="1:32" x14ac:dyDescent="0.3">
      <c r="C17" s="74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30"/>
      <c r="L17" s="74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40"/>
      <c r="U17" s="40"/>
      <c r="AA17" s="22" t="s">
        <v>57</v>
      </c>
      <c r="AB17" s="77">
        <f>AB11+60</f>
        <v>44365</v>
      </c>
    </row>
    <row r="18" spans="1:32" s="40" customFormat="1" x14ac:dyDescent="0.3">
      <c r="B18" s="30"/>
      <c r="C18" s="72" t="s">
        <v>24</v>
      </c>
      <c r="D18" s="32"/>
      <c r="E18" s="32"/>
      <c r="F18" s="32"/>
      <c r="G18" s="32"/>
      <c r="H18" s="32"/>
      <c r="I18" s="73" t="str">
        <f>IF(OR(D18="",D18="0:00"),"0:00",SUM(E18-D18-G18+H18))</f>
        <v>0:00</v>
      </c>
      <c r="K18" s="30"/>
      <c r="L18" s="59" t="s">
        <v>24</v>
      </c>
      <c r="M18" s="75"/>
      <c r="N18" s="75"/>
      <c r="O18" s="75"/>
      <c r="P18" s="75"/>
      <c r="Q18" s="75"/>
      <c r="R18" s="79" t="str">
        <f>IF(OR(M18="",M18="0:00"),"0:00",SUM(N18-M18-P18+Q18))</f>
        <v>0:00</v>
      </c>
      <c r="AA18" s="22" t="s">
        <v>58</v>
      </c>
      <c r="AB18" s="112">
        <f>MROUND(DATE($B$1,11,22),7)-2</f>
        <v>44518</v>
      </c>
      <c r="AD18" s="29"/>
      <c r="AE18" s="29"/>
      <c r="AF18" s="29"/>
    </row>
    <row r="19" spans="1:32" x14ac:dyDescent="0.3">
      <c r="C19" s="60" t="s">
        <v>25</v>
      </c>
      <c r="D19" s="31"/>
      <c r="E19" s="31"/>
      <c r="F19" s="31"/>
      <c r="G19" s="31"/>
      <c r="H19" s="31"/>
      <c r="I19" s="62" t="str">
        <f t="shared" ref="I19:I24" si="2">IF(OR(D19="",D19="0:00"),"0:00",SUM(E19-D19-G19+H19))</f>
        <v>0:00</v>
      </c>
      <c r="K19" s="30"/>
      <c r="L19" s="60" t="s">
        <v>25</v>
      </c>
      <c r="M19" s="31"/>
      <c r="N19" s="31"/>
      <c r="O19" s="31"/>
      <c r="P19" s="31"/>
      <c r="Q19" s="31"/>
      <c r="R19" s="80" t="str">
        <f t="shared" ref="R19:R24" si="3">IF(OR(M19="",M19="0:00"),"0:00",SUM(N19-M19-P19+Q19))</f>
        <v>0:00</v>
      </c>
      <c r="T19" s="40"/>
      <c r="U19" s="40"/>
    </row>
    <row r="20" spans="1:32" x14ac:dyDescent="0.3">
      <c r="C20" s="60" t="s">
        <v>26</v>
      </c>
      <c r="D20" s="32"/>
      <c r="E20" s="32"/>
      <c r="F20" s="32"/>
      <c r="G20" s="32"/>
      <c r="H20" s="32"/>
      <c r="I20" s="62" t="str">
        <f t="shared" si="2"/>
        <v>0:00</v>
      </c>
      <c r="K20" s="30"/>
      <c r="L20" s="60" t="s">
        <v>26</v>
      </c>
      <c r="M20" s="75"/>
      <c r="N20" s="75"/>
      <c r="O20" s="75"/>
      <c r="P20" s="75"/>
      <c r="Q20" s="75"/>
      <c r="R20" s="80" t="str">
        <f t="shared" si="3"/>
        <v>0:00</v>
      </c>
      <c r="T20" s="40"/>
      <c r="U20" s="40"/>
    </row>
    <row r="21" spans="1:32" x14ac:dyDescent="0.3">
      <c r="C21" s="60" t="s">
        <v>27</v>
      </c>
      <c r="D21" s="31"/>
      <c r="E21" s="31"/>
      <c r="F21" s="31"/>
      <c r="G21" s="31"/>
      <c r="H21" s="31"/>
      <c r="I21" s="62" t="str">
        <f t="shared" si="2"/>
        <v>0:00</v>
      </c>
      <c r="K21" s="30"/>
      <c r="L21" s="60" t="s">
        <v>27</v>
      </c>
      <c r="M21" s="31"/>
      <c r="N21" s="31"/>
      <c r="O21" s="31"/>
      <c r="P21" s="31"/>
      <c r="Q21" s="31"/>
      <c r="R21" s="80" t="str">
        <f>IF(OR(M21="",M21="0:00"),"0:00",SUM(N21-M21-P21+Q21))</f>
        <v>0:00</v>
      </c>
      <c r="T21" s="40"/>
      <c r="U21" s="40"/>
      <c r="AA21" s="106" t="s">
        <v>59</v>
      </c>
      <c r="AB21" s="107"/>
    </row>
    <row r="22" spans="1:32" x14ac:dyDescent="0.3">
      <c r="C22" s="60" t="s">
        <v>28</v>
      </c>
      <c r="D22" s="32"/>
      <c r="E22" s="32"/>
      <c r="F22" s="32"/>
      <c r="G22" s="32"/>
      <c r="H22" s="32"/>
      <c r="I22" s="62" t="str">
        <f t="shared" si="2"/>
        <v>0:00</v>
      </c>
      <c r="K22" s="30"/>
      <c r="L22" s="60" t="s">
        <v>28</v>
      </c>
      <c r="M22" s="75"/>
      <c r="N22" s="75"/>
      <c r="O22" s="75"/>
      <c r="P22" s="75"/>
      <c r="Q22" s="75"/>
      <c r="R22" s="80" t="str">
        <f t="shared" si="3"/>
        <v>0:00</v>
      </c>
      <c r="T22" s="40"/>
      <c r="U22" s="40"/>
      <c r="AA22" s="22" t="s">
        <v>47</v>
      </c>
      <c r="AB22" s="78">
        <f>DATE($B$1,12,24)</f>
        <v>44553</v>
      </c>
    </row>
    <row r="23" spans="1:32" x14ac:dyDescent="0.3">
      <c r="C23" s="69" t="s">
        <v>29</v>
      </c>
      <c r="D23" s="71"/>
      <c r="E23" s="71"/>
      <c r="G23" s="71"/>
      <c r="I23" s="62" t="str">
        <f t="shared" si="2"/>
        <v>0:00</v>
      </c>
      <c r="K23" s="30"/>
      <c r="L23" s="69" t="s">
        <v>29</v>
      </c>
      <c r="M23" s="71"/>
      <c r="N23" s="71"/>
      <c r="P23" s="71"/>
      <c r="R23" s="80" t="str">
        <f t="shared" si="3"/>
        <v>0:00</v>
      </c>
      <c r="T23" s="40"/>
      <c r="U23" s="40"/>
      <c r="AA23" s="22" t="s">
        <v>50</v>
      </c>
      <c r="AB23" s="78">
        <f>DATE($B$1,12,31)</f>
        <v>44560</v>
      </c>
    </row>
    <row r="24" spans="1:32" x14ac:dyDescent="0.3">
      <c r="C24" s="69" t="s">
        <v>30</v>
      </c>
      <c r="D24" s="33"/>
      <c r="E24" s="33"/>
      <c r="F24" s="33"/>
      <c r="G24" s="33"/>
      <c r="H24" s="33"/>
      <c r="I24" s="62" t="str">
        <f t="shared" si="2"/>
        <v>0:00</v>
      </c>
      <c r="K24" s="30"/>
      <c r="L24" s="70" t="s">
        <v>30</v>
      </c>
      <c r="M24" s="33"/>
      <c r="N24" s="33"/>
      <c r="O24" s="33"/>
      <c r="P24" s="33"/>
      <c r="Q24" s="33"/>
      <c r="R24" s="80" t="str">
        <f t="shared" si="3"/>
        <v>0:00</v>
      </c>
      <c r="T24" s="40"/>
      <c r="U24" s="40"/>
    </row>
    <row r="25" spans="1:32" x14ac:dyDescent="0.3">
      <c r="C25" s="11"/>
      <c r="D25" s="9"/>
      <c r="E25" s="9"/>
      <c r="F25" s="9"/>
      <c r="G25" s="9">
        <f>SUM(G18:G24)</f>
        <v>0</v>
      </c>
      <c r="H25" s="9">
        <f>SUM(H18:H24)</f>
        <v>0</v>
      </c>
      <c r="I25" s="9">
        <f>SUBTOTAL(109,I18:I24)</f>
        <v>0</v>
      </c>
      <c r="K25" s="30"/>
      <c r="L25" s="11"/>
      <c r="M25" s="9"/>
      <c r="N25" s="9"/>
      <c r="O25" s="9"/>
      <c r="P25" s="9">
        <f>SUM(P18:P24)</f>
        <v>0</v>
      </c>
      <c r="Q25" s="9">
        <f>SUM(Q18:Q24)</f>
        <v>0</v>
      </c>
      <c r="R25" s="9">
        <f>SUBTOTAL(109,R18:R24)</f>
        <v>0</v>
      </c>
      <c r="T25" s="40"/>
      <c r="U25" s="40"/>
    </row>
    <row r="26" spans="1:32" s="40" customFormat="1" x14ac:dyDescent="0.3">
      <c r="B26" s="43"/>
      <c r="V26" s="42"/>
      <c r="W26" s="42"/>
      <c r="X26" s="45"/>
      <c r="AA26" s="106" t="s">
        <v>60</v>
      </c>
      <c r="AB26" s="107"/>
      <c r="AD26" s="29"/>
      <c r="AE26" s="29"/>
      <c r="AF26" s="29"/>
    </row>
    <row r="27" spans="1:32" s="40" customFormat="1" x14ac:dyDescent="0.3">
      <c r="B27" s="43"/>
      <c r="V27" s="42"/>
      <c r="W27" s="42"/>
      <c r="X27" s="45"/>
      <c r="AA27" s="22" t="s">
        <v>38</v>
      </c>
      <c r="AB27" s="23">
        <f>DATE($B$1,3,8)</f>
        <v>44262</v>
      </c>
      <c r="AD27" s="29"/>
      <c r="AE27" s="29"/>
      <c r="AF27" s="29"/>
    </row>
    <row r="28" spans="1:32" s="40" customFormat="1" x14ac:dyDescent="0.3">
      <c r="B28" s="43"/>
      <c r="V28" s="42"/>
      <c r="W28" s="42"/>
      <c r="X28" s="45"/>
      <c r="AA28" s="22" t="s">
        <v>43</v>
      </c>
      <c r="AB28" s="23">
        <f>DATE($B$1,9,20)</f>
        <v>44458</v>
      </c>
      <c r="AD28" s="29"/>
      <c r="AE28" s="29"/>
      <c r="AF28" s="29"/>
    </row>
    <row r="29" spans="1:32" x14ac:dyDescent="0.3">
      <c r="B29" s="103" t="s">
        <v>1</v>
      </c>
      <c r="C29" s="103"/>
      <c r="D29" s="40"/>
      <c r="E29" s="40"/>
      <c r="F29" s="40"/>
      <c r="G29" s="40"/>
      <c r="H29" s="40"/>
      <c r="I29" s="40"/>
      <c r="K29" s="104" t="s">
        <v>10</v>
      </c>
      <c r="L29" s="104"/>
      <c r="M29" s="40"/>
      <c r="N29" s="40"/>
      <c r="O29" s="40"/>
      <c r="P29" s="40"/>
      <c r="Q29" s="40"/>
      <c r="R29" s="40"/>
      <c r="T29" s="40"/>
      <c r="U29" s="40"/>
      <c r="AA29" s="22" t="s">
        <v>45</v>
      </c>
      <c r="AB29" s="23">
        <f>DATE($B$1,10,31)</f>
        <v>44499</v>
      </c>
    </row>
    <row r="30" spans="1:32" x14ac:dyDescent="0.3">
      <c r="B30" s="43"/>
      <c r="C30" s="40"/>
      <c r="D30" s="40"/>
      <c r="E30" s="40"/>
      <c r="F30" s="40"/>
      <c r="G30" s="40"/>
      <c r="H30" s="40"/>
      <c r="I30" s="40"/>
      <c r="K30" s="40"/>
      <c r="L30" s="40"/>
      <c r="M30" s="40"/>
      <c r="N30" s="40"/>
      <c r="O30" s="40"/>
      <c r="P30" s="40"/>
      <c r="Q30" s="40"/>
      <c r="R30" s="40"/>
      <c r="T30" s="40"/>
      <c r="U30" s="40"/>
    </row>
    <row r="31" spans="1:32" x14ac:dyDescent="0.3">
      <c r="A31" s="44" t="s">
        <v>33</v>
      </c>
      <c r="B31" s="6" t="s">
        <v>2</v>
      </c>
      <c r="C31" s="7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4" t="s">
        <v>33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99" t="s">
        <v>11</v>
      </c>
      <c r="U31" s="99"/>
      <c r="W31" s="46" t="s">
        <v>21</v>
      </c>
      <c r="X31" s="47" t="s">
        <v>17</v>
      </c>
    </row>
    <row r="32" spans="1:32" x14ac:dyDescent="0.3">
      <c r="A32" s="44">
        <v>1</v>
      </c>
      <c r="B32" s="34" t="str">
        <f>IF(TEXT($C$1,"tttt")="Montag",TEXT($C$1,"tttt"),"---")</f>
        <v>---</v>
      </c>
      <c r="C32" s="56" t="str">
        <f>IF(Tabelle121730[[#This Row],[Tag]]="---","---",$C$1)</f>
        <v>---</v>
      </c>
      <c r="D32" s="31"/>
      <c r="E32" s="31"/>
      <c r="F32" s="31"/>
      <c r="G32" s="31"/>
      <c r="H32" s="31"/>
      <c r="I32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4">
        <f>A32</f>
        <v>1</v>
      </c>
      <c r="K32" s="34" t="str">
        <f>IF(TEXT($C$1,"tttt")="Montag",TEXT($C$1,"tttt"),"---")</f>
        <v>---</v>
      </c>
      <c r="L32" s="56" t="str">
        <f>IF(Tabelle121730301[[#This Row],[Tag]]="---","---",$C$1)</f>
        <v>---</v>
      </c>
      <c r="M32" s="31" t="str">
        <f>IF(Tabelle121730301[[#This Row],[Datum]]="---","---",IF(O32="F",0,D32))</f>
        <v>---</v>
      </c>
      <c r="N32" s="31" t="str">
        <f>IF(Tabelle121730301[[#This Row],[Datum]]="---","---",IF(O32="F",0,E32))</f>
        <v>---</v>
      </c>
      <c r="O32" s="31"/>
      <c r="P32" s="31" t="str">
        <f>IF(Tabelle121730301[[#This Row],[Datum]]="---","---",IF(O32="F",0,G32))</f>
        <v>---</v>
      </c>
      <c r="Q32" s="31" t="str">
        <f>IF(Tabelle121730301[[#This Row],[Datum]]="---","---",IF(O32="F",I32,0))</f>
        <v>---</v>
      </c>
      <c r="R32" s="49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99" t="str">
        <f>IF(L32="---","__:__",R32-I32)</f>
        <v>__:__</v>
      </c>
      <c r="U32" s="99"/>
      <c r="W32" s="17" t="s">
        <v>18</v>
      </c>
      <c r="X32" s="26">
        <f>I39</f>
        <v>0</v>
      </c>
    </row>
    <row r="33" spans="1:32" x14ac:dyDescent="0.3">
      <c r="B33" s="34" t="str">
        <f>IF(TEXT($C$1,"tttt")="Dienstag",TEXT($C$1,"tttt"),IF(B32="---","---",TEXT(C32+1,"tttt")))</f>
        <v>---</v>
      </c>
      <c r="C33" s="54" t="str">
        <f>IF(Tabelle121730[[#This Row],[Tag]]="---","---",IF(C32="---",$C$1,C32+1))</f>
        <v>---</v>
      </c>
      <c r="D33" s="31"/>
      <c r="E33" s="31"/>
      <c r="F33" s="31"/>
      <c r="G33" s="31"/>
      <c r="H33" s="31"/>
      <c r="I33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4" t="str">
        <f>IF(TEXT($C$1,"tttt")="Dienstag",TEXT($C$1,"tttt"),IF(K32="---","---",TEXT(L32+1,"tttt")))</f>
        <v>---</v>
      </c>
      <c r="L33" s="54" t="str">
        <f>IF(Tabelle121730301[[#This Row],[Tag]]="---","---",IF(L32="---",$C$1,L32+1))</f>
        <v>---</v>
      </c>
      <c r="M33" s="31" t="str">
        <f>IF(Tabelle121730301[[#This Row],[Datum]]="---","---",IF(O33="F",0,D33))</f>
        <v>---</v>
      </c>
      <c r="N33" s="31" t="str">
        <f>IF(Tabelle121730301[[#This Row],[Datum]]="---","---",IF(O33="F",0,E33))</f>
        <v>---</v>
      </c>
      <c r="O33" s="31"/>
      <c r="P33" s="31" t="str">
        <f>IF(Tabelle121730301[[#This Row],[Datum]]="---","---",IF(O33="F",0,G33))</f>
        <v>---</v>
      </c>
      <c r="Q33" s="31" t="str">
        <f>IF(Tabelle121730301[[#This Row],[Datum]]="---","---",IF(O33="F",I33,0))</f>
        <v>---</v>
      </c>
      <c r="R33" s="50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99" t="str">
        <f t="shared" ref="T33:T38" si="4">IF(L33="---","__:__",R33-I33)</f>
        <v>__:__</v>
      </c>
      <c r="U33" s="99"/>
      <c r="W33" s="17" t="s">
        <v>19</v>
      </c>
      <c r="X33" s="26">
        <f>R39</f>
        <v>0</v>
      </c>
    </row>
    <row r="34" spans="1:32" x14ac:dyDescent="0.3">
      <c r="B34" s="34" t="str">
        <f>IF(TEXT($C$1,"tttt")="Mittwoch",TEXT($C$1,"tttt"),IF(B33="---","---",TEXT(C33+1,"tttt")))</f>
        <v>Mittwoch</v>
      </c>
      <c r="C34" s="54">
        <f>IF(Tabelle121730[[#This Row],[Tag]]="---","---",IF(C33="---",$C$1,C33+1))</f>
        <v>44196</v>
      </c>
      <c r="D34" s="32"/>
      <c r="E34" s="32"/>
      <c r="F34" s="32"/>
      <c r="G34" s="32"/>
      <c r="H34" s="32"/>
      <c r="I34" s="51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4" t="str">
        <f>IF(TEXT($C$1,"tttt")="Mittwoch",TEXT($C$1,"tttt"),IF(K33="---","---",TEXT(L33+1,"tttt")))</f>
        <v>Mittwoch</v>
      </c>
      <c r="L34" s="54">
        <f>IF(Tabelle121730301[[#This Row],[Tag]]="---","---",IF(L33="---",$C$1,L33+1))</f>
        <v>44196</v>
      </c>
      <c r="M34" s="31">
        <f>IF(Tabelle121730301[[#This Row],[Datum]]="---","---",IF(O34="F",0,D34))</f>
        <v>0</v>
      </c>
      <c r="N34" s="31">
        <f>IF(Tabelle121730301[[#This Row],[Datum]]="---","---",IF(O34="F",0,E34))</f>
        <v>0</v>
      </c>
      <c r="O34" s="32"/>
      <c r="P34" s="31">
        <f>IF(Tabelle121730301[[#This Row],[Datum]]="---","---",IF(O34="F",0,G34))</f>
        <v>0</v>
      </c>
      <c r="Q34" s="31">
        <f>IF(Tabelle121730301[[#This Row],[Datum]]="---","---",IF(O34="F",I34,0))</f>
        <v>0</v>
      </c>
      <c r="R34" s="51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99">
        <f t="shared" si="4"/>
        <v>0</v>
      </c>
      <c r="U34" s="99"/>
      <c r="W34" s="20" t="s">
        <v>20</v>
      </c>
      <c r="X34" s="27">
        <f>X33-X32</f>
        <v>0</v>
      </c>
    </row>
    <row r="35" spans="1:32" x14ac:dyDescent="0.3">
      <c r="B35" s="34" t="str">
        <f>IF(TEXT($C$1,"tttt")="Donnerstag",TEXT($C$1,"tttt"),IF(B34="---","---",TEXT(C34+1,"tttt")))</f>
        <v>Donnerstag</v>
      </c>
      <c r="C35" s="54">
        <f>IF(Tabelle121730[[#This Row],[Tag]]="---","---",IF(C34="---",$C$1,C34+1))</f>
        <v>44197</v>
      </c>
      <c r="D35" s="31"/>
      <c r="E35" s="31"/>
      <c r="F35" s="31"/>
      <c r="G35" s="31"/>
      <c r="H35" s="31"/>
      <c r="I35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4" t="str">
        <f>IF(TEXT($C$1,"tttt")="Donnerstag",TEXT($C$1,"tttt"),IF(K34="---","---",TEXT(L34+1,"tttt")))</f>
        <v>Donnerstag</v>
      </c>
      <c r="L35" s="54">
        <f>IF(Tabelle121730301[[#This Row],[Tag]]="---","---",IF(L34="---",$C$1,L34+1))</f>
        <v>44197</v>
      </c>
      <c r="M35" s="31">
        <f>IF(Tabelle121730301[[#This Row],[Datum]]="---","---",IF(O35="F",0,D35))</f>
        <v>0</v>
      </c>
      <c r="N35" s="31">
        <f>IF(Tabelle121730301[[#This Row],[Datum]]="---","---",IF(O35="F",0,E35))</f>
        <v>0</v>
      </c>
      <c r="O35" s="31"/>
      <c r="P35" s="31">
        <f>IF(Tabelle121730301[[#This Row],[Datum]]="---","---",IF(O35="F",0,G35))</f>
        <v>0</v>
      </c>
      <c r="Q35" s="31">
        <f>IF(Tabelle121730301[[#This Row],[Datum]]="---","---",IF(O35="F",I35,0))</f>
        <v>0</v>
      </c>
      <c r="R35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99">
        <f t="shared" si="4"/>
        <v>0</v>
      </c>
      <c r="U35" s="99"/>
    </row>
    <row r="36" spans="1:32" x14ac:dyDescent="0.3">
      <c r="B36" s="34" t="str">
        <f>IF(TEXT($C$1,"tttt")="Freitag",TEXT($C$1,"tttt"),IF(B35="---","---",TEXT(C35+1,"tttt")))</f>
        <v>Freitag</v>
      </c>
      <c r="C36" s="54">
        <f>IF(Tabelle121730[[#This Row],[Tag]]="---","---",IF(C35="---",$C$1,C35+1))</f>
        <v>44198</v>
      </c>
      <c r="D36" s="32"/>
      <c r="E36" s="32"/>
      <c r="F36" s="32"/>
      <c r="G36" s="32"/>
      <c r="H36" s="32"/>
      <c r="I36" s="52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4" t="str">
        <f>IF(TEXT($C$1,"tttt")="Freitag",TEXT($C$1,"tttt"),IF(K35="---","---",TEXT(L35+1,"tttt")))</f>
        <v>Freitag</v>
      </c>
      <c r="L36" s="54">
        <f>IF(Tabelle121730301[[#This Row],[Tag]]="---","---",IF(L35="---",$C$1,L35+1))</f>
        <v>44198</v>
      </c>
      <c r="M36" s="31">
        <f>IF(Tabelle121730301[[#This Row],[Datum]]="---","---",IF(O36="F",0,D36))</f>
        <v>0</v>
      </c>
      <c r="N36" s="31">
        <f>IF(Tabelle121730301[[#This Row],[Datum]]="---","---",IF(O36="F",0,E36))</f>
        <v>0</v>
      </c>
      <c r="O36" s="32"/>
      <c r="P36" s="31">
        <f>IF(Tabelle121730301[[#This Row],[Datum]]="---","---",IF(O36="F",0,G36))</f>
        <v>0</v>
      </c>
      <c r="Q36" s="31">
        <f>IF(Tabelle121730301[[#This Row],[Datum]]="---","---",IF(O36="F",I36,0))</f>
        <v>0</v>
      </c>
      <c r="R36" s="52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99">
        <f t="shared" si="4"/>
        <v>0</v>
      </c>
      <c r="U36" s="99"/>
    </row>
    <row r="37" spans="1:32" x14ac:dyDescent="0.3">
      <c r="B37" s="34" t="str">
        <f>IF(TEXT($C$1,"tttt")="Samstag",TEXT($C$1,"tttt"),IF(B36="---","---",TEXT(C36+1,"tttt")))</f>
        <v>Samstag</v>
      </c>
      <c r="C37" s="54">
        <f>IF(Tabelle121730[[#This Row],[Tag]]="---","---",IF(C36="---",$C$1,C36+1))</f>
        <v>44199</v>
      </c>
      <c r="D37" s="31"/>
      <c r="E37" s="31"/>
      <c r="F37" s="31"/>
      <c r="G37" s="31"/>
      <c r="H37" s="31"/>
      <c r="I37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4" t="str">
        <f>IF(TEXT($C$1,"tttt")="Samstag",TEXT($C$1,"tttt"),IF(K36="---","---",TEXT(L36+1,"tttt")))</f>
        <v>Samstag</v>
      </c>
      <c r="L37" s="54">
        <f>IF(Tabelle121730301[[#This Row],[Tag]]="---","---",IF(L36="---",$C$1,L36+1))</f>
        <v>44199</v>
      </c>
      <c r="M37" s="31">
        <f>IF(Tabelle121730301[[#This Row],[Datum]]="---","---",IF(O37="F",0,D37))</f>
        <v>0</v>
      </c>
      <c r="N37" s="31">
        <f>IF(Tabelle121730301[[#This Row],[Datum]]="---","---",IF(O37="F",0,E37))</f>
        <v>0</v>
      </c>
      <c r="O37" s="31"/>
      <c r="P37" s="31">
        <f>IF(Tabelle121730301[[#This Row],[Datum]]="---","---",IF(O37="F",0,G37))</f>
        <v>0</v>
      </c>
      <c r="Q37" s="31">
        <f>IF(Tabelle121730301[[#This Row],[Datum]]="---","---",IF(O37="F",I37,0))</f>
        <v>0</v>
      </c>
      <c r="R37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99">
        <f t="shared" si="4"/>
        <v>0</v>
      </c>
      <c r="U37" s="99"/>
    </row>
    <row r="38" spans="1:32" s="40" customFormat="1" x14ac:dyDescent="0.3">
      <c r="B38" s="34" t="str">
        <f>IF(TEXT($C$1,"tttt")="Sonntag",TEXT($C$1,"tttt"),IF(B37="---","---",TEXT(C37+1,"tttt")))</f>
        <v>Sonntag</v>
      </c>
      <c r="C38" s="54">
        <f>IF(Tabelle121730[[#This Row],[Tag]]="---","---",IF(C37="---",$C$1,C37+1))</f>
        <v>44200</v>
      </c>
      <c r="D38" s="32"/>
      <c r="E38" s="32"/>
      <c r="F38" s="32"/>
      <c r="G38" s="32"/>
      <c r="H38" s="32"/>
      <c r="I38" s="53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4" t="str">
        <f>IF(TEXT($C$1,"tttt")="Sonntag",TEXT($C$1,"tttt"),IF(K37="---","---",TEXT(L37+1,"tttt")))</f>
        <v>Sonntag</v>
      </c>
      <c r="L38" s="54">
        <f>IF(Tabelle121730301[[#This Row],[Tag]]="---","---",IF(L37="---",$C$1,L37+1))</f>
        <v>44200</v>
      </c>
      <c r="M38" s="31">
        <f>IF(Tabelle121730301[[#This Row],[Datum]]="---","---",IF(O38="F",0,D38))</f>
        <v>0</v>
      </c>
      <c r="N38" s="31">
        <f>IF(Tabelle121730301[[#This Row],[Datum]]="---","---",IF(O38="F",0,E38))</f>
        <v>0</v>
      </c>
      <c r="O38" s="32"/>
      <c r="P38" s="31">
        <f>IF(Tabelle121730301[[#This Row],[Datum]]="---","---",IF(O38="F",0,G38))</f>
        <v>0</v>
      </c>
      <c r="Q38" s="31">
        <f>IF(Tabelle121730301[[#This Row],[Datum]]="---","---",IF(O38="F",I38,0))</f>
        <v>0</v>
      </c>
      <c r="R38" s="53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99">
        <f t="shared" si="4"/>
        <v>0</v>
      </c>
      <c r="U38" s="99"/>
      <c r="V38" s="42"/>
      <c r="W38" s="42"/>
      <c r="X38" s="45"/>
      <c r="AB38" s="41"/>
      <c r="AD38" s="29"/>
      <c r="AE38" s="29"/>
      <c r="AF38" s="29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43"/>
      <c r="C40" s="40"/>
      <c r="D40" s="40"/>
      <c r="E40" s="40"/>
      <c r="F40" s="40"/>
      <c r="G40" s="40"/>
      <c r="H40" s="40"/>
      <c r="I40" s="40"/>
      <c r="K40" s="40"/>
      <c r="L40" s="40"/>
      <c r="M40" s="40"/>
      <c r="N40" s="40"/>
      <c r="O40" s="40"/>
      <c r="P40" s="40"/>
      <c r="Q40" s="40"/>
      <c r="R40" s="40"/>
      <c r="T40" s="40"/>
      <c r="U40" s="40"/>
    </row>
    <row r="41" spans="1:32" x14ac:dyDescent="0.3">
      <c r="A41" s="44" t="s">
        <v>33</v>
      </c>
      <c r="B41" s="6" t="s">
        <v>2</v>
      </c>
      <c r="C41" s="7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4" t="s">
        <v>33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99" t="s">
        <v>11</v>
      </c>
      <c r="U41" s="99"/>
      <c r="W41" s="68" t="s">
        <v>21</v>
      </c>
      <c r="X41" s="15" t="s">
        <v>17</v>
      </c>
    </row>
    <row r="42" spans="1:32" x14ac:dyDescent="0.3">
      <c r="A42" s="44">
        <f>A32+1</f>
        <v>2</v>
      </c>
      <c r="B42" s="34" t="str">
        <f>TEXT(Tabelle12173030297208[[#This Row],[Datum]],"tttt")</f>
        <v>Montag</v>
      </c>
      <c r="C42" s="56">
        <f>C38+1</f>
        <v>44201</v>
      </c>
      <c r="D42" s="31"/>
      <c r="E42" s="31"/>
      <c r="F42" s="31"/>
      <c r="G42" s="31"/>
      <c r="H42" s="31"/>
      <c r="I42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4">
        <f>J32+1</f>
        <v>2</v>
      </c>
      <c r="K42" s="34" t="str">
        <f>TEXT(Tabelle1217303029720855[[#This Row],[Datum]],"tttt")</f>
        <v>Montag</v>
      </c>
      <c r="L42" s="56">
        <f>L38+1</f>
        <v>44201</v>
      </c>
      <c r="M42" s="31">
        <f>IF(O42="F",0,D42)</f>
        <v>0</v>
      </c>
      <c r="N42" s="31">
        <f>IF(O42="F",0,E42)</f>
        <v>0</v>
      </c>
      <c r="O42" s="32"/>
      <c r="P42" s="31">
        <f>IF(O42="F",0,G42)</f>
        <v>0</v>
      </c>
      <c r="Q42" s="31">
        <f>IF(O42="F",I42,0)</f>
        <v>0</v>
      </c>
      <c r="R42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99">
        <f t="shared" ref="T42:T43" si="6">R42-I42</f>
        <v>0</v>
      </c>
      <c r="U42" s="99"/>
      <c r="W42" s="17" t="s">
        <v>18</v>
      </c>
      <c r="X42" s="26">
        <f>I49</f>
        <v>0</v>
      </c>
    </row>
    <row r="43" spans="1:32" x14ac:dyDescent="0.3">
      <c r="B43" s="34" t="str">
        <f>TEXT(Tabelle12173030297208[[#This Row],[Datum]],"tttt")</f>
        <v>Dienstag</v>
      </c>
      <c r="C43" s="54">
        <f>C42+1</f>
        <v>44202</v>
      </c>
      <c r="D43" s="31"/>
      <c r="E43" s="31"/>
      <c r="F43" s="31"/>
      <c r="G43" s="31"/>
      <c r="H43" s="31"/>
      <c r="I43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4" t="str">
        <f>TEXT(Tabelle1217303029720855[[#This Row],[Datum]],"tttt")</f>
        <v>Dienstag</v>
      </c>
      <c r="L43" s="54">
        <f>L42+1</f>
        <v>44202</v>
      </c>
      <c r="M43" s="31">
        <f t="shared" ref="M43:M48" si="7">IF(O43="F",0,D43)</f>
        <v>0</v>
      </c>
      <c r="N43" s="31">
        <f t="shared" ref="N43:N48" si="8">IF(O43="F",0,E43)</f>
        <v>0</v>
      </c>
      <c r="O43" s="31"/>
      <c r="P43" s="31">
        <f t="shared" ref="P43:P48" si="9">IF(O43="F",0,G43)</f>
        <v>0</v>
      </c>
      <c r="Q43" s="31">
        <f t="shared" ref="Q43:Q48" si="10">IF(O43="F",I43,0)</f>
        <v>0</v>
      </c>
      <c r="R43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99">
        <f t="shared" si="6"/>
        <v>0</v>
      </c>
      <c r="U43" s="99"/>
      <c r="W43" s="17" t="s">
        <v>19</v>
      </c>
      <c r="X43" s="26">
        <f>R49</f>
        <v>0</v>
      </c>
    </row>
    <row r="44" spans="1:32" x14ac:dyDescent="0.3">
      <c r="B44" s="35" t="str">
        <f>TEXT(Tabelle12173030297208[[#This Row],[Datum]],"tttt")</f>
        <v>Mittwoch</v>
      </c>
      <c r="C44" s="54">
        <f t="shared" ref="C44:C48" si="11">C43+1</f>
        <v>44203</v>
      </c>
      <c r="D44" s="32"/>
      <c r="E44" s="32"/>
      <c r="F44" s="32"/>
      <c r="G44" s="32"/>
      <c r="H44" s="32"/>
      <c r="I44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5" t="str">
        <f>TEXT(Tabelle1217303029720855[[#This Row],[Datum]],"tttt")</f>
        <v>Mittwoch</v>
      </c>
      <c r="L44" s="54">
        <f t="shared" ref="L44:L48" si="12">L43+1</f>
        <v>44203</v>
      </c>
      <c r="M44" s="31">
        <f t="shared" si="7"/>
        <v>0</v>
      </c>
      <c r="N44" s="31">
        <f t="shared" si="8"/>
        <v>0</v>
      </c>
      <c r="O44" s="32"/>
      <c r="P44" s="31">
        <f t="shared" si="9"/>
        <v>0</v>
      </c>
      <c r="Q44" s="31">
        <f t="shared" si="10"/>
        <v>0</v>
      </c>
      <c r="R44" s="51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99">
        <f>R44-I44</f>
        <v>0</v>
      </c>
      <c r="U44" s="99"/>
      <c r="W44" s="20" t="s">
        <v>20</v>
      </c>
      <c r="X44" s="27">
        <f>X43-X42</f>
        <v>0</v>
      </c>
      <c r="Z44" s="64">
        <f>X34+X44</f>
        <v>0</v>
      </c>
    </row>
    <row r="45" spans="1:32" x14ac:dyDescent="0.3">
      <c r="B45" s="34" t="str">
        <f>TEXT(Tabelle12173030297208[[#This Row],[Datum]],"tttt")</f>
        <v>Donnerstag</v>
      </c>
      <c r="C45" s="54">
        <f t="shared" si="11"/>
        <v>44204</v>
      </c>
      <c r="D45" s="31"/>
      <c r="E45" s="31"/>
      <c r="F45" s="31"/>
      <c r="G45" s="31"/>
      <c r="H45" s="31"/>
      <c r="I45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4" t="str">
        <f>TEXT(Tabelle1217303029720855[[#This Row],[Datum]],"tttt")</f>
        <v>Donnerstag</v>
      </c>
      <c r="L45" s="54">
        <f t="shared" si="12"/>
        <v>44204</v>
      </c>
      <c r="M45" s="31">
        <f t="shared" si="7"/>
        <v>0</v>
      </c>
      <c r="N45" s="31">
        <f t="shared" si="8"/>
        <v>0</v>
      </c>
      <c r="O45" s="31"/>
      <c r="P45" s="31">
        <f t="shared" si="9"/>
        <v>0</v>
      </c>
      <c r="Q45" s="31">
        <f t="shared" si="10"/>
        <v>0</v>
      </c>
      <c r="R45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99">
        <f>R45-I45</f>
        <v>0</v>
      </c>
      <c r="U45" s="99"/>
    </row>
    <row r="46" spans="1:32" x14ac:dyDescent="0.3">
      <c r="B46" s="36" t="str">
        <f>TEXT(Tabelle12173030297208[[#This Row],[Datum]],"tttt")</f>
        <v>Freitag</v>
      </c>
      <c r="C46" s="54">
        <f t="shared" si="11"/>
        <v>44205</v>
      </c>
      <c r="D46" s="32"/>
      <c r="E46" s="32"/>
      <c r="F46" s="32"/>
      <c r="G46" s="32"/>
      <c r="H46" s="32"/>
      <c r="I46" s="52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6" t="str">
        <f>TEXT(Tabelle1217303029720855[[#This Row],[Datum]],"tttt")</f>
        <v>Freitag</v>
      </c>
      <c r="L46" s="54">
        <f t="shared" si="12"/>
        <v>44205</v>
      </c>
      <c r="M46" s="31">
        <f t="shared" si="7"/>
        <v>0</v>
      </c>
      <c r="N46" s="31">
        <f t="shared" si="8"/>
        <v>0</v>
      </c>
      <c r="O46" s="32"/>
      <c r="P46" s="31">
        <f t="shared" si="9"/>
        <v>0</v>
      </c>
      <c r="Q46" s="31">
        <f t="shared" si="10"/>
        <v>0</v>
      </c>
      <c r="R46" s="52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99">
        <f>R46-I46</f>
        <v>0</v>
      </c>
      <c r="U46" s="99"/>
    </row>
    <row r="47" spans="1:32" x14ac:dyDescent="0.3">
      <c r="B47" s="34" t="str">
        <f>TEXT(Tabelle12173030297208[[#This Row],[Datum]],"tttt")</f>
        <v>Samstag</v>
      </c>
      <c r="C47" s="54">
        <f t="shared" si="11"/>
        <v>44206</v>
      </c>
      <c r="D47" s="31"/>
      <c r="E47" s="31"/>
      <c r="F47" s="31"/>
      <c r="G47" s="31"/>
      <c r="H47" s="31"/>
      <c r="I47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4" t="str">
        <f>TEXT(Tabelle1217303029720855[[#This Row],[Datum]],"tttt")</f>
        <v>Samstag</v>
      </c>
      <c r="L47" s="54">
        <f t="shared" si="12"/>
        <v>44206</v>
      </c>
      <c r="M47" s="31">
        <f t="shared" si="7"/>
        <v>0</v>
      </c>
      <c r="N47" s="31">
        <f t="shared" si="8"/>
        <v>0</v>
      </c>
      <c r="O47" s="31"/>
      <c r="P47" s="31">
        <f t="shared" si="9"/>
        <v>0</v>
      </c>
      <c r="Q47" s="31">
        <f t="shared" si="10"/>
        <v>0</v>
      </c>
      <c r="R47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99">
        <f t="shared" ref="T47:T48" si="13">R47-I47</f>
        <v>0</v>
      </c>
      <c r="U47" s="99"/>
    </row>
    <row r="48" spans="1:32" s="40" customFormat="1" x14ac:dyDescent="0.3">
      <c r="B48" s="36" t="str">
        <f>TEXT(Tabelle12173030297208[[#This Row],[Datum]],"tttt")</f>
        <v>Sonntag</v>
      </c>
      <c r="C48" s="55">
        <f t="shared" si="11"/>
        <v>44207</v>
      </c>
      <c r="D48" s="32"/>
      <c r="E48" s="32"/>
      <c r="F48" s="32"/>
      <c r="G48" s="32"/>
      <c r="H48" s="32"/>
      <c r="I48" s="53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6" t="str">
        <f>TEXT(Tabelle1217303029720855[[#This Row],[Datum]],"tttt")</f>
        <v>Sonntag</v>
      </c>
      <c r="L48" s="55">
        <f t="shared" si="12"/>
        <v>44207</v>
      </c>
      <c r="M48" s="31">
        <f t="shared" si="7"/>
        <v>0</v>
      </c>
      <c r="N48" s="31">
        <f t="shared" si="8"/>
        <v>0</v>
      </c>
      <c r="O48" s="32"/>
      <c r="P48" s="31">
        <f t="shared" si="9"/>
        <v>0</v>
      </c>
      <c r="Q48" s="31">
        <f t="shared" si="10"/>
        <v>0</v>
      </c>
      <c r="R48" s="53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99">
        <f t="shared" si="13"/>
        <v>0</v>
      </c>
      <c r="U48" s="99"/>
      <c r="V48" s="42"/>
      <c r="W48" s="42"/>
      <c r="X48" s="45"/>
      <c r="AB48" s="41"/>
      <c r="AD48" s="29"/>
      <c r="AE48" s="29"/>
      <c r="AF48" s="29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7"/>
      <c r="B50" s="38"/>
      <c r="C50" s="37"/>
      <c r="D50" s="37"/>
      <c r="E50" s="37"/>
      <c r="F50" s="37"/>
      <c r="G50" s="37"/>
      <c r="H50" s="37"/>
      <c r="I50" s="38"/>
      <c r="J50" s="37"/>
      <c r="K50" s="38"/>
      <c r="L50" s="37"/>
      <c r="M50" s="37"/>
      <c r="N50" s="37"/>
      <c r="O50" s="37"/>
      <c r="P50" s="37"/>
      <c r="Q50" s="37"/>
      <c r="R50" s="38"/>
      <c r="S50" s="37"/>
      <c r="T50" s="100"/>
      <c r="U50" s="100"/>
      <c r="V50" s="37"/>
      <c r="W50" s="37"/>
      <c r="X50" s="39"/>
    </row>
    <row r="51" spans="1:32" x14ac:dyDescent="0.3">
      <c r="A51" s="44" t="s">
        <v>33</v>
      </c>
      <c r="B51" s="6" t="s">
        <v>2</v>
      </c>
      <c r="C51" s="7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4" t="s">
        <v>33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99" t="s">
        <v>11</v>
      </c>
      <c r="U51" s="99"/>
      <c r="W51" s="68" t="s">
        <v>21</v>
      </c>
      <c r="X51" s="15" t="s">
        <v>17</v>
      </c>
      <c r="Y51" s="37"/>
    </row>
    <row r="52" spans="1:32" x14ac:dyDescent="0.3">
      <c r="A52" s="44">
        <f>A42+1</f>
        <v>3</v>
      </c>
      <c r="B52" s="34" t="str">
        <f>TEXT(Tabelle121730302972083[[#This Row],[Datum]],"tttt")</f>
        <v>Montag</v>
      </c>
      <c r="C52" s="56">
        <f>C48+1</f>
        <v>44208</v>
      </c>
      <c r="D52" s="31"/>
      <c r="E52" s="31"/>
      <c r="F52" s="31"/>
      <c r="G52" s="31"/>
      <c r="H52" s="31"/>
      <c r="I52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4">
        <f>J42+1</f>
        <v>3</v>
      </c>
      <c r="K52" s="34" t="str">
        <f>TEXT(Tabelle12173030297208552[[#This Row],[Datum]],"tttt")</f>
        <v>Montag</v>
      </c>
      <c r="L52" s="56">
        <f>L48+1</f>
        <v>44208</v>
      </c>
      <c r="M52" s="31">
        <f>IF(O52="F",0,D52)</f>
        <v>0</v>
      </c>
      <c r="N52" s="31">
        <f>IF(O52="F",0,E52)</f>
        <v>0</v>
      </c>
      <c r="O52" s="32"/>
      <c r="P52" s="31">
        <f>IF(O52="F",0,G52)</f>
        <v>0</v>
      </c>
      <c r="Q52" s="31">
        <f>IF(O52="F",I52,0)</f>
        <v>0</v>
      </c>
      <c r="R52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99">
        <f t="shared" ref="T52:T53" si="16">R52-I52</f>
        <v>0</v>
      </c>
      <c r="U52" s="99"/>
      <c r="W52" s="17" t="s">
        <v>18</v>
      </c>
      <c r="X52" s="26">
        <f>I59</f>
        <v>0</v>
      </c>
      <c r="Y52" s="37"/>
    </row>
    <row r="53" spans="1:32" x14ac:dyDescent="0.3">
      <c r="B53" s="34" t="str">
        <f>TEXT(Tabelle121730302972083[[#This Row],[Datum]],"tttt")</f>
        <v>Dienstag</v>
      </c>
      <c r="C53" s="54">
        <f>C52+1</f>
        <v>44209</v>
      </c>
      <c r="D53" s="31"/>
      <c r="E53" s="31"/>
      <c r="F53" s="31"/>
      <c r="G53" s="31"/>
      <c r="H53" s="31"/>
      <c r="I53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4" t="str">
        <f>TEXT(Tabelle12173030297208552[[#This Row],[Datum]],"tttt")</f>
        <v>Dienstag</v>
      </c>
      <c r="L53" s="54">
        <f>L52+1</f>
        <v>44209</v>
      </c>
      <c r="M53" s="31">
        <f t="shared" ref="M53:M58" si="17">IF(O53="F",0,D53)</f>
        <v>0</v>
      </c>
      <c r="N53" s="31">
        <f t="shared" ref="N53:N58" si="18">IF(O53="F",0,E53)</f>
        <v>0</v>
      </c>
      <c r="O53" s="31"/>
      <c r="P53" s="31">
        <f t="shared" ref="P53:P58" si="19">IF(O53="F",0,G53)</f>
        <v>0</v>
      </c>
      <c r="Q53" s="31">
        <f t="shared" ref="Q53:Q58" si="20">IF(O53="F",I53,0)</f>
        <v>0</v>
      </c>
      <c r="R53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99">
        <f t="shared" si="16"/>
        <v>0</v>
      </c>
      <c r="U53" s="99"/>
      <c r="W53" s="17" t="s">
        <v>19</v>
      </c>
      <c r="X53" s="26">
        <f>R59</f>
        <v>0</v>
      </c>
      <c r="Y53" s="37"/>
    </row>
    <row r="54" spans="1:32" x14ac:dyDescent="0.3">
      <c r="B54" s="35" t="str">
        <f>TEXT(Tabelle121730302972083[[#This Row],[Datum]],"tttt")</f>
        <v>Mittwoch</v>
      </c>
      <c r="C54" s="54">
        <f t="shared" ref="C54:C58" si="21">C53+1</f>
        <v>44210</v>
      </c>
      <c r="D54" s="32"/>
      <c r="E54" s="32"/>
      <c r="F54" s="32"/>
      <c r="G54" s="32"/>
      <c r="H54" s="32"/>
      <c r="I54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5" t="str">
        <f>TEXT(Tabelle12173030297208552[[#This Row],[Datum]],"tttt")</f>
        <v>Mittwoch</v>
      </c>
      <c r="L54" s="54">
        <f t="shared" ref="L54:L58" si="22">L53+1</f>
        <v>44210</v>
      </c>
      <c r="M54" s="31">
        <f t="shared" si="17"/>
        <v>0</v>
      </c>
      <c r="N54" s="31">
        <f t="shared" si="18"/>
        <v>0</v>
      </c>
      <c r="O54" s="32"/>
      <c r="P54" s="31">
        <f t="shared" si="19"/>
        <v>0</v>
      </c>
      <c r="Q54" s="31">
        <f t="shared" si="20"/>
        <v>0</v>
      </c>
      <c r="R54" s="51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99">
        <f>R54-I54</f>
        <v>0</v>
      </c>
      <c r="U54" s="99"/>
      <c r="W54" s="20" t="s">
        <v>20</v>
      </c>
      <c r="X54" s="27">
        <f>X53-X52</f>
        <v>0</v>
      </c>
      <c r="Y54" s="37"/>
      <c r="Z54" s="64">
        <f>Z44+X54</f>
        <v>0</v>
      </c>
    </row>
    <row r="55" spans="1:32" x14ac:dyDescent="0.3">
      <c r="B55" s="34" t="str">
        <f>TEXT(Tabelle121730302972083[[#This Row],[Datum]],"tttt")</f>
        <v>Donnerstag</v>
      </c>
      <c r="C55" s="54">
        <f t="shared" si="21"/>
        <v>44211</v>
      </c>
      <c r="D55" s="31"/>
      <c r="E55" s="31"/>
      <c r="F55" s="31"/>
      <c r="G55" s="31"/>
      <c r="H55" s="31"/>
      <c r="I55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4" t="str">
        <f>TEXT(Tabelle12173030297208552[[#This Row],[Datum]],"tttt")</f>
        <v>Donnerstag</v>
      </c>
      <c r="L55" s="54">
        <f t="shared" si="22"/>
        <v>44211</v>
      </c>
      <c r="M55" s="31">
        <f t="shared" si="17"/>
        <v>0</v>
      </c>
      <c r="N55" s="31">
        <f t="shared" si="18"/>
        <v>0</v>
      </c>
      <c r="O55" s="31"/>
      <c r="P55" s="31">
        <f t="shared" si="19"/>
        <v>0</v>
      </c>
      <c r="Q55" s="31">
        <f t="shared" si="20"/>
        <v>0</v>
      </c>
      <c r="R55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99">
        <f>R55-I55</f>
        <v>0</v>
      </c>
      <c r="U55" s="99"/>
      <c r="Y55" s="37"/>
    </row>
    <row r="56" spans="1:32" x14ac:dyDescent="0.3">
      <c r="B56" s="36" t="str">
        <f>TEXT(Tabelle121730302972083[[#This Row],[Datum]],"tttt")</f>
        <v>Freitag</v>
      </c>
      <c r="C56" s="54">
        <f t="shared" si="21"/>
        <v>44212</v>
      </c>
      <c r="D56" s="32"/>
      <c r="E56" s="32"/>
      <c r="F56" s="32"/>
      <c r="G56" s="32"/>
      <c r="H56" s="32"/>
      <c r="I56" s="52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6" t="str">
        <f>TEXT(Tabelle12173030297208552[[#This Row],[Datum]],"tttt")</f>
        <v>Freitag</v>
      </c>
      <c r="L56" s="54">
        <f t="shared" si="22"/>
        <v>44212</v>
      </c>
      <c r="M56" s="31">
        <f t="shared" si="17"/>
        <v>0</v>
      </c>
      <c r="N56" s="31">
        <f t="shared" si="18"/>
        <v>0</v>
      </c>
      <c r="O56" s="32"/>
      <c r="P56" s="31">
        <f t="shared" si="19"/>
        <v>0</v>
      </c>
      <c r="Q56" s="31">
        <f t="shared" si="20"/>
        <v>0</v>
      </c>
      <c r="R56" s="52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99">
        <f>R56-I56</f>
        <v>0</v>
      </c>
      <c r="U56" s="99"/>
      <c r="Y56" s="37"/>
    </row>
    <row r="57" spans="1:32" x14ac:dyDescent="0.3">
      <c r="B57" s="34" t="str">
        <f>TEXT(Tabelle121730302972083[[#This Row],[Datum]],"tttt")</f>
        <v>Samstag</v>
      </c>
      <c r="C57" s="54">
        <f t="shared" si="21"/>
        <v>44213</v>
      </c>
      <c r="D57" s="31"/>
      <c r="E57" s="31"/>
      <c r="F57" s="31"/>
      <c r="G57" s="31"/>
      <c r="H57" s="31"/>
      <c r="I57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4" t="str">
        <f>TEXT(Tabelle12173030297208552[[#This Row],[Datum]],"tttt")</f>
        <v>Samstag</v>
      </c>
      <c r="L57" s="54">
        <f t="shared" si="22"/>
        <v>44213</v>
      </c>
      <c r="M57" s="31">
        <f t="shared" si="17"/>
        <v>0</v>
      </c>
      <c r="N57" s="31">
        <f t="shared" si="18"/>
        <v>0</v>
      </c>
      <c r="O57" s="31"/>
      <c r="P57" s="31">
        <f t="shared" si="19"/>
        <v>0</v>
      </c>
      <c r="Q57" s="31">
        <f t="shared" si="20"/>
        <v>0</v>
      </c>
      <c r="R57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99">
        <f t="shared" ref="T57:T58" si="23">R57-I57</f>
        <v>0</v>
      </c>
      <c r="U57" s="99"/>
      <c r="Y57" s="37"/>
    </row>
    <row r="58" spans="1:32" s="40" customFormat="1" x14ac:dyDescent="0.3">
      <c r="B58" s="36" t="str">
        <f>TEXT(Tabelle121730302972083[[#This Row],[Datum]],"tttt")</f>
        <v>Sonntag</v>
      </c>
      <c r="C58" s="55">
        <f t="shared" si="21"/>
        <v>44214</v>
      </c>
      <c r="D58" s="32"/>
      <c r="E58" s="32"/>
      <c r="F58" s="32"/>
      <c r="G58" s="32"/>
      <c r="H58" s="32"/>
      <c r="I58" s="53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6" t="str">
        <f>TEXT(Tabelle12173030297208552[[#This Row],[Datum]],"tttt")</f>
        <v>Sonntag</v>
      </c>
      <c r="L58" s="55">
        <f t="shared" si="22"/>
        <v>44214</v>
      </c>
      <c r="M58" s="31">
        <f t="shared" si="17"/>
        <v>0</v>
      </c>
      <c r="N58" s="31">
        <f t="shared" si="18"/>
        <v>0</v>
      </c>
      <c r="O58" s="32"/>
      <c r="P58" s="31">
        <f t="shared" si="19"/>
        <v>0</v>
      </c>
      <c r="Q58" s="31">
        <f t="shared" si="20"/>
        <v>0</v>
      </c>
      <c r="R58" s="53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99">
        <f t="shared" si="23"/>
        <v>0</v>
      </c>
      <c r="U58" s="99"/>
      <c r="V58" s="42"/>
      <c r="W58" s="42"/>
      <c r="X58" s="45"/>
      <c r="Y58" s="37"/>
      <c r="AB58" s="41"/>
      <c r="AD58" s="29"/>
      <c r="AE58" s="29"/>
      <c r="AF58" s="29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7"/>
    </row>
    <row r="60" spans="1:32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9"/>
      <c r="Y60" s="37"/>
    </row>
    <row r="61" spans="1:32" x14ac:dyDescent="0.3">
      <c r="A61" s="44" t="s">
        <v>33</v>
      </c>
      <c r="B61" s="6" t="s">
        <v>2</v>
      </c>
      <c r="C61" s="7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4" t="s">
        <v>33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99" t="s">
        <v>11</v>
      </c>
      <c r="U61" s="99"/>
      <c r="W61" s="13" t="s">
        <v>21</v>
      </c>
      <c r="X61" s="15" t="s">
        <v>17</v>
      </c>
      <c r="Y61" s="37"/>
    </row>
    <row r="62" spans="1:32" x14ac:dyDescent="0.3">
      <c r="A62" s="44">
        <f>A52+1</f>
        <v>4</v>
      </c>
      <c r="B62" s="34" t="str">
        <f>TEXT(Tabelle121730302972084[[#This Row],[Datum]],"tttt")</f>
        <v>Montag</v>
      </c>
      <c r="C62" s="56">
        <f>C58+1</f>
        <v>44215</v>
      </c>
      <c r="D62" s="31"/>
      <c r="E62" s="31"/>
      <c r="F62" s="31"/>
      <c r="G62" s="31"/>
      <c r="H62" s="31"/>
      <c r="I62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4">
        <f>J52+1</f>
        <v>4</v>
      </c>
      <c r="K62" s="34" t="str">
        <f>TEXT(Tabelle12173030297208458[[#This Row],[Datum]],"tttt")</f>
        <v>Montag</v>
      </c>
      <c r="L62" s="56">
        <f>L58+1</f>
        <v>44215</v>
      </c>
      <c r="M62" s="31">
        <f>IF(O62="F",0,D62)</f>
        <v>0</v>
      </c>
      <c r="N62" s="31">
        <f>IF(O62="F",0,E62)</f>
        <v>0</v>
      </c>
      <c r="O62" s="32"/>
      <c r="P62" s="31">
        <f>IF(O62="F",0,G62)</f>
        <v>0</v>
      </c>
      <c r="Q62" s="31">
        <f>IF(O62="F",I62,0)</f>
        <v>0</v>
      </c>
      <c r="R62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99">
        <f t="shared" ref="T62:T63" si="26">R62-I62</f>
        <v>0</v>
      </c>
      <c r="U62" s="99"/>
      <c r="W62" s="17" t="s">
        <v>18</v>
      </c>
      <c r="X62" s="26">
        <f>I69</f>
        <v>0</v>
      </c>
      <c r="Y62" s="37"/>
    </row>
    <row r="63" spans="1:32" x14ac:dyDescent="0.3">
      <c r="B63" s="34" t="str">
        <f>TEXT(Tabelle121730302972084[[#This Row],[Datum]],"tttt")</f>
        <v>Dienstag</v>
      </c>
      <c r="C63" s="54">
        <f>C62+1</f>
        <v>44216</v>
      </c>
      <c r="D63" s="31"/>
      <c r="E63" s="31"/>
      <c r="F63" s="31"/>
      <c r="G63" s="31"/>
      <c r="H63" s="31"/>
      <c r="I63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4" t="str">
        <f>TEXT(Tabelle12173030297208458[[#This Row],[Datum]],"tttt")</f>
        <v>Dienstag</v>
      </c>
      <c r="L63" s="54">
        <f>L62+1</f>
        <v>44216</v>
      </c>
      <c r="M63" s="31">
        <f t="shared" ref="M63:M68" si="27">IF(O63="F",0,D63)</f>
        <v>0</v>
      </c>
      <c r="N63" s="31">
        <f t="shared" ref="N63:N68" si="28">IF(O63="F",0,E63)</f>
        <v>0</v>
      </c>
      <c r="O63" s="31"/>
      <c r="P63" s="31">
        <f t="shared" ref="P63:P68" si="29">IF(O63="F",0,G63)</f>
        <v>0</v>
      </c>
      <c r="Q63" s="31">
        <f t="shared" ref="Q63:Q68" si="30">IF(O63="F",I63,0)</f>
        <v>0</v>
      </c>
      <c r="R63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99">
        <f t="shared" si="26"/>
        <v>0</v>
      </c>
      <c r="U63" s="99"/>
      <c r="W63" s="17" t="s">
        <v>19</v>
      </c>
      <c r="X63" s="26">
        <f>R69</f>
        <v>0</v>
      </c>
      <c r="Y63" s="37"/>
    </row>
    <row r="64" spans="1:32" x14ac:dyDescent="0.3">
      <c r="B64" s="35" t="str">
        <f>TEXT(Tabelle121730302972084[[#This Row],[Datum]],"tttt")</f>
        <v>Mittwoch</v>
      </c>
      <c r="C64" s="54">
        <f t="shared" ref="C64:C68" si="31">C63+1</f>
        <v>44217</v>
      </c>
      <c r="D64" s="32"/>
      <c r="E64" s="32"/>
      <c r="F64" s="32"/>
      <c r="G64" s="32"/>
      <c r="H64" s="32"/>
      <c r="I64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5" t="str">
        <f>TEXT(Tabelle12173030297208458[[#This Row],[Datum]],"tttt")</f>
        <v>Mittwoch</v>
      </c>
      <c r="L64" s="54">
        <f t="shared" ref="L64:L68" si="32">L63+1</f>
        <v>44217</v>
      </c>
      <c r="M64" s="31">
        <f t="shared" si="27"/>
        <v>0</v>
      </c>
      <c r="N64" s="31">
        <f t="shared" si="28"/>
        <v>0</v>
      </c>
      <c r="O64" s="32"/>
      <c r="P64" s="31">
        <f t="shared" si="29"/>
        <v>0</v>
      </c>
      <c r="Q64" s="31">
        <f t="shared" si="30"/>
        <v>0</v>
      </c>
      <c r="R64" s="51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99">
        <f>R64-I64</f>
        <v>0</v>
      </c>
      <c r="U64" s="99"/>
      <c r="W64" s="20" t="s">
        <v>20</v>
      </c>
      <c r="X64" s="27">
        <f>X63-X62</f>
        <v>0</v>
      </c>
      <c r="Y64" s="37"/>
      <c r="Z64" s="64">
        <f>Z54+X64</f>
        <v>0</v>
      </c>
    </row>
    <row r="65" spans="1:32" x14ac:dyDescent="0.3">
      <c r="B65" s="34" t="str">
        <f>TEXT(Tabelle121730302972084[[#This Row],[Datum]],"tttt")</f>
        <v>Donnerstag</v>
      </c>
      <c r="C65" s="54">
        <f t="shared" si="31"/>
        <v>44218</v>
      </c>
      <c r="D65" s="31"/>
      <c r="E65" s="31"/>
      <c r="F65" s="31"/>
      <c r="G65" s="31"/>
      <c r="H65" s="31"/>
      <c r="I65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4" t="str">
        <f>TEXT(Tabelle12173030297208458[[#This Row],[Datum]],"tttt")</f>
        <v>Donnerstag</v>
      </c>
      <c r="L65" s="54">
        <f t="shared" si="32"/>
        <v>44218</v>
      </c>
      <c r="M65" s="31">
        <f t="shared" si="27"/>
        <v>0</v>
      </c>
      <c r="N65" s="31">
        <f t="shared" si="28"/>
        <v>0</v>
      </c>
      <c r="O65" s="31"/>
      <c r="P65" s="31">
        <f t="shared" si="29"/>
        <v>0</v>
      </c>
      <c r="Q65" s="31">
        <f t="shared" si="30"/>
        <v>0</v>
      </c>
      <c r="R65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99">
        <f>R65-I65</f>
        <v>0</v>
      </c>
      <c r="U65" s="99"/>
      <c r="Y65" s="37"/>
    </row>
    <row r="66" spans="1:32" x14ac:dyDescent="0.3">
      <c r="B66" s="36" t="str">
        <f>TEXT(Tabelle121730302972084[[#This Row],[Datum]],"tttt")</f>
        <v>Freitag</v>
      </c>
      <c r="C66" s="54">
        <f t="shared" si="31"/>
        <v>44219</v>
      </c>
      <c r="D66" s="32"/>
      <c r="E66" s="32"/>
      <c r="F66" s="32"/>
      <c r="G66" s="32"/>
      <c r="H66" s="32"/>
      <c r="I66" s="52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6" t="str">
        <f>TEXT(Tabelle12173030297208458[[#This Row],[Datum]],"tttt")</f>
        <v>Freitag</v>
      </c>
      <c r="L66" s="54">
        <f t="shared" si="32"/>
        <v>44219</v>
      </c>
      <c r="M66" s="31">
        <f t="shared" si="27"/>
        <v>0</v>
      </c>
      <c r="N66" s="31">
        <f t="shared" si="28"/>
        <v>0</v>
      </c>
      <c r="O66" s="32"/>
      <c r="P66" s="31">
        <f t="shared" si="29"/>
        <v>0</v>
      </c>
      <c r="Q66" s="31">
        <f t="shared" si="30"/>
        <v>0</v>
      </c>
      <c r="R66" s="52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99">
        <f>R66-I66</f>
        <v>0</v>
      </c>
      <c r="U66" s="99"/>
      <c r="Y66" s="37"/>
    </row>
    <row r="67" spans="1:32" x14ac:dyDescent="0.3">
      <c r="B67" s="34" t="str">
        <f>TEXT(Tabelle121730302972084[[#This Row],[Datum]],"tttt")</f>
        <v>Samstag</v>
      </c>
      <c r="C67" s="54">
        <f t="shared" si="31"/>
        <v>44220</v>
      </c>
      <c r="D67" s="31"/>
      <c r="E67" s="31"/>
      <c r="F67" s="31"/>
      <c r="G67" s="31"/>
      <c r="H67" s="31"/>
      <c r="I67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4" t="str">
        <f>TEXT(Tabelle12173030297208458[[#This Row],[Datum]],"tttt")</f>
        <v>Samstag</v>
      </c>
      <c r="L67" s="54">
        <f t="shared" si="32"/>
        <v>44220</v>
      </c>
      <c r="M67" s="31">
        <f t="shared" si="27"/>
        <v>0</v>
      </c>
      <c r="N67" s="31">
        <f t="shared" si="28"/>
        <v>0</v>
      </c>
      <c r="O67" s="31"/>
      <c r="P67" s="31">
        <f t="shared" si="29"/>
        <v>0</v>
      </c>
      <c r="Q67" s="31">
        <f t="shared" si="30"/>
        <v>0</v>
      </c>
      <c r="R67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99">
        <f t="shared" ref="T67:T68" si="33">R67-I67</f>
        <v>0</v>
      </c>
      <c r="U67" s="99"/>
      <c r="Y67" s="37"/>
    </row>
    <row r="68" spans="1:32" s="40" customFormat="1" x14ac:dyDescent="0.3">
      <c r="B68" s="36" t="str">
        <f>TEXT(Tabelle121730302972084[[#This Row],[Datum]],"tttt")</f>
        <v>Sonntag</v>
      </c>
      <c r="C68" s="55">
        <f t="shared" si="31"/>
        <v>44221</v>
      </c>
      <c r="D68" s="32"/>
      <c r="E68" s="32"/>
      <c r="F68" s="32"/>
      <c r="G68" s="32"/>
      <c r="H68" s="32"/>
      <c r="I68" s="53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6" t="str">
        <f>TEXT(Tabelle12173030297208458[[#This Row],[Datum]],"tttt")</f>
        <v>Sonntag</v>
      </c>
      <c r="L68" s="55">
        <f t="shared" si="32"/>
        <v>44221</v>
      </c>
      <c r="M68" s="31">
        <f t="shared" si="27"/>
        <v>0</v>
      </c>
      <c r="N68" s="31">
        <f t="shared" si="28"/>
        <v>0</v>
      </c>
      <c r="O68" s="32"/>
      <c r="P68" s="31">
        <f t="shared" si="29"/>
        <v>0</v>
      </c>
      <c r="Q68" s="31">
        <f t="shared" si="30"/>
        <v>0</v>
      </c>
      <c r="R68" s="53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99">
        <f t="shared" si="33"/>
        <v>0</v>
      </c>
      <c r="U68" s="99"/>
      <c r="V68" s="42"/>
      <c r="W68" s="42"/>
      <c r="X68" s="45"/>
      <c r="Y68" s="37"/>
      <c r="AB68" s="41"/>
      <c r="AD68" s="29"/>
      <c r="AE68" s="29"/>
      <c r="AF68" s="29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7"/>
    </row>
    <row r="70" spans="1:32" x14ac:dyDescent="0.3">
      <c r="A70" s="37"/>
      <c r="B70" s="38"/>
      <c r="C70" s="37"/>
      <c r="D70" s="37"/>
      <c r="E70" s="37"/>
      <c r="F70" s="37"/>
      <c r="G70" s="37"/>
      <c r="H70" s="37"/>
      <c r="I70" s="38"/>
      <c r="J70" s="37"/>
      <c r="K70" s="38"/>
      <c r="L70" s="37"/>
      <c r="M70" s="37"/>
      <c r="N70" s="37"/>
      <c r="O70" s="37"/>
      <c r="P70" s="37"/>
      <c r="Q70" s="37"/>
      <c r="R70" s="38"/>
      <c r="S70" s="37"/>
      <c r="T70" s="100"/>
      <c r="U70" s="100"/>
      <c r="V70" s="37"/>
      <c r="W70" s="37"/>
      <c r="X70" s="39"/>
      <c r="Y70" s="37"/>
    </row>
    <row r="71" spans="1:32" x14ac:dyDescent="0.3">
      <c r="A71" s="44" t="s">
        <v>33</v>
      </c>
      <c r="B71" s="6" t="s">
        <v>2</v>
      </c>
      <c r="C71" s="7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4" t="s">
        <v>33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99" t="s">
        <v>11</v>
      </c>
      <c r="U71" s="99"/>
      <c r="W71" s="13" t="s">
        <v>21</v>
      </c>
      <c r="X71" s="15" t="s">
        <v>17</v>
      </c>
      <c r="Y71" s="37"/>
    </row>
    <row r="72" spans="1:32" x14ac:dyDescent="0.3">
      <c r="A72" s="44">
        <f>A62+1</f>
        <v>5</v>
      </c>
      <c r="B72" s="34" t="str">
        <f>TEXT(Tabelle121730302972085[[#This Row],[Datum]],"tttt")</f>
        <v>Montag</v>
      </c>
      <c r="C72" s="56">
        <f>C68+1</f>
        <v>44222</v>
      </c>
      <c r="D72" s="31"/>
      <c r="E72" s="31"/>
      <c r="F72" s="31"/>
      <c r="G72" s="31"/>
      <c r="H72" s="31"/>
      <c r="I72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4">
        <f>J62+1</f>
        <v>5</v>
      </c>
      <c r="K72" s="34" t="str">
        <f>TEXT(Tabelle12173030297208559[[#This Row],[Datum]],"tttt")</f>
        <v>Montag</v>
      </c>
      <c r="L72" s="56">
        <f>L68+1</f>
        <v>44222</v>
      </c>
      <c r="M72" s="31">
        <f>IF(O72="F",0,D72)</f>
        <v>0</v>
      </c>
      <c r="N72" s="31">
        <f>IF(O72="F",0,E72)</f>
        <v>0</v>
      </c>
      <c r="O72" s="32"/>
      <c r="P72" s="31">
        <f>IF(O72="F",0,G72)</f>
        <v>0</v>
      </c>
      <c r="Q72" s="31">
        <f>IF(O72="F",I72,0)</f>
        <v>0</v>
      </c>
      <c r="R72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99">
        <f t="shared" ref="T72:T73" si="36">R72-I72</f>
        <v>0</v>
      </c>
      <c r="U72" s="99"/>
      <c r="W72" s="17" t="s">
        <v>18</v>
      </c>
      <c r="X72" s="26">
        <f>I79</f>
        <v>0</v>
      </c>
      <c r="Y72" s="37"/>
    </row>
    <row r="73" spans="1:32" x14ac:dyDescent="0.3">
      <c r="B73" s="34" t="str">
        <f>TEXT(Tabelle121730302972085[[#This Row],[Datum]],"tttt")</f>
        <v>Dienstag</v>
      </c>
      <c r="C73" s="54">
        <f>C72+1</f>
        <v>44223</v>
      </c>
      <c r="D73" s="31"/>
      <c r="E73" s="31"/>
      <c r="F73" s="31"/>
      <c r="G73" s="31"/>
      <c r="H73" s="31"/>
      <c r="I73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4" t="str">
        <f>TEXT(Tabelle12173030297208559[[#This Row],[Datum]],"tttt")</f>
        <v>Dienstag</v>
      </c>
      <c r="L73" s="54">
        <f>L72+1</f>
        <v>44223</v>
      </c>
      <c r="M73" s="31">
        <f t="shared" ref="M73:M78" si="37">IF(O73="F",0,D73)</f>
        <v>0</v>
      </c>
      <c r="N73" s="31">
        <f t="shared" ref="N73:N78" si="38">IF(O73="F",0,E73)</f>
        <v>0</v>
      </c>
      <c r="O73" s="31"/>
      <c r="P73" s="31">
        <f t="shared" ref="P73:P78" si="39">IF(O73="F",0,G73)</f>
        <v>0</v>
      </c>
      <c r="Q73" s="31">
        <f t="shared" ref="Q73:Q78" si="40">IF(O73="F",I73,0)</f>
        <v>0</v>
      </c>
      <c r="R73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99">
        <f t="shared" si="36"/>
        <v>0</v>
      </c>
      <c r="U73" s="99"/>
      <c r="W73" s="17" t="s">
        <v>19</v>
      </c>
      <c r="X73" s="26">
        <f>R79</f>
        <v>0</v>
      </c>
      <c r="Y73" s="37"/>
    </row>
    <row r="74" spans="1:32" x14ac:dyDescent="0.3">
      <c r="B74" s="35" t="str">
        <f>TEXT(Tabelle121730302972085[[#This Row],[Datum]],"tttt")</f>
        <v>Mittwoch</v>
      </c>
      <c r="C74" s="54">
        <f t="shared" ref="C74:C78" si="41">C73+1</f>
        <v>44224</v>
      </c>
      <c r="D74" s="32"/>
      <c r="E74" s="32"/>
      <c r="F74" s="32"/>
      <c r="G74" s="32"/>
      <c r="H74" s="32"/>
      <c r="I74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5" t="str">
        <f>TEXT(Tabelle12173030297208559[[#This Row],[Datum]],"tttt")</f>
        <v>Mittwoch</v>
      </c>
      <c r="L74" s="54">
        <f t="shared" ref="L74:L78" si="42">L73+1</f>
        <v>44224</v>
      </c>
      <c r="M74" s="31">
        <f t="shared" si="37"/>
        <v>0</v>
      </c>
      <c r="N74" s="31">
        <f t="shared" si="38"/>
        <v>0</v>
      </c>
      <c r="O74" s="32"/>
      <c r="P74" s="31">
        <f t="shared" si="39"/>
        <v>0</v>
      </c>
      <c r="Q74" s="31">
        <f t="shared" si="40"/>
        <v>0</v>
      </c>
      <c r="R74" s="51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99">
        <f>R74-I74</f>
        <v>0</v>
      </c>
      <c r="U74" s="99"/>
      <c r="W74" s="20" t="s">
        <v>20</v>
      </c>
      <c r="X74" s="27">
        <f>X73-X72</f>
        <v>0</v>
      </c>
      <c r="Y74" s="37"/>
      <c r="Z74" s="64">
        <f>Z64+X74</f>
        <v>0</v>
      </c>
    </row>
    <row r="75" spans="1:32" x14ac:dyDescent="0.3">
      <c r="B75" s="34" t="str">
        <f>TEXT(Tabelle121730302972085[[#This Row],[Datum]],"tttt")</f>
        <v>Donnerstag</v>
      </c>
      <c r="C75" s="54">
        <f t="shared" si="41"/>
        <v>44225</v>
      </c>
      <c r="D75" s="31"/>
      <c r="E75" s="31"/>
      <c r="F75" s="31"/>
      <c r="G75" s="31"/>
      <c r="H75" s="31"/>
      <c r="I75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4" t="str">
        <f>TEXT(Tabelle12173030297208559[[#This Row],[Datum]],"tttt")</f>
        <v>Donnerstag</v>
      </c>
      <c r="L75" s="54">
        <f t="shared" si="42"/>
        <v>44225</v>
      </c>
      <c r="M75" s="31">
        <f t="shared" si="37"/>
        <v>0</v>
      </c>
      <c r="N75" s="31">
        <f t="shared" si="38"/>
        <v>0</v>
      </c>
      <c r="O75" s="31"/>
      <c r="P75" s="31">
        <f t="shared" si="39"/>
        <v>0</v>
      </c>
      <c r="Q75" s="31">
        <f t="shared" si="40"/>
        <v>0</v>
      </c>
      <c r="R75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99">
        <f>R75-I75</f>
        <v>0</v>
      </c>
      <c r="U75" s="99"/>
      <c r="Y75" s="37"/>
    </row>
    <row r="76" spans="1:32" x14ac:dyDescent="0.3">
      <c r="B76" s="36" t="str">
        <f>TEXT(Tabelle121730302972085[[#This Row],[Datum]],"tttt")</f>
        <v>Freitag</v>
      </c>
      <c r="C76" s="54">
        <f t="shared" si="41"/>
        <v>44226</v>
      </c>
      <c r="D76" s="32"/>
      <c r="E76" s="32"/>
      <c r="F76" s="32"/>
      <c r="G76" s="32"/>
      <c r="H76" s="32"/>
      <c r="I76" s="52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6" t="str">
        <f>TEXT(Tabelle12173030297208559[[#This Row],[Datum]],"tttt")</f>
        <v>Freitag</v>
      </c>
      <c r="L76" s="54">
        <f t="shared" si="42"/>
        <v>44226</v>
      </c>
      <c r="M76" s="31">
        <f t="shared" si="37"/>
        <v>0</v>
      </c>
      <c r="N76" s="31">
        <f t="shared" si="38"/>
        <v>0</v>
      </c>
      <c r="O76" s="32"/>
      <c r="P76" s="31">
        <f t="shared" si="39"/>
        <v>0</v>
      </c>
      <c r="Q76" s="31">
        <f t="shared" si="40"/>
        <v>0</v>
      </c>
      <c r="R76" s="52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99">
        <f>R76-I76</f>
        <v>0</v>
      </c>
      <c r="U76" s="99"/>
      <c r="Y76" s="37"/>
    </row>
    <row r="77" spans="1:32" x14ac:dyDescent="0.3">
      <c r="B77" s="34" t="str">
        <f>TEXT(Tabelle121730302972085[[#This Row],[Datum]],"tttt")</f>
        <v>Samstag</v>
      </c>
      <c r="C77" s="54">
        <f t="shared" si="41"/>
        <v>44227</v>
      </c>
      <c r="D77" s="31"/>
      <c r="E77" s="31"/>
      <c r="F77" s="31"/>
      <c r="G77" s="31"/>
      <c r="H77" s="31"/>
      <c r="I77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4" t="str">
        <f>TEXT(Tabelle12173030297208559[[#This Row],[Datum]],"tttt")</f>
        <v>Samstag</v>
      </c>
      <c r="L77" s="54">
        <f t="shared" si="42"/>
        <v>44227</v>
      </c>
      <c r="M77" s="31">
        <f t="shared" si="37"/>
        <v>0</v>
      </c>
      <c r="N77" s="31">
        <f t="shared" si="38"/>
        <v>0</v>
      </c>
      <c r="O77" s="31"/>
      <c r="P77" s="31">
        <f t="shared" si="39"/>
        <v>0</v>
      </c>
      <c r="Q77" s="31">
        <f t="shared" si="40"/>
        <v>0</v>
      </c>
      <c r="R77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99">
        <f t="shared" ref="T77:T78" si="43">R77-I77</f>
        <v>0</v>
      </c>
      <c r="U77" s="99"/>
      <c r="Y77" s="37"/>
    </row>
    <row r="78" spans="1:32" s="40" customFormat="1" x14ac:dyDescent="0.3">
      <c r="B78" s="36" t="str">
        <f>TEXT(Tabelle121730302972085[[#This Row],[Datum]],"tttt")</f>
        <v>Sonntag</v>
      </c>
      <c r="C78" s="55">
        <f t="shared" si="41"/>
        <v>44228</v>
      </c>
      <c r="D78" s="32"/>
      <c r="E78" s="32"/>
      <c r="F78" s="32"/>
      <c r="G78" s="32"/>
      <c r="H78" s="32"/>
      <c r="I78" s="53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6" t="str">
        <f>TEXT(Tabelle12173030297208559[[#This Row],[Datum]],"tttt")</f>
        <v>Sonntag</v>
      </c>
      <c r="L78" s="55">
        <f t="shared" si="42"/>
        <v>44228</v>
      </c>
      <c r="M78" s="31">
        <f t="shared" si="37"/>
        <v>0</v>
      </c>
      <c r="N78" s="31">
        <f t="shared" si="38"/>
        <v>0</v>
      </c>
      <c r="O78" s="32"/>
      <c r="P78" s="31">
        <f t="shared" si="39"/>
        <v>0</v>
      </c>
      <c r="Q78" s="31">
        <f t="shared" si="40"/>
        <v>0</v>
      </c>
      <c r="R78" s="53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99">
        <f t="shared" si="43"/>
        <v>0</v>
      </c>
      <c r="U78" s="99"/>
      <c r="V78" s="42"/>
      <c r="W78" s="42"/>
      <c r="X78" s="45"/>
      <c r="Y78" s="37"/>
      <c r="AB78" s="41"/>
      <c r="AD78" s="29"/>
      <c r="AE78" s="29"/>
      <c r="AF78" s="29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7"/>
    </row>
    <row r="80" spans="1:32" x14ac:dyDescent="0.3">
      <c r="A80" s="37"/>
      <c r="B80" s="38"/>
      <c r="C80" s="37"/>
      <c r="D80" s="37"/>
      <c r="E80" s="37"/>
      <c r="F80" s="37"/>
      <c r="G80" s="37"/>
      <c r="H80" s="37"/>
      <c r="I80" s="38"/>
      <c r="J80" s="37"/>
      <c r="K80" s="38"/>
      <c r="L80" s="37"/>
      <c r="M80" s="37"/>
      <c r="N80" s="37"/>
      <c r="O80" s="37"/>
      <c r="P80" s="37"/>
      <c r="Q80" s="37"/>
      <c r="R80" s="38"/>
      <c r="S80" s="37"/>
      <c r="T80" s="100"/>
      <c r="U80" s="100"/>
      <c r="V80" s="37"/>
      <c r="W80" s="37"/>
      <c r="X80" s="39"/>
      <c r="Y80" s="37"/>
    </row>
    <row r="81" spans="1:32" x14ac:dyDescent="0.3">
      <c r="A81" s="44" t="s">
        <v>33</v>
      </c>
      <c r="B81" s="6" t="s">
        <v>2</v>
      </c>
      <c r="C81" s="7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4" t="s">
        <v>33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99" t="s">
        <v>11</v>
      </c>
      <c r="U81" s="99"/>
      <c r="W81" s="13" t="s">
        <v>21</v>
      </c>
      <c r="X81" s="15" t="s">
        <v>17</v>
      </c>
      <c r="Y81" s="37"/>
    </row>
    <row r="82" spans="1:32" x14ac:dyDescent="0.3">
      <c r="A82" s="44">
        <f>A72+1</f>
        <v>6</v>
      </c>
      <c r="B82" s="34" t="str">
        <f>TEXT(Tabelle121730302972086[[#This Row],[Datum]],"tttt")</f>
        <v>Montag</v>
      </c>
      <c r="C82" s="56">
        <f>C78+1</f>
        <v>44229</v>
      </c>
      <c r="D82" s="31"/>
      <c r="E82" s="31"/>
      <c r="F82" s="31"/>
      <c r="G82" s="31"/>
      <c r="H82" s="31"/>
      <c r="I82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4">
        <f>J72+1</f>
        <v>6</v>
      </c>
      <c r="K82" s="34" t="str">
        <f>TEXT(Tabelle12173030297208660[[#This Row],[Datum]],"tttt")</f>
        <v>Montag</v>
      </c>
      <c r="L82" s="56">
        <f>L78+1</f>
        <v>44229</v>
      </c>
      <c r="M82" s="31">
        <f>IF(O82="F",0,D82)</f>
        <v>0</v>
      </c>
      <c r="N82" s="31">
        <f>IF(O82="F",0,E82)</f>
        <v>0</v>
      </c>
      <c r="O82" s="32"/>
      <c r="P82" s="31">
        <f>IF(O82="F",0,G82)</f>
        <v>0</v>
      </c>
      <c r="Q82" s="31">
        <f>IF(O82="F",I82,0)</f>
        <v>0</v>
      </c>
      <c r="R82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99">
        <f t="shared" ref="T82:T83" si="46">R82-I82</f>
        <v>0</v>
      </c>
      <c r="U82" s="99"/>
      <c r="W82" s="17" t="s">
        <v>18</v>
      </c>
      <c r="X82" s="26">
        <f>I89</f>
        <v>0</v>
      </c>
      <c r="Y82" s="37"/>
    </row>
    <row r="83" spans="1:32" x14ac:dyDescent="0.3">
      <c r="B83" s="34" t="str">
        <f>TEXT(Tabelle121730302972086[[#This Row],[Datum]],"tttt")</f>
        <v>Dienstag</v>
      </c>
      <c r="C83" s="54">
        <f>C82+1</f>
        <v>44230</v>
      </c>
      <c r="D83" s="31"/>
      <c r="E83" s="31"/>
      <c r="F83" s="31"/>
      <c r="G83" s="31"/>
      <c r="H83" s="31"/>
      <c r="I83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4" t="str">
        <f>TEXT(Tabelle12173030297208660[[#This Row],[Datum]],"tttt")</f>
        <v>Dienstag</v>
      </c>
      <c r="L83" s="54">
        <f>L82+1</f>
        <v>44230</v>
      </c>
      <c r="M83" s="31">
        <f t="shared" ref="M83:M88" si="47">IF(O83="F",0,D83)</f>
        <v>0</v>
      </c>
      <c r="N83" s="31">
        <f t="shared" ref="N83:N88" si="48">IF(O83="F",0,E83)</f>
        <v>0</v>
      </c>
      <c r="O83" s="31"/>
      <c r="P83" s="31">
        <f t="shared" ref="P83:P88" si="49">IF(O83="F",0,G83)</f>
        <v>0</v>
      </c>
      <c r="Q83" s="31">
        <f t="shared" ref="Q83:Q88" si="50">IF(O83="F",I83,0)</f>
        <v>0</v>
      </c>
      <c r="R83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99">
        <f t="shared" si="46"/>
        <v>0</v>
      </c>
      <c r="U83" s="99"/>
      <c r="W83" s="17" t="s">
        <v>19</v>
      </c>
      <c r="X83" s="26">
        <f>R89</f>
        <v>0</v>
      </c>
      <c r="Y83" s="37"/>
    </row>
    <row r="84" spans="1:32" x14ac:dyDescent="0.3">
      <c r="B84" s="35" t="str">
        <f>TEXT(Tabelle121730302972086[[#This Row],[Datum]],"tttt")</f>
        <v>Mittwoch</v>
      </c>
      <c r="C84" s="54">
        <f t="shared" ref="C84:C88" si="51">C83+1</f>
        <v>44231</v>
      </c>
      <c r="D84" s="32"/>
      <c r="E84" s="32"/>
      <c r="F84" s="32"/>
      <c r="G84" s="32"/>
      <c r="H84" s="32"/>
      <c r="I84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5" t="str">
        <f>TEXT(Tabelle12173030297208660[[#This Row],[Datum]],"tttt")</f>
        <v>Mittwoch</v>
      </c>
      <c r="L84" s="54">
        <f t="shared" ref="L84:L88" si="52">L83+1</f>
        <v>44231</v>
      </c>
      <c r="M84" s="31">
        <f t="shared" si="47"/>
        <v>0</v>
      </c>
      <c r="N84" s="31">
        <f t="shared" si="48"/>
        <v>0</v>
      </c>
      <c r="O84" s="32"/>
      <c r="P84" s="31">
        <f t="shared" si="49"/>
        <v>0</v>
      </c>
      <c r="Q84" s="31">
        <f t="shared" si="50"/>
        <v>0</v>
      </c>
      <c r="R84" s="51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99">
        <f>R84-I84</f>
        <v>0</v>
      </c>
      <c r="U84" s="99"/>
      <c r="W84" s="20" t="s">
        <v>20</v>
      </c>
      <c r="X84" s="27">
        <f>X83-X82</f>
        <v>0</v>
      </c>
      <c r="Y84" s="37"/>
      <c r="Z84" s="64">
        <f>Z74+X84</f>
        <v>0</v>
      </c>
    </row>
    <row r="85" spans="1:32" x14ac:dyDescent="0.3">
      <c r="B85" s="34" t="str">
        <f>TEXT(Tabelle121730302972086[[#This Row],[Datum]],"tttt")</f>
        <v>Donnerstag</v>
      </c>
      <c r="C85" s="54">
        <f t="shared" si="51"/>
        <v>44232</v>
      </c>
      <c r="D85" s="31"/>
      <c r="E85" s="31"/>
      <c r="F85" s="31"/>
      <c r="G85" s="31"/>
      <c r="H85" s="31"/>
      <c r="I85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4" t="str">
        <f>TEXT(Tabelle12173030297208660[[#This Row],[Datum]],"tttt")</f>
        <v>Donnerstag</v>
      </c>
      <c r="L85" s="54">
        <f t="shared" si="52"/>
        <v>44232</v>
      </c>
      <c r="M85" s="31">
        <f t="shared" si="47"/>
        <v>0</v>
      </c>
      <c r="N85" s="31">
        <f t="shared" si="48"/>
        <v>0</v>
      </c>
      <c r="O85" s="31"/>
      <c r="P85" s="31">
        <f t="shared" si="49"/>
        <v>0</v>
      </c>
      <c r="Q85" s="31">
        <f t="shared" si="50"/>
        <v>0</v>
      </c>
      <c r="R85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99">
        <f>R85-I85</f>
        <v>0</v>
      </c>
      <c r="U85" s="99"/>
      <c r="Y85" s="37"/>
    </row>
    <row r="86" spans="1:32" x14ac:dyDescent="0.3">
      <c r="B86" s="36" t="str">
        <f>TEXT(Tabelle121730302972086[[#This Row],[Datum]],"tttt")</f>
        <v>Freitag</v>
      </c>
      <c r="C86" s="54">
        <f t="shared" si="51"/>
        <v>44233</v>
      </c>
      <c r="D86" s="32"/>
      <c r="E86" s="32"/>
      <c r="F86" s="32"/>
      <c r="G86" s="32"/>
      <c r="H86" s="32"/>
      <c r="I86" s="52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6" t="str">
        <f>TEXT(Tabelle12173030297208660[[#This Row],[Datum]],"tttt")</f>
        <v>Freitag</v>
      </c>
      <c r="L86" s="54">
        <f t="shared" si="52"/>
        <v>44233</v>
      </c>
      <c r="M86" s="31">
        <f t="shared" si="47"/>
        <v>0</v>
      </c>
      <c r="N86" s="31">
        <f t="shared" si="48"/>
        <v>0</v>
      </c>
      <c r="O86" s="32"/>
      <c r="P86" s="31">
        <f t="shared" si="49"/>
        <v>0</v>
      </c>
      <c r="Q86" s="31">
        <f t="shared" si="50"/>
        <v>0</v>
      </c>
      <c r="R86" s="52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99">
        <f>R86-I86</f>
        <v>0</v>
      </c>
      <c r="U86" s="99"/>
      <c r="Y86" s="37"/>
    </row>
    <row r="87" spans="1:32" x14ac:dyDescent="0.3">
      <c r="B87" s="34" t="str">
        <f>TEXT(Tabelle121730302972086[[#This Row],[Datum]],"tttt")</f>
        <v>Samstag</v>
      </c>
      <c r="C87" s="54">
        <f t="shared" si="51"/>
        <v>44234</v>
      </c>
      <c r="D87" s="31"/>
      <c r="E87" s="31"/>
      <c r="F87" s="31"/>
      <c r="G87" s="31"/>
      <c r="H87" s="31"/>
      <c r="I87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4" t="str">
        <f>TEXT(Tabelle12173030297208660[[#This Row],[Datum]],"tttt")</f>
        <v>Samstag</v>
      </c>
      <c r="L87" s="54">
        <f t="shared" si="52"/>
        <v>44234</v>
      </c>
      <c r="M87" s="31">
        <f t="shared" si="47"/>
        <v>0</v>
      </c>
      <c r="N87" s="31">
        <f t="shared" si="48"/>
        <v>0</v>
      </c>
      <c r="O87" s="31"/>
      <c r="P87" s="31">
        <f t="shared" si="49"/>
        <v>0</v>
      </c>
      <c r="Q87" s="31">
        <f t="shared" si="50"/>
        <v>0</v>
      </c>
      <c r="R87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99">
        <f t="shared" ref="T87:T88" si="53">R87-I87</f>
        <v>0</v>
      </c>
      <c r="U87" s="99"/>
      <c r="Y87" s="37"/>
    </row>
    <row r="88" spans="1:32" s="40" customFormat="1" x14ac:dyDescent="0.3">
      <c r="B88" s="36" t="str">
        <f>TEXT(Tabelle121730302972086[[#This Row],[Datum]],"tttt")</f>
        <v>Sonntag</v>
      </c>
      <c r="C88" s="55">
        <f t="shared" si="51"/>
        <v>44235</v>
      </c>
      <c r="D88" s="32"/>
      <c r="E88" s="32"/>
      <c r="F88" s="32"/>
      <c r="G88" s="32"/>
      <c r="H88" s="32"/>
      <c r="I88" s="53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6" t="str">
        <f>TEXT(Tabelle12173030297208660[[#This Row],[Datum]],"tttt")</f>
        <v>Sonntag</v>
      </c>
      <c r="L88" s="55">
        <f t="shared" si="52"/>
        <v>44235</v>
      </c>
      <c r="M88" s="31">
        <f t="shared" si="47"/>
        <v>0</v>
      </c>
      <c r="N88" s="31">
        <f t="shared" si="48"/>
        <v>0</v>
      </c>
      <c r="O88" s="32"/>
      <c r="P88" s="31">
        <f t="shared" si="49"/>
        <v>0</v>
      </c>
      <c r="Q88" s="31">
        <f t="shared" si="50"/>
        <v>0</v>
      </c>
      <c r="R88" s="53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99">
        <f t="shared" si="53"/>
        <v>0</v>
      </c>
      <c r="U88" s="99"/>
      <c r="V88" s="42"/>
      <c r="W88" s="42"/>
      <c r="X88" s="45"/>
      <c r="Y88" s="37"/>
      <c r="AB88" s="41"/>
      <c r="AD88" s="29"/>
      <c r="AE88" s="29"/>
      <c r="AF88" s="29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7"/>
    </row>
    <row r="90" spans="1:32" x14ac:dyDescent="0.3">
      <c r="A90" s="37"/>
      <c r="B90" s="38"/>
      <c r="C90" s="37"/>
      <c r="D90" s="37"/>
      <c r="E90" s="37"/>
      <c r="F90" s="37"/>
      <c r="G90" s="37"/>
      <c r="H90" s="37"/>
      <c r="I90" s="38"/>
      <c r="J90" s="37"/>
      <c r="K90" s="38"/>
      <c r="L90" s="37"/>
      <c r="M90" s="37"/>
      <c r="N90" s="37"/>
      <c r="O90" s="37"/>
      <c r="P90" s="37"/>
      <c r="Q90" s="37"/>
      <c r="R90" s="38"/>
      <c r="S90" s="37"/>
      <c r="T90" s="100"/>
      <c r="U90" s="100"/>
      <c r="V90" s="37"/>
      <c r="W90" s="37"/>
      <c r="X90" s="39"/>
      <c r="Y90" s="37"/>
    </row>
    <row r="91" spans="1:32" x14ac:dyDescent="0.3">
      <c r="A91" s="44" t="s">
        <v>33</v>
      </c>
      <c r="B91" s="6" t="s">
        <v>2</v>
      </c>
      <c r="C91" s="7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  <c r="I91" s="4" t="s">
        <v>9</v>
      </c>
      <c r="J91" s="44" t="s">
        <v>33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99" t="s">
        <v>11</v>
      </c>
      <c r="U91" s="99"/>
      <c r="W91" s="13" t="s">
        <v>21</v>
      </c>
      <c r="X91" s="15" t="s">
        <v>17</v>
      </c>
      <c r="Y91" s="37"/>
    </row>
    <row r="92" spans="1:32" x14ac:dyDescent="0.3">
      <c r="A92" s="44">
        <f>A82+1</f>
        <v>7</v>
      </c>
      <c r="B92" s="34" t="str">
        <f>TEXT(Tabelle121730302972087[[#This Row],[Datum]],"tttt")</f>
        <v>Montag</v>
      </c>
      <c r="C92" s="56">
        <f>C88+1</f>
        <v>44236</v>
      </c>
      <c r="D92" s="31"/>
      <c r="E92" s="31"/>
      <c r="F92" s="31"/>
      <c r="G92" s="31"/>
      <c r="H92" s="31"/>
      <c r="I92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4">
        <f>J82+1</f>
        <v>7</v>
      </c>
      <c r="K92" s="34" t="str">
        <f>TEXT(Tabelle12173030297208761[[#This Row],[Datum]],"tttt")</f>
        <v>Montag</v>
      </c>
      <c r="L92" s="56">
        <f>L88+1</f>
        <v>44236</v>
      </c>
      <c r="M92" s="31">
        <f>IF(O92="F",0,D92)</f>
        <v>0</v>
      </c>
      <c r="N92" s="31">
        <f>IF(O92="F",0,E92)</f>
        <v>0</v>
      </c>
      <c r="O92" s="32"/>
      <c r="P92" s="31">
        <f>IF(O92="F",0,G92)</f>
        <v>0</v>
      </c>
      <c r="Q92" s="31">
        <f>IF(O92="F",I92,0)</f>
        <v>0</v>
      </c>
      <c r="R92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99">
        <f t="shared" ref="T92:T93" si="56">R92-I92</f>
        <v>0</v>
      </c>
      <c r="U92" s="99"/>
      <c r="W92" s="17" t="s">
        <v>18</v>
      </c>
      <c r="X92" s="26">
        <f>I99</f>
        <v>0</v>
      </c>
      <c r="Y92" s="37"/>
    </row>
    <row r="93" spans="1:32" x14ac:dyDescent="0.3">
      <c r="B93" s="34" t="str">
        <f>TEXT(Tabelle121730302972087[[#This Row],[Datum]],"tttt")</f>
        <v>Dienstag</v>
      </c>
      <c r="C93" s="54">
        <f>C92+1</f>
        <v>44237</v>
      </c>
      <c r="D93" s="31"/>
      <c r="E93" s="31"/>
      <c r="F93" s="31"/>
      <c r="G93" s="31"/>
      <c r="H93" s="31"/>
      <c r="I93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4" t="str">
        <f>TEXT(Tabelle12173030297208761[[#This Row],[Datum]],"tttt")</f>
        <v>Dienstag</v>
      </c>
      <c r="L93" s="54">
        <f>L92+1</f>
        <v>44237</v>
      </c>
      <c r="M93" s="31">
        <f t="shared" ref="M93:M98" si="57">IF(O93="F",0,D93)</f>
        <v>0</v>
      </c>
      <c r="N93" s="31">
        <f t="shared" ref="N93:N98" si="58">IF(O93="F",0,E93)</f>
        <v>0</v>
      </c>
      <c r="O93" s="31"/>
      <c r="P93" s="31">
        <f t="shared" ref="P93:P98" si="59">IF(O93="F",0,G93)</f>
        <v>0</v>
      </c>
      <c r="Q93" s="31">
        <f t="shared" ref="Q93:Q98" si="60">IF(O93="F",I93,0)</f>
        <v>0</v>
      </c>
      <c r="R93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99">
        <f t="shared" si="56"/>
        <v>0</v>
      </c>
      <c r="U93" s="99"/>
      <c r="W93" s="17" t="s">
        <v>19</v>
      </c>
      <c r="X93" s="26">
        <f>R99</f>
        <v>0</v>
      </c>
      <c r="Y93" s="37"/>
    </row>
    <row r="94" spans="1:32" x14ac:dyDescent="0.3">
      <c r="B94" s="35" t="str">
        <f>TEXT(Tabelle121730302972087[[#This Row],[Datum]],"tttt")</f>
        <v>Mittwoch</v>
      </c>
      <c r="C94" s="54">
        <f t="shared" ref="C94:C98" si="61">C93+1</f>
        <v>44238</v>
      </c>
      <c r="D94" s="32"/>
      <c r="E94" s="32"/>
      <c r="F94" s="32"/>
      <c r="G94" s="32"/>
      <c r="H94" s="32"/>
      <c r="I94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5" t="str">
        <f>TEXT(Tabelle12173030297208761[[#This Row],[Datum]],"tttt")</f>
        <v>Mittwoch</v>
      </c>
      <c r="L94" s="54">
        <f t="shared" ref="L94:L98" si="62">L93+1</f>
        <v>44238</v>
      </c>
      <c r="M94" s="31">
        <f t="shared" si="57"/>
        <v>0</v>
      </c>
      <c r="N94" s="31">
        <f t="shared" si="58"/>
        <v>0</v>
      </c>
      <c r="O94" s="32"/>
      <c r="P94" s="31">
        <f t="shared" si="59"/>
        <v>0</v>
      </c>
      <c r="Q94" s="31">
        <f t="shared" si="60"/>
        <v>0</v>
      </c>
      <c r="R94" s="51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99">
        <f>R94-I94</f>
        <v>0</v>
      </c>
      <c r="U94" s="99"/>
      <c r="W94" s="20" t="s">
        <v>20</v>
      </c>
      <c r="X94" s="27">
        <f>X93-X92</f>
        <v>0</v>
      </c>
      <c r="Y94" s="37"/>
      <c r="Z94" s="64">
        <f>Z84+X94</f>
        <v>0</v>
      </c>
    </row>
    <row r="95" spans="1:32" x14ac:dyDescent="0.3">
      <c r="B95" s="34" t="str">
        <f>TEXT(Tabelle121730302972087[[#This Row],[Datum]],"tttt")</f>
        <v>Donnerstag</v>
      </c>
      <c r="C95" s="54">
        <f t="shared" si="61"/>
        <v>44239</v>
      </c>
      <c r="D95" s="31"/>
      <c r="E95" s="31"/>
      <c r="F95" s="31"/>
      <c r="G95" s="31"/>
      <c r="H95" s="31"/>
      <c r="I95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4" t="str">
        <f>TEXT(Tabelle12173030297208761[[#This Row],[Datum]],"tttt")</f>
        <v>Donnerstag</v>
      </c>
      <c r="L95" s="54">
        <f t="shared" si="62"/>
        <v>44239</v>
      </c>
      <c r="M95" s="31">
        <f t="shared" si="57"/>
        <v>0</v>
      </c>
      <c r="N95" s="31">
        <f t="shared" si="58"/>
        <v>0</v>
      </c>
      <c r="O95" s="31"/>
      <c r="P95" s="31">
        <f t="shared" si="59"/>
        <v>0</v>
      </c>
      <c r="Q95" s="31">
        <f t="shared" si="60"/>
        <v>0</v>
      </c>
      <c r="R95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99">
        <f>R95-I95</f>
        <v>0</v>
      </c>
      <c r="U95" s="99"/>
      <c r="Y95" s="37"/>
    </row>
    <row r="96" spans="1:32" x14ac:dyDescent="0.3">
      <c r="B96" s="36" t="str">
        <f>TEXT(Tabelle121730302972087[[#This Row],[Datum]],"tttt")</f>
        <v>Freitag</v>
      </c>
      <c r="C96" s="54">
        <f t="shared" si="61"/>
        <v>44240</v>
      </c>
      <c r="D96" s="32"/>
      <c r="E96" s="32"/>
      <c r="F96" s="32"/>
      <c r="G96" s="32"/>
      <c r="H96" s="32"/>
      <c r="I96" s="52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6" t="str">
        <f>TEXT(Tabelle12173030297208761[[#This Row],[Datum]],"tttt")</f>
        <v>Freitag</v>
      </c>
      <c r="L96" s="54">
        <f t="shared" si="62"/>
        <v>44240</v>
      </c>
      <c r="M96" s="31">
        <f t="shared" si="57"/>
        <v>0</v>
      </c>
      <c r="N96" s="31">
        <f t="shared" si="58"/>
        <v>0</v>
      </c>
      <c r="O96" s="32"/>
      <c r="P96" s="31">
        <f t="shared" si="59"/>
        <v>0</v>
      </c>
      <c r="Q96" s="31">
        <f t="shared" si="60"/>
        <v>0</v>
      </c>
      <c r="R96" s="52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99">
        <f>R96-I96</f>
        <v>0</v>
      </c>
      <c r="U96" s="99"/>
      <c r="Y96" s="37"/>
    </row>
    <row r="97" spans="1:32" x14ac:dyDescent="0.3">
      <c r="B97" s="34" t="str">
        <f>TEXT(Tabelle121730302972087[[#This Row],[Datum]],"tttt")</f>
        <v>Samstag</v>
      </c>
      <c r="C97" s="54">
        <f t="shared" si="61"/>
        <v>44241</v>
      </c>
      <c r="D97" s="31"/>
      <c r="E97" s="31"/>
      <c r="F97" s="31"/>
      <c r="G97" s="31"/>
      <c r="H97" s="31"/>
      <c r="I97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4" t="str">
        <f>TEXT(Tabelle12173030297208761[[#This Row],[Datum]],"tttt")</f>
        <v>Samstag</v>
      </c>
      <c r="L97" s="54">
        <f t="shared" si="62"/>
        <v>44241</v>
      </c>
      <c r="M97" s="31">
        <f t="shared" si="57"/>
        <v>0</v>
      </c>
      <c r="N97" s="31">
        <f t="shared" si="58"/>
        <v>0</v>
      </c>
      <c r="O97" s="31"/>
      <c r="P97" s="31">
        <f t="shared" si="59"/>
        <v>0</v>
      </c>
      <c r="Q97" s="31">
        <f t="shared" si="60"/>
        <v>0</v>
      </c>
      <c r="R97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99">
        <f t="shared" ref="T97:T98" si="63">R97-I97</f>
        <v>0</v>
      </c>
      <c r="U97" s="99"/>
      <c r="Y97" s="37"/>
    </row>
    <row r="98" spans="1:32" s="40" customFormat="1" x14ac:dyDescent="0.3">
      <c r="B98" s="36" t="str">
        <f>TEXT(Tabelle121730302972087[[#This Row],[Datum]],"tttt")</f>
        <v>Sonntag</v>
      </c>
      <c r="C98" s="55">
        <f t="shared" si="61"/>
        <v>44242</v>
      </c>
      <c r="D98" s="32"/>
      <c r="E98" s="32"/>
      <c r="F98" s="32"/>
      <c r="G98" s="32"/>
      <c r="H98" s="32"/>
      <c r="I98" s="53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6" t="str">
        <f>TEXT(Tabelle12173030297208761[[#This Row],[Datum]],"tttt")</f>
        <v>Sonntag</v>
      </c>
      <c r="L98" s="55">
        <f t="shared" si="62"/>
        <v>44242</v>
      </c>
      <c r="M98" s="31">
        <f t="shared" si="57"/>
        <v>0</v>
      </c>
      <c r="N98" s="31">
        <f t="shared" si="58"/>
        <v>0</v>
      </c>
      <c r="O98" s="32"/>
      <c r="P98" s="31">
        <f t="shared" si="59"/>
        <v>0</v>
      </c>
      <c r="Q98" s="31">
        <f t="shared" si="60"/>
        <v>0</v>
      </c>
      <c r="R98" s="53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99">
        <f t="shared" si="63"/>
        <v>0</v>
      </c>
      <c r="U98" s="99"/>
      <c r="V98" s="42"/>
      <c r="W98" s="42"/>
      <c r="X98" s="45"/>
      <c r="Y98" s="37"/>
      <c r="AB98" s="41"/>
      <c r="AD98" s="29"/>
      <c r="AE98" s="29"/>
      <c r="AF98" s="29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7"/>
    </row>
    <row r="100" spans="1:32" x14ac:dyDescent="0.3">
      <c r="A100" s="37"/>
      <c r="B100" s="38"/>
      <c r="C100" s="37"/>
      <c r="D100" s="37"/>
      <c r="E100" s="37"/>
      <c r="F100" s="37"/>
      <c r="G100" s="37"/>
      <c r="H100" s="37"/>
      <c r="I100" s="38"/>
      <c r="J100" s="37"/>
      <c r="K100" s="38"/>
      <c r="L100" s="37"/>
      <c r="M100" s="37"/>
      <c r="N100" s="37"/>
      <c r="O100" s="37"/>
      <c r="P100" s="37"/>
      <c r="Q100" s="37"/>
      <c r="R100" s="38"/>
      <c r="S100" s="37"/>
      <c r="T100" s="100"/>
      <c r="U100" s="100"/>
      <c r="V100" s="37"/>
      <c r="W100" s="37"/>
      <c r="X100" s="39"/>
      <c r="Y100" s="37"/>
    </row>
    <row r="101" spans="1:32" x14ac:dyDescent="0.3">
      <c r="A101" s="44" t="s">
        <v>33</v>
      </c>
      <c r="B101" s="6" t="s">
        <v>2</v>
      </c>
      <c r="C101" s="7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  <c r="I101" s="4" t="s">
        <v>9</v>
      </c>
      <c r="J101" s="44" t="s">
        <v>33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99" t="s">
        <v>11</v>
      </c>
      <c r="U101" s="99"/>
      <c r="W101" s="13" t="s">
        <v>21</v>
      </c>
      <c r="X101" s="15" t="s">
        <v>17</v>
      </c>
      <c r="Y101" s="37"/>
    </row>
    <row r="102" spans="1:32" x14ac:dyDescent="0.3">
      <c r="A102" s="44">
        <f>A92+1</f>
        <v>8</v>
      </c>
      <c r="B102" s="34" t="str">
        <f>TEXT(Tabelle1217303029720838[[#This Row],[Datum]],"tttt")</f>
        <v>Montag</v>
      </c>
      <c r="C102" s="56">
        <f>C98+1</f>
        <v>44243</v>
      </c>
      <c r="D102" s="31"/>
      <c r="E102" s="31"/>
      <c r="F102" s="31"/>
      <c r="G102" s="31"/>
      <c r="H102" s="31"/>
      <c r="I102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4">
        <f>J92+1</f>
        <v>8</v>
      </c>
      <c r="K102" s="34" t="str">
        <f>TEXT(Tabelle121730302972083862[[#This Row],[Datum]],"tttt")</f>
        <v>Montag</v>
      </c>
      <c r="L102" s="56">
        <f>L98+1</f>
        <v>44243</v>
      </c>
      <c r="M102" s="31">
        <f>IF(O102="F",0,D102)</f>
        <v>0</v>
      </c>
      <c r="N102" s="31">
        <f>IF(O102="F",0,E102)</f>
        <v>0</v>
      </c>
      <c r="O102" s="32"/>
      <c r="P102" s="31">
        <f>IF(O102="F",0,G102)</f>
        <v>0</v>
      </c>
      <c r="Q102" s="31">
        <f>IF(O102="F",I102,0)</f>
        <v>0</v>
      </c>
      <c r="R102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99">
        <f t="shared" ref="T102:T103" si="66">R102-I102</f>
        <v>0</v>
      </c>
      <c r="U102" s="99"/>
      <c r="W102" s="17" t="s">
        <v>18</v>
      </c>
      <c r="X102" s="26">
        <f>I109</f>
        <v>0</v>
      </c>
      <c r="Y102" s="37"/>
    </row>
    <row r="103" spans="1:32" x14ac:dyDescent="0.3">
      <c r="B103" s="34" t="str">
        <f>TEXT(Tabelle1217303029720838[[#This Row],[Datum]],"tttt")</f>
        <v>Dienstag</v>
      </c>
      <c r="C103" s="54">
        <f>C102+1</f>
        <v>44244</v>
      </c>
      <c r="D103" s="31"/>
      <c r="E103" s="31"/>
      <c r="F103" s="31"/>
      <c r="G103" s="31"/>
      <c r="H103" s="31"/>
      <c r="I103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4" t="str">
        <f>TEXT(Tabelle121730302972083862[[#This Row],[Datum]],"tttt")</f>
        <v>Dienstag</v>
      </c>
      <c r="L103" s="54">
        <f>L102+1</f>
        <v>44244</v>
      </c>
      <c r="M103" s="31">
        <f t="shared" ref="M103:M108" si="67">IF(O103="F",0,D103)</f>
        <v>0</v>
      </c>
      <c r="N103" s="31">
        <f t="shared" ref="N103:N108" si="68">IF(O103="F",0,E103)</f>
        <v>0</v>
      </c>
      <c r="O103" s="31"/>
      <c r="P103" s="31">
        <f t="shared" ref="P103:P108" si="69">IF(O103="F",0,G103)</f>
        <v>0</v>
      </c>
      <c r="Q103" s="31">
        <f t="shared" ref="Q103:Q108" si="70">IF(O103="F",I103,0)</f>
        <v>0</v>
      </c>
      <c r="R103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99">
        <f t="shared" si="66"/>
        <v>0</v>
      </c>
      <c r="U103" s="99"/>
      <c r="W103" s="17" t="s">
        <v>19</v>
      </c>
      <c r="X103" s="26">
        <f>R109</f>
        <v>0</v>
      </c>
      <c r="Y103" s="37"/>
    </row>
    <row r="104" spans="1:32" x14ac:dyDescent="0.3">
      <c r="B104" s="35" t="str">
        <f>TEXT(Tabelle1217303029720838[[#This Row],[Datum]],"tttt")</f>
        <v>Mittwoch</v>
      </c>
      <c r="C104" s="54">
        <f t="shared" ref="C104:C108" si="71">C103+1</f>
        <v>44245</v>
      </c>
      <c r="D104" s="32"/>
      <c r="E104" s="32"/>
      <c r="F104" s="32"/>
      <c r="G104" s="32"/>
      <c r="H104" s="32"/>
      <c r="I104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5" t="str">
        <f>TEXT(Tabelle121730302972083862[[#This Row],[Datum]],"tttt")</f>
        <v>Mittwoch</v>
      </c>
      <c r="L104" s="54">
        <f t="shared" ref="L104:L108" si="72">L103+1</f>
        <v>44245</v>
      </c>
      <c r="M104" s="31">
        <f t="shared" si="67"/>
        <v>0</v>
      </c>
      <c r="N104" s="31">
        <f t="shared" si="68"/>
        <v>0</v>
      </c>
      <c r="O104" s="32"/>
      <c r="P104" s="31">
        <f t="shared" si="69"/>
        <v>0</v>
      </c>
      <c r="Q104" s="31">
        <f t="shared" si="70"/>
        <v>0</v>
      </c>
      <c r="R104" s="51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99">
        <f>R104-I104</f>
        <v>0</v>
      </c>
      <c r="U104" s="99"/>
      <c r="W104" s="20" t="s">
        <v>20</v>
      </c>
      <c r="X104" s="27">
        <f>X103-X102</f>
        <v>0</v>
      </c>
      <c r="Y104" s="37"/>
      <c r="Z104" s="64">
        <f>Z94+X104</f>
        <v>0</v>
      </c>
    </row>
    <row r="105" spans="1:32" x14ac:dyDescent="0.3">
      <c r="B105" s="34" t="str">
        <f>TEXT(Tabelle1217303029720838[[#This Row],[Datum]],"tttt")</f>
        <v>Donnerstag</v>
      </c>
      <c r="C105" s="54">
        <f t="shared" si="71"/>
        <v>44246</v>
      </c>
      <c r="D105" s="31"/>
      <c r="E105" s="31"/>
      <c r="F105" s="31"/>
      <c r="G105" s="31"/>
      <c r="H105" s="31"/>
      <c r="I105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4" t="str">
        <f>TEXT(Tabelle121730302972083862[[#This Row],[Datum]],"tttt")</f>
        <v>Donnerstag</v>
      </c>
      <c r="L105" s="54">
        <f t="shared" si="72"/>
        <v>44246</v>
      </c>
      <c r="M105" s="31">
        <f t="shared" si="67"/>
        <v>0</v>
      </c>
      <c r="N105" s="31">
        <f t="shared" si="68"/>
        <v>0</v>
      </c>
      <c r="O105" s="31"/>
      <c r="P105" s="31">
        <f t="shared" si="69"/>
        <v>0</v>
      </c>
      <c r="Q105" s="31">
        <f t="shared" si="70"/>
        <v>0</v>
      </c>
      <c r="R105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99">
        <f>R105-I105</f>
        <v>0</v>
      </c>
      <c r="U105" s="99"/>
      <c r="Y105" s="37"/>
    </row>
    <row r="106" spans="1:32" x14ac:dyDescent="0.3">
      <c r="B106" s="36" t="str">
        <f>TEXT(Tabelle1217303029720838[[#This Row],[Datum]],"tttt")</f>
        <v>Freitag</v>
      </c>
      <c r="C106" s="54">
        <f t="shared" si="71"/>
        <v>44247</v>
      </c>
      <c r="D106" s="32"/>
      <c r="E106" s="32"/>
      <c r="F106" s="32"/>
      <c r="G106" s="32"/>
      <c r="H106" s="32"/>
      <c r="I106" s="52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6" t="str">
        <f>TEXT(Tabelle121730302972083862[[#This Row],[Datum]],"tttt")</f>
        <v>Freitag</v>
      </c>
      <c r="L106" s="54">
        <f t="shared" si="72"/>
        <v>44247</v>
      </c>
      <c r="M106" s="31">
        <f t="shared" si="67"/>
        <v>0</v>
      </c>
      <c r="N106" s="31">
        <f t="shared" si="68"/>
        <v>0</v>
      </c>
      <c r="O106" s="32"/>
      <c r="P106" s="31">
        <f t="shared" si="69"/>
        <v>0</v>
      </c>
      <c r="Q106" s="31">
        <f t="shared" si="70"/>
        <v>0</v>
      </c>
      <c r="R106" s="52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99">
        <f>R106-I106</f>
        <v>0</v>
      </c>
      <c r="U106" s="99"/>
      <c r="Y106" s="37"/>
    </row>
    <row r="107" spans="1:32" x14ac:dyDescent="0.3">
      <c r="B107" s="34" t="str">
        <f>TEXT(Tabelle1217303029720838[[#This Row],[Datum]],"tttt")</f>
        <v>Samstag</v>
      </c>
      <c r="C107" s="54">
        <f t="shared" si="71"/>
        <v>44248</v>
      </c>
      <c r="D107" s="31"/>
      <c r="E107" s="31"/>
      <c r="F107" s="31"/>
      <c r="G107" s="31"/>
      <c r="H107" s="31"/>
      <c r="I107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4" t="str">
        <f>TEXT(Tabelle121730302972083862[[#This Row],[Datum]],"tttt")</f>
        <v>Samstag</v>
      </c>
      <c r="L107" s="54">
        <f t="shared" si="72"/>
        <v>44248</v>
      </c>
      <c r="M107" s="31">
        <f t="shared" si="67"/>
        <v>0</v>
      </c>
      <c r="N107" s="31">
        <f t="shared" si="68"/>
        <v>0</v>
      </c>
      <c r="O107" s="31"/>
      <c r="P107" s="31">
        <f t="shared" si="69"/>
        <v>0</v>
      </c>
      <c r="Q107" s="31">
        <f t="shared" si="70"/>
        <v>0</v>
      </c>
      <c r="R107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99">
        <f t="shared" ref="T107:T108" si="73">R107-I107</f>
        <v>0</v>
      </c>
      <c r="U107" s="99"/>
      <c r="Y107" s="37"/>
    </row>
    <row r="108" spans="1:32" s="40" customFormat="1" x14ac:dyDescent="0.3">
      <c r="B108" s="36" t="str">
        <f>TEXT(Tabelle1217303029720838[[#This Row],[Datum]],"tttt")</f>
        <v>Sonntag</v>
      </c>
      <c r="C108" s="55">
        <f t="shared" si="71"/>
        <v>44249</v>
      </c>
      <c r="D108" s="32"/>
      <c r="E108" s="32"/>
      <c r="F108" s="32"/>
      <c r="G108" s="32"/>
      <c r="H108" s="32"/>
      <c r="I108" s="53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6" t="str">
        <f>TEXT(Tabelle121730302972083862[[#This Row],[Datum]],"tttt")</f>
        <v>Sonntag</v>
      </c>
      <c r="L108" s="55">
        <f t="shared" si="72"/>
        <v>44249</v>
      </c>
      <c r="M108" s="31">
        <f t="shared" si="67"/>
        <v>0</v>
      </c>
      <c r="N108" s="31">
        <f t="shared" si="68"/>
        <v>0</v>
      </c>
      <c r="O108" s="32"/>
      <c r="P108" s="31">
        <f t="shared" si="69"/>
        <v>0</v>
      </c>
      <c r="Q108" s="31">
        <f t="shared" si="70"/>
        <v>0</v>
      </c>
      <c r="R108" s="53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99">
        <f t="shared" si="73"/>
        <v>0</v>
      </c>
      <c r="U108" s="99"/>
      <c r="V108" s="42"/>
      <c r="W108" s="42"/>
      <c r="X108" s="45"/>
      <c r="Y108" s="37"/>
      <c r="AB108" s="41"/>
      <c r="AD108" s="29"/>
      <c r="AE108" s="29"/>
      <c r="AF108" s="29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7"/>
    </row>
    <row r="110" spans="1:32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100"/>
      <c r="U110" s="100"/>
      <c r="V110" s="37"/>
      <c r="W110" s="37"/>
      <c r="X110" s="39"/>
      <c r="Y110" s="37"/>
    </row>
    <row r="111" spans="1:32" x14ac:dyDescent="0.3">
      <c r="A111" s="44" t="s">
        <v>33</v>
      </c>
      <c r="B111" s="6" t="s">
        <v>2</v>
      </c>
      <c r="C111" s="7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4" t="s">
        <v>33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99" t="s">
        <v>11</v>
      </c>
      <c r="U111" s="99"/>
      <c r="W111" s="13" t="s">
        <v>21</v>
      </c>
      <c r="X111" s="15" t="s">
        <v>17</v>
      </c>
      <c r="Y111" s="37"/>
    </row>
    <row r="112" spans="1:32" x14ac:dyDescent="0.3">
      <c r="A112" s="44">
        <f>A102+1</f>
        <v>9</v>
      </c>
      <c r="B112" s="34" t="str">
        <f>TEXT(Tabelle1217303029720849[[#This Row],[Datum]],"tttt")</f>
        <v>Montag</v>
      </c>
      <c r="C112" s="56">
        <f>C108+1</f>
        <v>44250</v>
      </c>
      <c r="D112" s="31"/>
      <c r="E112" s="31"/>
      <c r="F112" s="31"/>
      <c r="G112" s="31"/>
      <c r="H112" s="31"/>
      <c r="I112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4">
        <f>J102+1</f>
        <v>9</v>
      </c>
      <c r="K112" s="34" t="str">
        <f>TEXT(Tabelle121730302972084963[[#This Row],[Datum]],"tttt")</f>
        <v>Montag</v>
      </c>
      <c r="L112" s="56">
        <f>L108+1</f>
        <v>44250</v>
      </c>
      <c r="M112" s="31">
        <f>IF(O112="F",0,D112)</f>
        <v>0</v>
      </c>
      <c r="N112" s="31">
        <f>IF(O112="F",0,E112)</f>
        <v>0</v>
      </c>
      <c r="O112" s="32"/>
      <c r="P112" s="31">
        <f>IF(O112="F",0,G112)</f>
        <v>0</v>
      </c>
      <c r="Q112" s="31">
        <f>IF(O112="F",I112,0)</f>
        <v>0</v>
      </c>
      <c r="R112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99">
        <f t="shared" ref="T112:T113" si="76">R112-I112</f>
        <v>0</v>
      </c>
      <c r="U112" s="99"/>
      <c r="W112" s="17" t="s">
        <v>18</v>
      </c>
      <c r="X112" s="26">
        <f>I119</f>
        <v>0</v>
      </c>
      <c r="Y112" s="37"/>
    </row>
    <row r="113" spans="1:32" x14ac:dyDescent="0.3">
      <c r="B113" s="34" t="str">
        <f>TEXT(Tabelle1217303029720849[[#This Row],[Datum]],"tttt")</f>
        <v>Dienstag</v>
      </c>
      <c r="C113" s="54">
        <f>C112+1</f>
        <v>44251</v>
      </c>
      <c r="D113" s="31"/>
      <c r="E113" s="31"/>
      <c r="F113" s="31"/>
      <c r="G113" s="31"/>
      <c r="H113" s="31"/>
      <c r="I113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4" t="str">
        <f>TEXT(Tabelle121730302972084963[[#This Row],[Datum]],"tttt")</f>
        <v>Dienstag</v>
      </c>
      <c r="L113" s="54">
        <f>L112+1</f>
        <v>44251</v>
      </c>
      <c r="M113" s="31">
        <f t="shared" ref="M113:M118" si="77">IF(O113="F",0,D113)</f>
        <v>0</v>
      </c>
      <c r="N113" s="31">
        <f t="shared" ref="N113:N118" si="78">IF(O113="F",0,E113)</f>
        <v>0</v>
      </c>
      <c r="O113" s="31"/>
      <c r="P113" s="31">
        <f t="shared" ref="P113:P118" si="79">IF(O113="F",0,G113)</f>
        <v>0</v>
      </c>
      <c r="Q113" s="31">
        <f t="shared" ref="Q113:Q118" si="80">IF(O113="F",I113,0)</f>
        <v>0</v>
      </c>
      <c r="R113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99">
        <f t="shared" si="76"/>
        <v>0</v>
      </c>
      <c r="U113" s="99"/>
      <c r="W113" s="17" t="s">
        <v>19</v>
      </c>
      <c r="X113" s="26">
        <f>R119</f>
        <v>0</v>
      </c>
      <c r="Y113" s="37"/>
    </row>
    <row r="114" spans="1:32" x14ac:dyDescent="0.3">
      <c r="B114" s="35" t="str">
        <f>TEXT(Tabelle1217303029720849[[#This Row],[Datum]],"tttt")</f>
        <v>Mittwoch</v>
      </c>
      <c r="C114" s="54">
        <f t="shared" ref="C114:C118" si="81">C113+1</f>
        <v>44252</v>
      </c>
      <c r="D114" s="32"/>
      <c r="E114" s="32"/>
      <c r="F114" s="32"/>
      <c r="G114" s="32"/>
      <c r="H114" s="32"/>
      <c r="I114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5" t="str">
        <f>TEXT(Tabelle121730302972084963[[#This Row],[Datum]],"tttt")</f>
        <v>Mittwoch</v>
      </c>
      <c r="L114" s="54">
        <f t="shared" ref="L114:L118" si="82">L113+1</f>
        <v>44252</v>
      </c>
      <c r="M114" s="31">
        <f t="shared" si="77"/>
        <v>0</v>
      </c>
      <c r="N114" s="31">
        <f t="shared" si="78"/>
        <v>0</v>
      </c>
      <c r="O114" s="32"/>
      <c r="P114" s="31">
        <f t="shared" si="79"/>
        <v>0</v>
      </c>
      <c r="Q114" s="31">
        <f t="shared" si="80"/>
        <v>0</v>
      </c>
      <c r="R114" s="51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99">
        <f>R114-I114</f>
        <v>0</v>
      </c>
      <c r="U114" s="99"/>
      <c r="W114" s="20" t="s">
        <v>20</v>
      </c>
      <c r="X114" s="27">
        <f>X113-X112</f>
        <v>0</v>
      </c>
      <c r="Y114" s="37"/>
      <c r="Z114" s="64">
        <f>Z104+X114</f>
        <v>0</v>
      </c>
    </row>
    <row r="115" spans="1:32" x14ac:dyDescent="0.3">
      <c r="B115" s="34" t="str">
        <f>TEXT(Tabelle1217303029720849[[#This Row],[Datum]],"tttt")</f>
        <v>Donnerstag</v>
      </c>
      <c r="C115" s="54">
        <f t="shared" si="81"/>
        <v>44253</v>
      </c>
      <c r="D115" s="31"/>
      <c r="E115" s="31"/>
      <c r="F115" s="31"/>
      <c r="G115" s="31"/>
      <c r="H115" s="31"/>
      <c r="I115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4" t="str">
        <f>TEXT(Tabelle121730302972084963[[#This Row],[Datum]],"tttt")</f>
        <v>Donnerstag</v>
      </c>
      <c r="L115" s="54">
        <f t="shared" si="82"/>
        <v>44253</v>
      </c>
      <c r="M115" s="31">
        <f t="shared" si="77"/>
        <v>0</v>
      </c>
      <c r="N115" s="31">
        <f t="shared" si="78"/>
        <v>0</v>
      </c>
      <c r="O115" s="31"/>
      <c r="P115" s="31">
        <f t="shared" si="79"/>
        <v>0</v>
      </c>
      <c r="Q115" s="31">
        <f t="shared" si="80"/>
        <v>0</v>
      </c>
      <c r="R115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99">
        <f>R115-I115</f>
        <v>0</v>
      </c>
      <c r="U115" s="99"/>
      <c r="Y115" s="37"/>
    </row>
    <row r="116" spans="1:32" x14ac:dyDescent="0.3">
      <c r="B116" s="36" t="str">
        <f>TEXT(Tabelle1217303029720849[[#This Row],[Datum]],"tttt")</f>
        <v>Freitag</v>
      </c>
      <c r="C116" s="54">
        <f t="shared" si="81"/>
        <v>44254</v>
      </c>
      <c r="D116" s="32"/>
      <c r="E116" s="32"/>
      <c r="F116" s="32"/>
      <c r="G116" s="32"/>
      <c r="H116" s="32"/>
      <c r="I116" s="52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6" t="str">
        <f>TEXT(Tabelle121730302972084963[[#This Row],[Datum]],"tttt")</f>
        <v>Freitag</v>
      </c>
      <c r="L116" s="54">
        <f t="shared" si="82"/>
        <v>44254</v>
      </c>
      <c r="M116" s="31">
        <f t="shared" si="77"/>
        <v>0</v>
      </c>
      <c r="N116" s="31">
        <f t="shared" si="78"/>
        <v>0</v>
      </c>
      <c r="O116" s="32"/>
      <c r="P116" s="31">
        <f t="shared" si="79"/>
        <v>0</v>
      </c>
      <c r="Q116" s="31">
        <f t="shared" si="80"/>
        <v>0</v>
      </c>
      <c r="R116" s="52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99">
        <f>R116-I116</f>
        <v>0</v>
      </c>
      <c r="U116" s="99"/>
      <c r="Y116" s="37"/>
    </row>
    <row r="117" spans="1:32" x14ac:dyDescent="0.3">
      <c r="B117" s="34" t="str">
        <f>TEXT(Tabelle1217303029720849[[#This Row],[Datum]],"tttt")</f>
        <v>Samstag</v>
      </c>
      <c r="C117" s="54">
        <f t="shared" si="81"/>
        <v>44255</v>
      </c>
      <c r="D117" s="31"/>
      <c r="E117" s="31"/>
      <c r="F117" s="31"/>
      <c r="G117" s="31"/>
      <c r="H117" s="31"/>
      <c r="I117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4" t="str">
        <f>TEXT(Tabelle121730302972084963[[#This Row],[Datum]],"tttt")</f>
        <v>Samstag</v>
      </c>
      <c r="L117" s="54">
        <f t="shared" si="82"/>
        <v>44255</v>
      </c>
      <c r="M117" s="31">
        <f t="shared" si="77"/>
        <v>0</v>
      </c>
      <c r="N117" s="31">
        <f t="shared" si="78"/>
        <v>0</v>
      </c>
      <c r="O117" s="31"/>
      <c r="P117" s="31">
        <f t="shared" si="79"/>
        <v>0</v>
      </c>
      <c r="Q117" s="31">
        <f t="shared" si="80"/>
        <v>0</v>
      </c>
      <c r="R117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99">
        <f t="shared" ref="T117:T118" si="83">R117-I117</f>
        <v>0</v>
      </c>
      <c r="U117" s="99"/>
      <c r="Y117" s="37"/>
    </row>
    <row r="118" spans="1:32" s="40" customFormat="1" x14ac:dyDescent="0.3">
      <c r="B118" s="36" t="str">
        <f>TEXT(Tabelle1217303029720849[[#This Row],[Datum]],"tttt")</f>
        <v>Sonntag</v>
      </c>
      <c r="C118" s="55">
        <f t="shared" si="81"/>
        <v>44256</v>
      </c>
      <c r="D118" s="32"/>
      <c r="E118" s="32"/>
      <c r="F118" s="32"/>
      <c r="G118" s="32"/>
      <c r="H118" s="32"/>
      <c r="I118" s="53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6" t="str">
        <f>TEXT(Tabelle121730302972084963[[#This Row],[Datum]],"tttt")</f>
        <v>Sonntag</v>
      </c>
      <c r="L118" s="55">
        <f t="shared" si="82"/>
        <v>44256</v>
      </c>
      <c r="M118" s="31">
        <f t="shared" si="77"/>
        <v>0</v>
      </c>
      <c r="N118" s="31">
        <f t="shared" si="78"/>
        <v>0</v>
      </c>
      <c r="O118" s="32"/>
      <c r="P118" s="31">
        <f t="shared" si="79"/>
        <v>0</v>
      </c>
      <c r="Q118" s="31">
        <f t="shared" si="80"/>
        <v>0</v>
      </c>
      <c r="R118" s="53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99">
        <f t="shared" si="83"/>
        <v>0</v>
      </c>
      <c r="U118" s="99"/>
      <c r="V118" s="42"/>
      <c r="W118" s="42"/>
      <c r="X118" s="45"/>
      <c r="Y118" s="37"/>
      <c r="AB118" s="41"/>
      <c r="AD118" s="29"/>
      <c r="AE118" s="29"/>
      <c r="AF118" s="29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7"/>
    </row>
    <row r="120" spans="1:32" x14ac:dyDescent="0.3">
      <c r="A120" s="37"/>
      <c r="B120" s="38"/>
      <c r="C120" s="37"/>
      <c r="D120" s="37"/>
      <c r="E120" s="37"/>
      <c r="F120" s="37"/>
      <c r="G120" s="37"/>
      <c r="H120" s="37"/>
      <c r="I120" s="38"/>
      <c r="J120" s="37"/>
      <c r="K120" s="38"/>
      <c r="L120" s="37"/>
      <c r="M120" s="37"/>
      <c r="N120" s="37"/>
      <c r="O120" s="37"/>
      <c r="P120" s="37"/>
      <c r="Q120" s="37"/>
      <c r="R120" s="38"/>
      <c r="S120" s="37"/>
      <c r="T120" s="100"/>
      <c r="U120" s="100"/>
      <c r="V120" s="37"/>
      <c r="W120" s="37"/>
      <c r="X120" s="39"/>
      <c r="Y120" s="37"/>
    </row>
    <row r="121" spans="1:32" x14ac:dyDescent="0.3">
      <c r="A121" s="44" t="s">
        <v>33</v>
      </c>
      <c r="B121" s="6" t="s">
        <v>2</v>
      </c>
      <c r="C121" s="7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4" t="s">
        <v>33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99" t="s">
        <v>11</v>
      </c>
      <c r="U121" s="99"/>
      <c r="W121" s="13" t="s">
        <v>21</v>
      </c>
      <c r="X121" s="15" t="s">
        <v>17</v>
      </c>
      <c r="Y121" s="37"/>
    </row>
    <row r="122" spans="1:32" x14ac:dyDescent="0.3">
      <c r="A122" s="44">
        <f>A112+1</f>
        <v>10</v>
      </c>
      <c r="B122" s="34" t="str">
        <f>TEXT(Tabelle1217303029720810[[#This Row],[Datum]],"tttt")</f>
        <v>Montag</v>
      </c>
      <c r="C122" s="56">
        <f>C118+1</f>
        <v>44257</v>
      </c>
      <c r="D122" s="31"/>
      <c r="E122" s="31"/>
      <c r="F122" s="31"/>
      <c r="G122" s="31"/>
      <c r="H122" s="31"/>
      <c r="I122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4">
        <f>J112+1</f>
        <v>10</v>
      </c>
      <c r="K122" s="34" t="str">
        <f>TEXT(Tabelle121730302972081064[[#This Row],[Datum]],"tttt")</f>
        <v>Montag</v>
      </c>
      <c r="L122" s="56">
        <f>L118+1</f>
        <v>44257</v>
      </c>
      <c r="M122" s="31">
        <f>IF(O122="F",0,D122)</f>
        <v>0</v>
      </c>
      <c r="N122" s="31">
        <f>IF(O122="F",0,E122)</f>
        <v>0</v>
      </c>
      <c r="O122" s="32"/>
      <c r="P122" s="31">
        <f>IF(O122="F",0,G122)</f>
        <v>0</v>
      </c>
      <c r="Q122" s="31">
        <f>IF(O122="F",I122,0)</f>
        <v>0</v>
      </c>
      <c r="R122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99">
        <f t="shared" ref="T122:T123" si="86">R122-I122</f>
        <v>0</v>
      </c>
      <c r="U122" s="99"/>
      <c r="W122" s="17" t="s">
        <v>18</v>
      </c>
      <c r="X122" s="26">
        <f>I129</f>
        <v>0</v>
      </c>
      <c r="Y122" s="37"/>
    </row>
    <row r="123" spans="1:32" x14ac:dyDescent="0.3">
      <c r="B123" s="34" t="str">
        <f>TEXT(Tabelle1217303029720810[[#This Row],[Datum]],"tttt")</f>
        <v>Dienstag</v>
      </c>
      <c r="C123" s="54">
        <f>C122+1</f>
        <v>44258</v>
      </c>
      <c r="D123" s="31"/>
      <c r="E123" s="31"/>
      <c r="F123" s="31"/>
      <c r="G123" s="31"/>
      <c r="H123" s="31"/>
      <c r="I123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4" t="str">
        <f>TEXT(Tabelle121730302972081064[[#This Row],[Datum]],"tttt")</f>
        <v>Dienstag</v>
      </c>
      <c r="L123" s="54">
        <f>L122+1</f>
        <v>44258</v>
      </c>
      <c r="M123" s="31">
        <f t="shared" ref="M123:M128" si="87">IF(O123="F",0,D123)</f>
        <v>0</v>
      </c>
      <c r="N123" s="31">
        <f t="shared" ref="N123:N128" si="88">IF(O123="F",0,E123)</f>
        <v>0</v>
      </c>
      <c r="O123" s="31"/>
      <c r="P123" s="31">
        <f t="shared" ref="P123:P128" si="89">IF(O123="F",0,G123)</f>
        <v>0</v>
      </c>
      <c r="Q123" s="31">
        <f t="shared" ref="Q123:Q128" si="90">IF(O123="F",I123,0)</f>
        <v>0</v>
      </c>
      <c r="R123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99">
        <f t="shared" si="86"/>
        <v>0</v>
      </c>
      <c r="U123" s="99"/>
      <c r="W123" s="17" t="s">
        <v>19</v>
      </c>
      <c r="X123" s="26">
        <f>R129</f>
        <v>0</v>
      </c>
      <c r="Y123" s="37"/>
    </row>
    <row r="124" spans="1:32" x14ac:dyDescent="0.3">
      <c r="B124" s="35" t="str">
        <f>TEXT(Tabelle1217303029720810[[#This Row],[Datum]],"tttt")</f>
        <v>Mittwoch</v>
      </c>
      <c r="C124" s="54">
        <f t="shared" ref="C124:C128" si="91">C123+1</f>
        <v>44259</v>
      </c>
      <c r="D124" s="32"/>
      <c r="E124" s="32"/>
      <c r="F124" s="32"/>
      <c r="G124" s="32"/>
      <c r="H124" s="32"/>
      <c r="I124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5" t="str">
        <f>TEXT(Tabelle121730302972081064[[#This Row],[Datum]],"tttt")</f>
        <v>Mittwoch</v>
      </c>
      <c r="L124" s="54">
        <f t="shared" ref="L124:L128" si="92">L123+1</f>
        <v>44259</v>
      </c>
      <c r="M124" s="31">
        <f t="shared" si="87"/>
        <v>0</v>
      </c>
      <c r="N124" s="31">
        <f t="shared" si="88"/>
        <v>0</v>
      </c>
      <c r="O124" s="32"/>
      <c r="P124" s="31">
        <f t="shared" si="89"/>
        <v>0</v>
      </c>
      <c r="Q124" s="31">
        <f t="shared" si="90"/>
        <v>0</v>
      </c>
      <c r="R124" s="51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99">
        <f>R124-I124</f>
        <v>0</v>
      </c>
      <c r="U124" s="99"/>
      <c r="W124" s="20" t="s">
        <v>20</v>
      </c>
      <c r="X124" s="27">
        <f>X123-X122</f>
        <v>0</v>
      </c>
      <c r="Y124" s="37"/>
      <c r="Z124" s="64">
        <f>Z114+X124</f>
        <v>0</v>
      </c>
    </row>
    <row r="125" spans="1:32" x14ac:dyDescent="0.3">
      <c r="B125" s="34" t="str">
        <f>TEXT(Tabelle1217303029720810[[#This Row],[Datum]],"tttt")</f>
        <v>Donnerstag</v>
      </c>
      <c r="C125" s="54">
        <f t="shared" si="91"/>
        <v>44260</v>
      </c>
      <c r="D125" s="31"/>
      <c r="E125" s="31"/>
      <c r="F125" s="31"/>
      <c r="G125" s="31"/>
      <c r="H125" s="31"/>
      <c r="I125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4" t="str">
        <f>TEXT(Tabelle121730302972081064[[#This Row],[Datum]],"tttt")</f>
        <v>Donnerstag</v>
      </c>
      <c r="L125" s="54">
        <f t="shared" si="92"/>
        <v>44260</v>
      </c>
      <c r="M125" s="31">
        <f t="shared" si="87"/>
        <v>0</v>
      </c>
      <c r="N125" s="31">
        <f t="shared" si="88"/>
        <v>0</v>
      </c>
      <c r="O125" s="31"/>
      <c r="P125" s="31">
        <f t="shared" si="89"/>
        <v>0</v>
      </c>
      <c r="Q125" s="31">
        <f t="shared" si="90"/>
        <v>0</v>
      </c>
      <c r="R125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99">
        <f>R125-I125</f>
        <v>0</v>
      </c>
      <c r="U125" s="99"/>
      <c r="Y125" s="37"/>
    </row>
    <row r="126" spans="1:32" x14ac:dyDescent="0.3">
      <c r="B126" s="36" t="str">
        <f>TEXT(Tabelle1217303029720810[[#This Row],[Datum]],"tttt")</f>
        <v>Freitag</v>
      </c>
      <c r="C126" s="54">
        <f t="shared" si="91"/>
        <v>44261</v>
      </c>
      <c r="D126" s="32"/>
      <c r="E126" s="32"/>
      <c r="F126" s="32"/>
      <c r="G126" s="32"/>
      <c r="H126" s="32"/>
      <c r="I126" s="52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6" t="str">
        <f>TEXT(Tabelle121730302972081064[[#This Row],[Datum]],"tttt")</f>
        <v>Freitag</v>
      </c>
      <c r="L126" s="54">
        <f t="shared" si="92"/>
        <v>44261</v>
      </c>
      <c r="M126" s="31">
        <f t="shared" si="87"/>
        <v>0</v>
      </c>
      <c r="N126" s="31">
        <f t="shared" si="88"/>
        <v>0</v>
      </c>
      <c r="O126" s="32"/>
      <c r="P126" s="31">
        <f t="shared" si="89"/>
        <v>0</v>
      </c>
      <c r="Q126" s="31">
        <f t="shared" si="90"/>
        <v>0</v>
      </c>
      <c r="R126" s="52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99">
        <f>R126-I126</f>
        <v>0</v>
      </c>
      <c r="U126" s="99"/>
      <c r="Y126" s="37"/>
    </row>
    <row r="127" spans="1:32" x14ac:dyDescent="0.3">
      <c r="B127" s="34" t="str">
        <f>TEXT(Tabelle1217303029720810[[#This Row],[Datum]],"tttt")</f>
        <v>Samstag</v>
      </c>
      <c r="C127" s="54">
        <f t="shared" si="91"/>
        <v>44262</v>
      </c>
      <c r="D127" s="31"/>
      <c r="E127" s="31"/>
      <c r="F127" s="31"/>
      <c r="G127" s="31"/>
      <c r="H127" s="31"/>
      <c r="I127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4" t="str">
        <f>TEXT(Tabelle121730302972081064[[#This Row],[Datum]],"tttt")</f>
        <v>Samstag</v>
      </c>
      <c r="L127" s="54">
        <f t="shared" si="92"/>
        <v>44262</v>
      </c>
      <c r="M127" s="31">
        <f t="shared" si="87"/>
        <v>0</v>
      </c>
      <c r="N127" s="31">
        <f t="shared" si="88"/>
        <v>0</v>
      </c>
      <c r="O127" s="31"/>
      <c r="P127" s="31">
        <f t="shared" si="89"/>
        <v>0</v>
      </c>
      <c r="Q127" s="31">
        <f t="shared" si="90"/>
        <v>0</v>
      </c>
      <c r="R127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99">
        <f t="shared" ref="T127:T128" si="93">R127-I127</f>
        <v>0</v>
      </c>
      <c r="U127" s="99"/>
      <c r="Y127" s="37"/>
    </row>
    <row r="128" spans="1:32" s="58" customFormat="1" x14ac:dyDescent="0.3">
      <c r="A128" s="40"/>
      <c r="B128" s="36" t="str">
        <f>TEXT(Tabelle1217303029720810[[#This Row],[Datum]],"tttt")</f>
        <v>Sonntag</v>
      </c>
      <c r="C128" s="55">
        <f t="shared" si="91"/>
        <v>44263</v>
      </c>
      <c r="D128" s="32"/>
      <c r="E128" s="32"/>
      <c r="F128" s="32"/>
      <c r="G128" s="32"/>
      <c r="H128" s="32"/>
      <c r="I128" s="53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40"/>
      <c r="K128" s="36" t="str">
        <f>TEXT(Tabelle121730302972081064[[#This Row],[Datum]],"tttt")</f>
        <v>Sonntag</v>
      </c>
      <c r="L128" s="55">
        <f t="shared" si="92"/>
        <v>44263</v>
      </c>
      <c r="M128" s="31">
        <f t="shared" si="87"/>
        <v>0</v>
      </c>
      <c r="N128" s="31">
        <f t="shared" si="88"/>
        <v>0</v>
      </c>
      <c r="O128" s="32"/>
      <c r="P128" s="31">
        <f t="shared" si="89"/>
        <v>0</v>
      </c>
      <c r="Q128" s="31">
        <f t="shared" si="90"/>
        <v>0</v>
      </c>
      <c r="R128" s="53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40"/>
      <c r="T128" s="99">
        <f t="shared" si="93"/>
        <v>0</v>
      </c>
      <c r="U128" s="99"/>
      <c r="V128" s="42"/>
      <c r="W128" s="42"/>
      <c r="X128" s="45"/>
      <c r="Y128" s="37"/>
      <c r="Z128" s="40"/>
      <c r="AA128" s="65"/>
      <c r="AB128" s="66"/>
      <c r="AC128" s="40"/>
      <c r="AD128" s="29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7"/>
    </row>
    <row r="130" spans="1:32" x14ac:dyDescent="0.3">
      <c r="A130" s="37"/>
      <c r="B130" s="38"/>
      <c r="C130" s="37"/>
      <c r="D130" s="37"/>
      <c r="E130" s="37"/>
      <c r="F130" s="37"/>
      <c r="G130" s="37"/>
      <c r="H130" s="37"/>
      <c r="I130" s="38"/>
      <c r="J130" s="37"/>
      <c r="K130" s="38"/>
      <c r="L130" s="37"/>
      <c r="M130" s="37"/>
      <c r="N130" s="37"/>
      <c r="O130" s="37"/>
      <c r="P130" s="37"/>
      <c r="Q130" s="37"/>
      <c r="R130" s="38"/>
      <c r="S130" s="37"/>
      <c r="T130" s="100"/>
      <c r="U130" s="100"/>
      <c r="V130" s="37"/>
      <c r="W130" s="37"/>
      <c r="X130" s="39"/>
      <c r="Y130" s="37"/>
    </row>
    <row r="131" spans="1:32" x14ac:dyDescent="0.3">
      <c r="A131" s="44" t="s">
        <v>33</v>
      </c>
      <c r="B131" s="6" t="s">
        <v>2</v>
      </c>
      <c r="C131" s="7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9</v>
      </c>
      <c r="J131" s="44" t="s">
        <v>33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99" t="s">
        <v>11</v>
      </c>
      <c r="U131" s="99"/>
      <c r="W131" s="13" t="s">
        <v>21</v>
      </c>
      <c r="X131" s="15" t="s">
        <v>17</v>
      </c>
      <c r="Y131" s="37"/>
    </row>
    <row r="132" spans="1:32" x14ac:dyDescent="0.3">
      <c r="A132" s="44">
        <f>A122+1</f>
        <v>11</v>
      </c>
      <c r="B132" s="34" t="str">
        <f>TEXT(Tabelle12173030297208311[[#This Row],[Datum]],"tttt")</f>
        <v>Montag</v>
      </c>
      <c r="C132" s="56">
        <f>C128+1</f>
        <v>44264</v>
      </c>
      <c r="D132" s="31"/>
      <c r="E132" s="31"/>
      <c r="F132" s="31"/>
      <c r="G132" s="31"/>
      <c r="H132" s="31"/>
      <c r="I132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4">
        <f>J122+1</f>
        <v>11</v>
      </c>
      <c r="K132" s="34" t="str">
        <f>TEXT(Tabelle1217303029720831165[[#This Row],[Datum]],"tttt")</f>
        <v>Montag</v>
      </c>
      <c r="L132" s="56">
        <f>L128+1</f>
        <v>44264</v>
      </c>
      <c r="M132" s="31">
        <f>IF(O132="F",0,D132)</f>
        <v>0</v>
      </c>
      <c r="N132" s="31">
        <f>IF(O132="F",0,E132)</f>
        <v>0</v>
      </c>
      <c r="O132" s="32"/>
      <c r="P132" s="31">
        <f>IF(O132="F",0,G132)</f>
        <v>0</v>
      </c>
      <c r="Q132" s="31">
        <f>IF(O132="F",I132,0)</f>
        <v>0</v>
      </c>
      <c r="R132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99">
        <f t="shared" ref="T132:T133" si="96">R132-I132</f>
        <v>0</v>
      </c>
      <c r="U132" s="99"/>
      <c r="W132" s="17" t="s">
        <v>18</v>
      </c>
      <c r="X132" s="26">
        <f>I139</f>
        <v>0</v>
      </c>
      <c r="Y132" s="37"/>
    </row>
    <row r="133" spans="1:32" x14ac:dyDescent="0.3">
      <c r="B133" s="34" t="str">
        <f>TEXT(Tabelle12173030297208311[[#This Row],[Datum]],"tttt")</f>
        <v>Dienstag</v>
      </c>
      <c r="C133" s="54">
        <f>C132+1</f>
        <v>44265</v>
      </c>
      <c r="D133" s="31"/>
      <c r="E133" s="31"/>
      <c r="F133" s="31"/>
      <c r="G133" s="31"/>
      <c r="H133" s="31"/>
      <c r="I133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4" t="str">
        <f>TEXT(Tabelle1217303029720831165[[#This Row],[Datum]],"tttt")</f>
        <v>Dienstag</v>
      </c>
      <c r="L133" s="54">
        <f>L132+1</f>
        <v>44265</v>
      </c>
      <c r="M133" s="31">
        <f t="shared" ref="M133:M138" si="97">IF(O133="F",0,D133)</f>
        <v>0</v>
      </c>
      <c r="N133" s="31">
        <f t="shared" ref="N133:N138" si="98">IF(O133="F",0,E133)</f>
        <v>0</v>
      </c>
      <c r="O133" s="31"/>
      <c r="P133" s="31">
        <f t="shared" ref="P133:P138" si="99">IF(O133="F",0,G133)</f>
        <v>0</v>
      </c>
      <c r="Q133" s="31">
        <f t="shared" ref="Q133:Q138" si="100">IF(O133="F",I133,0)</f>
        <v>0</v>
      </c>
      <c r="R133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99">
        <f t="shared" si="96"/>
        <v>0</v>
      </c>
      <c r="U133" s="99"/>
      <c r="W133" s="17" t="s">
        <v>19</v>
      </c>
      <c r="X133" s="26">
        <f>R139</f>
        <v>0</v>
      </c>
      <c r="Y133" s="37"/>
    </row>
    <row r="134" spans="1:32" x14ac:dyDescent="0.3">
      <c r="B134" s="35" t="str">
        <f>TEXT(Tabelle12173030297208311[[#This Row],[Datum]],"tttt")</f>
        <v>Mittwoch</v>
      </c>
      <c r="C134" s="54">
        <f t="shared" ref="C134:C138" si="101">C133+1</f>
        <v>44266</v>
      </c>
      <c r="D134" s="32"/>
      <c r="E134" s="32"/>
      <c r="F134" s="32"/>
      <c r="G134" s="32"/>
      <c r="H134" s="32"/>
      <c r="I134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5" t="str">
        <f>TEXT(Tabelle1217303029720831165[[#This Row],[Datum]],"tttt")</f>
        <v>Mittwoch</v>
      </c>
      <c r="L134" s="54">
        <f t="shared" ref="L134:L138" si="102">L133+1</f>
        <v>44266</v>
      </c>
      <c r="M134" s="31">
        <f t="shared" si="97"/>
        <v>0</v>
      </c>
      <c r="N134" s="31">
        <f t="shared" si="98"/>
        <v>0</v>
      </c>
      <c r="O134" s="32"/>
      <c r="P134" s="31">
        <f t="shared" si="99"/>
        <v>0</v>
      </c>
      <c r="Q134" s="31">
        <f t="shared" si="100"/>
        <v>0</v>
      </c>
      <c r="R134" s="51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99">
        <f>R134-I134</f>
        <v>0</v>
      </c>
      <c r="U134" s="99"/>
      <c r="W134" s="20" t="s">
        <v>20</v>
      </c>
      <c r="X134" s="27">
        <f>X133-X132</f>
        <v>0</v>
      </c>
      <c r="Y134" s="37"/>
      <c r="Z134" s="64">
        <f>Z124+X134</f>
        <v>0</v>
      </c>
    </row>
    <row r="135" spans="1:32" x14ac:dyDescent="0.3">
      <c r="B135" s="34" t="str">
        <f>TEXT(Tabelle12173030297208311[[#This Row],[Datum]],"tttt")</f>
        <v>Donnerstag</v>
      </c>
      <c r="C135" s="54">
        <f t="shared" si="101"/>
        <v>44267</v>
      </c>
      <c r="D135" s="31"/>
      <c r="E135" s="31"/>
      <c r="F135" s="31"/>
      <c r="G135" s="31"/>
      <c r="H135" s="31"/>
      <c r="I135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4" t="str">
        <f>TEXT(Tabelle1217303029720831165[[#This Row],[Datum]],"tttt")</f>
        <v>Donnerstag</v>
      </c>
      <c r="L135" s="54">
        <f t="shared" si="102"/>
        <v>44267</v>
      </c>
      <c r="M135" s="31">
        <f t="shared" si="97"/>
        <v>0</v>
      </c>
      <c r="N135" s="31">
        <f t="shared" si="98"/>
        <v>0</v>
      </c>
      <c r="O135" s="31"/>
      <c r="P135" s="31">
        <f t="shared" si="99"/>
        <v>0</v>
      </c>
      <c r="Q135" s="31">
        <f t="shared" si="100"/>
        <v>0</v>
      </c>
      <c r="R135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99">
        <f>R135-I135</f>
        <v>0</v>
      </c>
      <c r="U135" s="99"/>
      <c r="Y135" s="37"/>
    </row>
    <row r="136" spans="1:32" x14ac:dyDescent="0.3">
      <c r="B136" s="36" t="str">
        <f>TEXT(Tabelle12173030297208311[[#This Row],[Datum]],"tttt")</f>
        <v>Freitag</v>
      </c>
      <c r="C136" s="54">
        <f t="shared" si="101"/>
        <v>44268</v>
      </c>
      <c r="D136" s="32"/>
      <c r="E136" s="32"/>
      <c r="F136" s="32"/>
      <c r="G136" s="32"/>
      <c r="H136" s="32"/>
      <c r="I136" s="52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6" t="str">
        <f>TEXT(Tabelle1217303029720831165[[#This Row],[Datum]],"tttt")</f>
        <v>Freitag</v>
      </c>
      <c r="L136" s="54">
        <f t="shared" si="102"/>
        <v>44268</v>
      </c>
      <c r="M136" s="31">
        <f t="shared" si="97"/>
        <v>0</v>
      </c>
      <c r="N136" s="31">
        <f t="shared" si="98"/>
        <v>0</v>
      </c>
      <c r="O136" s="32"/>
      <c r="P136" s="31">
        <f t="shared" si="99"/>
        <v>0</v>
      </c>
      <c r="Q136" s="31">
        <f t="shared" si="100"/>
        <v>0</v>
      </c>
      <c r="R136" s="52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99">
        <f>R136-I136</f>
        <v>0</v>
      </c>
      <c r="U136" s="99"/>
      <c r="Y136" s="37"/>
    </row>
    <row r="137" spans="1:32" x14ac:dyDescent="0.3">
      <c r="B137" s="34" t="str">
        <f>TEXT(Tabelle12173030297208311[[#This Row],[Datum]],"tttt")</f>
        <v>Samstag</v>
      </c>
      <c r="C137" s="54">
        <f t="shared" si="101"/>
        <v>44269</v>
      </c>
      <c r="D137" s="31"/>
      <c r="E137" s="31"/>
      <c r="F137" s="31"/>
      <c r="G137" s="31"/>
      <c r="H137" s="31"/>
      <c r="I137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4" t="str">
        <f>TEXT(Tabelle1217303029720831165[[#This Row],[Datum]],"tttt")</f>
        <v>Samstag</v>
      </c>
      <c r="L137" s="54">
        <f t="shared" si="102"/>
        <v>44269</v>
      </c>
      <c r="M137" s="31">
        <f t="shared" si="97"/>
        <v>0</v>
      </c>
      <c r="N137" s="31">
        <f t="shared" si="98"/>
        <v>0</v>
      </c>
      <c r="O137" s="31"/>
      <c r="P137" s="31">
        <f t="shared" si="99"/>
        <v>0</v>
      </c>
      <c r="Q137" s="31">
        <f t="shared" si="100"/>
        <v>0</v>
      </c>
      <c r="R137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99">
        <f t="shared" ref="T137:T138" si="103">R137-I137</f>
        <v>0</v>
      </c>
      <c r="U137" s="99"/>
      <c r="Y137" s="37"/>
    </row>
    <row r="138" spans="1:32" s="40" customFormat="1" x14ac:dyDescent="0.3">
      <c r="B138" s="36" t="str">
        <f>TEXT(Tabelle12173030297208311[[#This Row],[Datum]],"tttt")</f>
        <v>Sonntag</v>
      </c>
      <c r="C138" s="55">
        <f t="shared" si="101"/>
        <v>44270</v>
      </c>
      <c r="D138" s="32"/>
      <c r="E138" s="32"/>
      <c r="F138" s="32"/>
      <c r="G138" s="32"/>
      <c r="H138" s="32"/>
      <c r="I138" s="53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6" t="str">
        <f>TEXT(Tabelle1217303029720831165[[#This Row],[Datum]],"tttt")</f>
        <v>Sonntag</v>
      </c>
      <c r="L138" s="55">
        <f t="shared" si="102"/>
        <v>44270</v>
      </c>
      <c r="M138" s="31">
        <f t="shared" si="97"/>
        <v>0</v>
      </c>
      <c r="N138" s="31">
        <f t="shared" si="98"/>
        <v>0</v>
      </c>
      <c r="O138" s="32"/>
      <c r="P138" s="31">
        <f t="shared" si="99"/>
        <v>0</v>
      </c>
      <c r="Q138" s="31">
        <f t="shared" si="100"/>
        <v>0</v>
      </c>
      <c r="R138" s="53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99">
        <f t="shared" si="103"/>
        <v>0</v>
      </c>
      <c r="U138" s="99"/>
      <c r="V138" s="42"/>
      <c r="W138" s="42"/>
      <c r="X138" s="45"/>
      <c r="Y138" s="37"/>
      <c r="AB138" s="41"/>
      <c r="AD138" s="29"/>
      <c r="AE138" s="29"/>
      <c r="AF138" s="29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7"/>
    </row>
    <row r="140" spans="1:32" x14ac:dyDescent="0.3">
      <c r="A140" s="57"/>
      <c r="B140" s="37"/>
      <c r="C140" s="37"/>
      <c r="D140" s="37"/>
      <c r="E140" s="37"/>
      <c r="F140" s="37"/>
      <c r="G140" s="37"/>
      <c r="H140" s="37"/>
      <c r="I140" s="37"/>
      <c r="J140" s="57"/>
      <c r="K140" s="37"/>
      <c r="L140" s="37"/>
      <c r="M140" s="37"/>
      <c r="N140" s="37"/>
      <c r="O140" s="37"/>
      <c r="P140" s="37"/>
      <c r="Q140" s="37"/>
      <c r="R140" s="37"/>
      <c r="S140" s="57"/>
      <c r="T140" s="105"/>
      <c r="U140" s="105"/>
      <c r="V140" s="57"/>
      <c r="W140" s="57"/>
      <c r="X140" s="67"/>
      <c r="Y140" s="57"/>
    </row>
    <row r="141" spans="1:32" x14ac:dyDescent="0.3">
      <c r="A141" s="44" t="s">
        <v>33</v>
      </c>
      <c r="B141" s="6" t="s">
        <v>2</v>
      </c>
      <c r="C141" s="7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  <c r="I141" s="4" t="s">
        <v>9</v>
      </c>
      <c r="J141" s="44" t="s">
        <v>33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99" t="s">
        <v>11</v>
      </c>
      <c r="U141" s="99"/>
      <c r="W141" s="13" t="s">
        <v>21</v>
      </c>
      <c r="X141" s="15" t="s">
        <v>17</v>
      </c>
      <c r="Y141" s="37"/>
    </row>
    <row r="142" spans="1:32" x14ac:dyDescent="0.3">
      <c r="A142" s="44">
        <f>A132+1</f>
        <v>12</v>
      </c>
      <c r="B142" s="34" t="str">
        <f>TEXT(Tabelle12173030297208412[[#This Row],[Datum]],"tttt")</f>
        <v>Montag</v>
      </c>
      <c r="C142" s="56">
        <f>C138+1</f>
        <v>44271</v>
      </c>
      <c r="D142" s="31"/>
      <c r="E142" s="31"/>
      <c r="F142" s="31"/>
      <c r="G142" s="31"/>
      <c r="H142" s="31"/>
      <c r="I142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4">
        <f>J132+1</f>
        <v>12</v>
      </c>
      <c r="K142" s="34" t="str">
        <f>TEXT(Tabelle1217303029720841266[[#This Row],[Datum]],"tttt")</f>
        <v>Montag</v>
      </c>
      <c r="L142" s="56">
        <f>L138+1</f>
        <v>44271</v>
      </c>
      <c r="M142" s="31">
        <f>IF(O142="F",0,D142)</f>
        <v>0</v>
      </c>
      <c r="N142" s="31">
        <f>IF(O142="F",0,E142)</f>
        <v>0</v>
      </c>
      <c r="O142" s="32"/>
      <c r="P142" s="31">
        <f>IF(O142="F",0,G142)</f>
        <v>0</v>
      </c>
      <c r="Q142" s="31">
        <f>IF(O142="F",I142,0)</f>
        <v>0</v>
      </c>
      <c r="R142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99">
        <f t="shared" ref="T142:T143" si="106">R142-I142</f>
        <v>0</v>
      </c>
      <c r="U142" s="99"/>
      <c r="W142" s="17" t="s">
        <v>18</v>
      </c>
      <c r="X142" s="26">
        <f>I149</f>
        <v>0</v>
      </c>
      <c r="Y142" s="37"/>
    </row>
    <row r="143" spans="1:32" x14ac:dyDescent="0.3">
      <c r="B143" s="34" t="str">
        <f>TEXT(Tabelle12173030297208412[[#This Row],[Datum]],"tttt")</f>
        <v>Dienstag</v>
      </c>
      <c r="C143" s="54">
        <f>C142+1</f>
        <v>44272</v>
      </c>
      <c r="D143" s="31"/>
      <c r="E143" s="31"/>
      <c r="F143" s="31"/>
      <c r="G143" s="31"/>
      <c r="H143" s="31"/>
      <c r="I143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4" t="str">
        <f>TEXT(Tabelle1217303029720841266[[#This Row],[Datum]],"tttt")</f>
        <v>Dienstag</v>
      </c>
      <c r="L143" s="54">
        <f>L142+1</f>
        <v>44272</v>
      </c>
      <c r="M143" s="31">
        <f t="shared" ref="M143:M148" si="107">IF(O143="F",0,D143)</f>
        <v>0</v>
      </c>
      <c r="N143" s="31">
        <f t="shared" ref="N143:N148" si="108">IF(O143="F",0,E143)</f>
        <v>0</v>
      </c>
      <c r="O143" s="31"/>
      <c r="P143" s="31">
        <f t="shared" ref="P143:P148" si="109">IF(O143="F",0,G143)</f>
        <v>0</v>
      </c>
      <c r="Q143" s="31">
        <f t="shared" ref="Q143:Q148" si="110">IF(O143="F",I143,0)</f>
        <v>0</v>
      </c>
      <c r="R143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99">
        <f t="shared" si="106"/>
        <v>0</v>
      </c>
      <c r="U143" s="99"/>
      <c r="W143" s="17" t="s">
        <v>19</v>
      </c>
      <c r="X143" s="26">
        <f>R149</f>
        <v>0</v>
      </c>
      <c r="Y143" s="37"/>
    </row>
    <row r="144" spans="1:32" x14ac:dyDescent="0.3">
      <c r="B144" s="35" t="str">
        <f>TEXT(Tabelle12173030297208412[[#This Row],[Datum]],"tttt")</f>
        <v>Mittwoch</v>
      </c>
      <c r="C144" s="54">
        <f t="shared" ref="C144:C148" si="111">C143+1</f>
        <v>44273</v>
      </c>
      <c r="D144" s="32"/>
      <c r="E144" s="32"/>
      <c r="F144" s="32"/>
      <c r="G144" s="32"/>
      <c r="H144" s="32"/>
      <c r="I144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5" t="str">
        <f>TEXT(Tabelle1217303029720841266[[#This Row],[Datum]],"tttt")</f>
        <v>Mittwoch</v>
      </c>
      <c r="L144" s="54">
        <f t="shared" ref="L144:L148" si="112">L143+1</f>
        <v>44273</v>
      </c>
      <c r="M144" s="31">
        <f t="shared" si="107"/>
        <v>0</v>
      </c>
      <c r="N144" s="31">
        <f t="shared" si="108"/>
        <v>0</v>
      </c>
      <c r="O144" s="32"/>
      <c r="P144" s="31">
        <f t="shared" si="109"/>
        <v>0</v>
      </c>
      <c r="Q144" s="31">
        <f t="shared" si="110"/>
        <v>0</v>
      </c>
      <c r="R144" s="51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99">
        <f>R144-I144</f>
        <v>0</v>
      </c>
      <c r="U144" s="99"/>
      <c r="W144" s="20" t="s">
        <v>20</v>
      </c>
      <c r="X144" s="27">
        <f>X143-X142</f>
        <v>0</v>
      </c>
      <c r="Y144" s="37"/>
      <c r="Z144" s="64">
        <f>Z134+X144</f>
        <v>0</v>
      </c>
    </row>
    <row r="145" spans="1:32" x14ac:dyDescent="0.3">
      <c r="B145" s="34" t="str">
        <f>TEXT(Tabelle12173030297208412[[#This Row],[Datum]],"tttt")</f>
        <v>Donnerstag</v>
      </c>
      <c r="C145" s="54">
        <f t="shared" si="111"/>
        <v>44274</v>
      </c>
      <c r="D145" s="31"/>
      <c r="E145" s="31"/>
      <c r="F145" s="31"/>
      <c r="G145" s="31"/>
      <c r="H145" s="31"/>
      <c r="I145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4" t="str">
        <f>TEXT(Tabelle1217303029720841266[[#This Row],[Datum]],"tttt")</f>
        <v>Donnerstag</v>
      </c>
      <c r="L145" s="54">
        <f t="shared" si="112"/>
        <v>44274</v>
      </c>
      <c r="M145" s="31">
        <f t="shared" si="107"/>
        <v>0</v>
      </c>
      <c r="N145" s="31">
        <f t="shared" si="108"/>
        <v>0</v>
      </c>
      <c r="O145" s="31"/>
      <c r="P145" s="31">
        <f t="shared" si="109"/>
        <v>0</v>
      </c>
      <c r="Q145" s="31">
        <f t="shared" si="110"/>
        <v>0</v>
      </c>
      <c r="R145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99">
        <f>R145-I145</f>
        <v>0</v>
      </c>
      <c r="U145" s="99"/>
      <c r="Y145" s="37"/>
    </row>
    <row r="146" spans="1:32" x14ac:dyDescent="0.3">
      <c r="B146" s="36" t="str">
        <f>TEXT(Tabelle12173030297208412[[#This Row],[Datum]],"tttt")</f>
        <v>Freitag</v>
      </c>
      <c r="C146" s="54">
        <f t="shared" si="111"/>
        <v>44275</v>
      </c>
      <c r="D146" s="32"/>
      <c r="E146" s="32"/>
      <c r="F146" s="32"/>
      <c r="G146" s="32"/>
      <c r="H146" s="32"/>
      <c r="I146" s="52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6" t="str">
        <f>TEXT(Tabelle1217303029720841266[[#This Row],[Datum]],"tttt")</f>
        <v>Freitag</v>
      </c>
      <c r="L146" s="54">
        <f t="shared" si="112"/>
        <v>44275</v>
      </c>
      <c r="M146" s="31">
        <f t="shared" si="107"/>
        <v>0</v>
      </c>
      <c r="N146" s="31">
        <f t="shared" si="108"/>
        <v>0</v>
      </c>
      <c r="O146" s="32"/>
      <c r="P146" s="31">
        <f t="shared" si="109"/>
        <v>0</v>
      </c>
      <c r="Q146" s="31">
        <f t="shared" si="110"/>
        <v>0</v>
      </c>
      <c r="R146" s="52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99">
        <f>R146-I146</f>
        <v>0</v>
      </c>
      <c r="U146" s="99"/>
      <c r="Y146" s="37"/>
    </row>
    <row r="147" spans="1:32" x14ac:dyDescent="0.3">
      <c r="B147" s="34" t="str">
        <f>TEXT(Tabelle12173030297208412[[#This Row],[Datum]],"tttt")</f>
        <v>Samstag</v>
      </c>
      <c r="C147" s="54">
        <f t="shared" si="111"/>
        <v>44276</v>
      </c>
      <c r="D147" s="31"/>
      <c r="E147" s="31"/>
      <c r="F147" s="31"/>
      <c r="G147" s="31"/>
      <c r="H147" s="31"/>
      <c r="I147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4" t="str">
        <f>TEXT(Tabelle1217303029720841266[[#This Row],[Datum]],"tttt")</f>
        <v>Samstag</v>
      </c>
      <c r="L147" s="54">
        <f t="shared" si="112"/>
        <v>44276</v>
      </c>
      <c r="M147" s="31">
        <f t="shared" si="107"/>
        <v>0</v>
      </c>
      <c r="N147" s="31">
        <f t="shared" si="108"/>
        <v>0</v>
      </c>
      <c r="O147" s="31"/>
      <c r="P147" s="31">
        <f t="shared" si="109"/>
        <v>0</v>
      </c>
      <c r="Q147" s="31">
        <f t="shared" si="110"/>
        <v>0</v>
      </c>
      <c r="R147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99">
        <f t="shared" ref="T147:T148" si="113">R147-I147</f>
        <v>0</v>
      </c>
      <c r="U147" s="99"/>
      <c r="Y147" s="37"/>
    </row>
    <row r="148" spans="1:32" s="40" customFormat="1" x14ac:dyDescent="0.3">
      <c r="B148" s="36" t="str">
        <f>TEXT(Tabelle12173030297208412[[#This Row],[Datum]],"tttt")</f>
        <v>Sonntag</v>
      </c>
      <c r="C148" s="55">
        <f t="shared" si="111"/>
        <v>44277</v>
      </c>
      <c r="D148" s="32"/>
      <c r="E148" s="32"/>
      <c r="F148" s="32"/>
      <c r="G148" s="32"/>
      <c r="H148" s="32"/>
      <c r="I148" s="53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6" t="str">
        <f>TEXT(Tabelle1217303029720841266[[#This Row],[Datum]],"tttt")</f>
        <v>Sonntag</v>
      </c>
      <c r="L148" s="55">
        <f t="shared" si="112"/>
        <v>44277</v>
      </c>
      <c r="M148" s="31">
        <f t="shared" si="107"/>
        <v>0</v>
      </c>
      <c r="N148" s="31">
        <f t="shared" si="108"/>
        <v>0</v>
      </c>
      <c r="O148" s="32"/>
      <c r="P148" s="31">
        <f t="shared" si="109"/>
        <v>0</v>
      </c>
      <c r="Q148" s="31">
        <f t="shared" si="110"/>
        <v>0</v>
      </c>
      <c r="R148" s="53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99">
        <f t="shared" si="113"/>
        <v>0</v>
      </c>
      <c r="U148" s="99"/>
      <c r="V148" s="42"/>
      <c r="W148" s="42"/>
      <c r="X148" s="45"/>
      <c r="Y148" s="37"/>
      <c r="AB148" s="41"/>
      <c r="AD148" s="29"/>
      <c r="AE148" s="29"/>
      <c r="AF148" s="29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7"/>
    </row>
    <row r="150" spans="1:32" x14ac:dyDescent="0.3">
      <c r="A150" s="37"/>
      <c r="B150" s="38"/>
      <c r="C150" s="37"/>
      <c r="D150" s="37"/>
      <c r="E150" s="37"/>
      <c r="F150" s="37"/>
      <c r="G150" s="37"/>
      <c r="H150" s="37"/>
      <c r="I150" s="38"/>
      <c r="J150" s="37"/>
      <c r="K150" s="38"/>
      <c r="L150" s="37"/>
      <c r="M150" s="37"/>
      <c r="N150" s="37"/>
      <c r="O150" s="37"/>
      <c r="P150" s="37"/>
      <c r="Q150" s="37"/>
      <c r="R150" s="38"/>
      <c r="S150" s="37"/>
      <c r="T150" s="100"/>
      <c r="U150" s="100"/>
      <c r="V150" s="37"/>
      <c r="W150" s="37"/>
      <c r="X150" s="39"/>
      <c r="Y150" s="37"/>
    </row>
    <row r="151" spans="1:32" x14ac:dyDescent="0.3">
      <c r="A151" s="44" t="s">
        <v>33</v>
      </c>
      <c r="B151" s="6" t="s">
        <v>2</v>
      </c>
      <c r="C151" s="7" t="s">
        <v>3</v>
      </c>
      <c r="D151" s="4" t="s">
        <v>4</v>
      </c>
      <c r="E151" s="4" t="s">
        <v>5</v>
      </c>
      <c r="F151" s="4" t="s">
        <v>6</v>
      </c>
      <c r="G151" s="4" t="s">
        <v>7</v>
      </c>
      <c r="H151" s="4" t="s">
        <v>8</v>
      </c>
      <c r="I151" s="4" t="s">
        <v>9</v>
      </c>
      <c r="J151" s="44" t="s">
        <v>33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99" t="s">
        <v>11</v>
      </c>
      <c r="U151" s="99"/>
      <c r="W151" s="13" t="s">
        <v>21</v>
      </c>
      <c r="X151" s="15" t="s">
        <v>17</v>
      </c>
      <c r="Y151" s="37"/>
    </row>
    <row r="152" spans="1:32" x14ac:dyDescent="0.3">
      <c r="A152" s="44">
        <f>A142+1</f>
        <v>13</v>
      </c>
      <c r="B152" s="34" t="str">
        <f>TEXT(Tabelle1217303029720813[[#This Row],[Datum]],"tttt")</f>
        <v>Montag</v>
      </c>
      <c r="C152" s="56">
        <f>C148+1</f>
        <v>44278</v>
      </c>
      <c r="D152" s="31"/>
      <c r="E152" s="31"/>
      <c r="F152" s="31"/>
      <c r="G152" s="31"/>
      <c r="H152" s="31"/>
      <c r="I152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4">
        <f>J142+1</f>
        <v>13</v>
      </c>
      <c r="K152" s="34" t="str">
        <f>TEXT(Tabelle121730302972081367[[#This Row],[Datum]],"tttt")</f>
        <v>Montag</v>
      </c>
      <c r="L152" s="56">
        <f>L148+1</f>
        <v>44278</v>
      </c>
      <c r="M152" s="31">
        <f>IF(O152="F",0,D152)</f>
        <v>0</v>
      </c>
      <c r="N152" s="31">
        <f>IF(O152="F",0,E152)</f>
        <v>0</v>
      </c>
      <c r="O152" s="32"/>
      <c r="P152" s="31">
        <f>IF(O152="F",0,G152)</f>
        <v>0</v>
      </c>
      <c r="Q152" s="31">
        <f>IF(O152="F",I152,0)</f>
        <v>0</v>
      </c>
      <c r="R152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99">
        <f t="shared" ref="T152:T153" si="116">R152-I152</f>
        <v>0</v>
      </c>
      <c r="U152" s="99"/>
      <c r="W152" s="17" t="s">
        <v>18</v>
      </c>
      <c r="X152" s="26">
        <f>I159</f>
        <v>0</v>
      </c>
      <c r="Y152" s="37"/>
    </row>
    <row r="153" spans="1:32" x14ac:dyDescent="0.3">
      <c r="B153" s="34" t="str">
        <f>TEXT(Tabelle1217303029720813[[#This Row],[Datum]],"tttt")</f>
        <v>Dienstag</v>
      </c>
      <c r="C153" s="54">
        <f>C152+1</f>
        <v>44279</v>
      </c>
      <c r="D153" s="31"/>
      <c r="E153" s="31"/>
      <c r="F153" s="31"/>
      <c r="G153" s="31"/>
      <c r="H153" s="31"/>
      <c r="I153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4" t="str">
        <f>TEXT(Tabelle121730302972081367[[#This Row],[Datum]],"tttt")</f>
        <v>Dienstag</v>
      </c>
      <c r="L153" s="54">
        <f>L152+1</f>
        <v>44279</v>
      </c>
      <c r="M153" s="31">
        <f t="shared" ref="M153:M158" si="117">IF(O153="F",0,D153)</f>
        <v>0</v>
      </c>
      <c r="N153" s="31">
        <f t="shared" ref="N153:N158" si="118">IF(O153="F",0,E153)</f>
        <v>0</v>
      </c>
      <c r="O153" s="31"/>
      <c r="P153" s="31">
        <f t="shared" ref="P153:P158" si="119">IF(O153="F",0,G153)</f>
        <v>0</v>
      </c>
      <c r="Q153" s="31">
        <f t="shared" ref="Q153:Q158" si="120">IF(O153="F",I153,0)</f>
        <v>0</v>
      </c>
      <c r="R153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99">
        <f t="shared" si="116"/>
        <v>0</v>
      </c>
      <c r="U153" s="99"/>
      <c r="W153" s="17" t="s">
        <v>19</v>
      </c>
      <c r="X153" s="26">
        <f>R159</f>
        <v>0</v>
      </c>
      <c r="Y153" s="37"/>
    </row>
    <row r="154" spans="1:32" x14ac:dyDescent="0.3">
      <c r="B154" s="35" t="str">
        <f>TEXT(Tabelle1217303029720813[[#This Row],[Datum]],"tttt")</f>
        <v>Mittwoch</v>
      </c>
      <c r="C154" s="54">
        <f t="shared" ref="C154:C158" si="121">C153+1</f>
        <v>44280</v>
      </c>
      <c r="D154" s="32"/>
      <c r="E154" s="32"/>
      <c r="F154" s="32"/>
      <c r="G154" s="32"/>
      <c r="H154" s="32"/>
      <c r="I154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5" t="str">
        <f>TEXT(Tabelle121730302972081367[[#This Row],[Datum]],"tttt")</f>
        <v>Mittwoch</v>
      </c>
      <c r="L154" s="54">
        <f t="shared" ref="L154:L158" si="122">L153+1</f>
        <v>44280</v>
      </c>
      <c r="M154" s="31">
        <f t="shared" si="117"/>
        <v>0</v>
      </c>
      <c r="N154" s="31">
        <f t="shared" si="118"/>
        <v>0</v>
      </c>
      <c r="O154" s="32"/>
      <c r="P154" s="31">
        <f t="shared" si="119"/>
        <v>0</v>
      </c>
      <c r="Q154" s="31">
        <f t="shared" si="120"/>
        <v>0</v>
      </c>
      <c r="R154" s="51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99">
        <f>R154-I154</f>
        <v>0</v>
      </c>
      <c r="U154" s="99"/>
      <c r="W154" s="20" t="s">
        <v>20</v>
      </c>
      <c r="X154" s="27">
        <f>X153-X152</f>
        <v>0</v>
      </c>
      <c r="Y154" s="37"/>
      <c r="Z154" s="64">
        <f>Z144+X154</f>
        <v>0</v>
      </c>
    </row>
    <row r="155" spans="1:32" x14ac:dyDescent="0.3">
      <c r="B155" s="34" t="str">
        <f>TEXT(Tabelle1217303029720813[[#This Row],[Datum]],"tttt")</f>
        <v>Donnerstag</v>
      </c>
      <c r="C155" s="54">
        <f t="shared" si="121"/>
        <v>44281</v>
      </c>
      <c r="D155" s="31"/>
      <c r="E155" s="31"/>
      <c r="F155" s="31"/>
      <c r="G155" s="31"/>
      <c r="H155" s="31"/>
      <c r="I155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4" t="str">
        <f>TEXT(Tabelle121730302972081367[[#This Row],[Datum]],"tttt")</f>
        <v>Donnerstag</v>
      </c>
      <c r="L155" s="54">
        <f t="shared" si="122"/>
        <v>44281</v>
      </c>
      <c r="M155" s="31">
        <f t="shared" si="117"/>
        <v>0</v>
      </c>
      <c r="N155" s="31">
        <f t="shared" si="118"/>
        <v>0</v>
      </c>
      <c r="O155" s="31"/>
      <c r="P155" s="31">
        <f t="shared" si="119"/>
        <v>0</v>
      </c>
      <c r="Q155" s="31">
        <f t="shared" si="120"/>
        <v>0</v>
      </c>
      <c r="R155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99">
        <f>R155-I155</f>
        <v>0</v>
      </c>
      <c r="U155" s="99"/>
      <c r="Y155" s="37"/>
    </row>
    <row r="156" spans="1:32" x14ac:dyDescent="0.3">
      <c r="B156" s="36" t="str">
        <f>TEXT(Tabelle1217303029720813[[#This Row],[Datum]],"tttt")</f>
        <v>Freitag</v>
      </c>
      <c r="C156" s="54">
        <f t="shared" si="121"/>
        <v>44282</v>
      </c>
      <c r="D156" s="32"/>
      <c r="E156" s="32"/>
      <c r="F156" s="32"/>
      <c r="G156" s="32"/>
      <c r="H156" s="32"/>
      <c r="I156" s="52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6" t="str">
        <f>TEXT(Tabelle121730302972081367[[#This Row],[Datum]],"tttt")</f>
        <v>Freitag</v>
      </c>
      <c r="L156" s="54">
        <f t="shared" si="122"/>
        <v>44282</v>
      </c>
      <c r="M156" s="31">
        <f t="shared" si="117"/>
        <v>0</v>
      </c>
      <c r="N156" s="31">
        <f t="shared" si="118"/>
        <v>0</v>
      </c>
      <c r="O156" s="32"/>
      <c r="P156" s="31">
        <f t="shared" si="119"/>
        <v>0</v>
      </c>
      <c r="Q156" s="31">
        <f t="shared" si="120"/>
        <v>0</v>
      </c>
      <c r="R156" s="52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99">
        <f>R156-I156</f>
        <v>0</v>
      </c>
      <c r="U156" s="99"/>
      <c r="Y156" s="37"/>
    </row>
    <row r="157" spans="1:32" x14ac:dyDescent="0.3">
      <c r="B157" s="34" t="str">
        <f>TEXT(Tabelle1217303029720813[[#This Row],[Datum]],"tttt")</f>
        <v>Samstag</v>
      </c>
      <c r="C157" s="54">
        <f t="shared" si="121"/>
        <v>44283</v>
      </c>
      <c r="D157" s="31"/>
      <c r="E157" s="31"/>
      <c r="F157" s="31"/>
      <c r="G157" s="31"/>
      <c r="H157" s="31"/>
      <c r="I157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4" t="str">
        <f>TEXT(Tabelle121730302972081367[[#This Row],[Datum]],"tttt")</f>
        <v>Samstag</v>
      </c>
      <c r="L157" s="54">
        <f t="shared" si="122"/>
        <v>44283</v>
      </c>
      <c r="M157" s="31">
        <f t="shared" si="117"/>
        <v>0</v>
      </c>
      <c r="N157" s="31">
        <f t="shared" si="118"/>
        <v>0</v>
      </c>
      <c r="O157" s="31"/>
      <c r="P157" s="31">
        <f t="shared" si="119"/>
        <v>0</v>
      </c>
      <c r="Q157" s="31">
        <f t="shared" si="120"/>
        <v>0</v>
      </c>
      <c r="R157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99">
        <f t="shared" ref="T157:T158" si="123">R157-I157</f>
        <v>0</v>
      </c>
      <c r="U157" s="99"/>
      <c r="Y157" s="37"/>
    </row>
    <row r="158" spans="1:32" s="40" customFormat="1" x14ac:dyDescent="0.3">
      <c r="B158" s="36" t="str">
        <f>TEXT(Tabelle1217303029720813[[#This Row],[Datum]],"tttt")</f>
        <v>Sonntag</v>
      </c>
      <c r="C158" s="55">
        <f t="shared" si="121"/>
        <v>44284</v>
      </c>
      <c r="D158" s="32"/>
      <c r="E158" s="32"/>
      <c r="F158" s="32"/>
      <c r="G158" s="32"/>
      <c r="H158" s="32"/>
      <c r="I158" s="53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6" t="str">
        <f>TEXT(Tabelle121730302972081367[[#This Row],[Datum]],"tttt")</f>
        <v>Sonntag</v>
      </c>
      <c r="L158" s="55">
        <f t="shared" si="122"/>
        <v>44284</v>
      </c>
      <c r="M158" s="31">
        <f t="shared" si="117"/>
        <v>0</v>
      </c>
      <c r="N158" s="31">
        <f t="shared" si="118"/>
        <v>0</v>
      </c>
      <c r="O158" s="32"/>
      <c r="P158" s="31">
        <f t="shared" si="119"/>
        <v>0</v>
      </c>
      <c r="Q158" s="31">
        <f t="shared" si="120"/>
        <v>0</v>
      </c>
      <c r="R158" s="53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99">
        <f t="shared" si="123"/>
        <v>0</v>
      </c>
      <c r="U158" s="99"/>
      <c r="V158" s="42"/>
      <c r="W158" s="42"/>
      <c r="X158" s="45"/>
      <c r="Y158" s="37"/>
      <c r="AB158" s="41"/>
      <c r="AD158" s="29"/>
      <c r="AE158" s="29"/>
      <c r="AF158" s="29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7"/>
    </row>
    <row r="160" spans="1:32" x14ac:dyDescent="0.3">
      <c r="A160" s="37"/>
      <c r="B160" s="38"/>
      <c r="C160" s="37"/>
      <c r="D160" s="37"/>
      <c r="E160" s="37"/>
      <c r="F160" s="37"/>
      <c r="G160" s="37"/>
      <c r="H160" s="37"/>
      <c r="I160" s="38"/>
      <c r="J160" s="37"/>
      <c r="K160" s="38"/>
      <c r="L160" s="37"/>
      <c r="M160" s="37"/>
      <c r="N160" s="37"/>
      <c r="O160" s="37"/>
      <c r="P160" s="37"/>
      <c r="Q160" s="37"/>
      <c r="R160" s="38"/>
      <c r="S160" s="37"/>
      <c r="T160" s="100"/>
      <c r="U160" s="100"/>
      <c r="V160" s="37"/>
      <c r="W160" s="37"/>
      <c r="X160" s="39"/>
      <c r="Y160" s="37"/>
    </row>
    <row r="161" spans="1:32" x14ac:dyDescent="0.3">
      <c r="A161" s="44" t="s">
        <v>33</v>
      </c>
      <c r="B161" s="6" t="s">
        <v>2</v>
      </c>
      <c r="C161" s="7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4" t="s">
        <v>33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99" t="s">
        <v>11</v>
      </c>
      <c r="U161" s="99"/>
      <c r="W161" s="13" t="s">
        <v>21</v>
      </c>
      <c r="X161" s="15" t="s">
        <v>17</v>
      </c>
      <c r="Y161" s="37"/>
    </row>
    <row r="162" spans="1:32" x14ac:dyDescent="0.3">
      <c r="A162" s="44">
        <f>A152+1</f>
        <v>14</v>
      </c>
      <c r="B162" s="34" t="str">
        <f>TEXT(Tabelle12173030297208314[[#This Row],[Datum]],"tttt")</f>
        <v>Montag</v>
      </c>
      <c r="C162" s="56">
        <f>C158+1</f>
        <v>44285</v>
      </c>
      <c r="D162" s="31"/>
      <c r="E162" s="31"/>
      <c r="F162" s="31"/>
      <c r="G162" s="31"/>
      <c r="H162" s="31"/>
      <c r="I162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4">
        <f>J152+1</f>
        <v>14</v>
      </c>
      <c r="K162" s="34" t="str">
        <f>TEXT(Tabelle1217303029720831468[[#This Row],[Datum]],"tttt")</f>
        <v>Montag</v>
      </c>
      <c r="L162" s="56">
        <f>L158+1</f>
        <v>44285</v>
      </c>
      <c r="M162" s="31">
        <f>IF(O162="F",0,D162)</f>
        <v>0</v>
      </c>
      <c r="N162" s="31">
        <f>IF(O162="F",0,E162)</f>
        <v>0</v>
      </c>
      <c r="O162" s="32"/>
      <c r="P162" s="31">
        <f>IF(O162="F",0,G162)</f>
        <v>0</v>
      </c>
      <c r="Q162" s="31">
        <f>IF(O162="F",I162,0)</f>
        <v>0</v>
      </c>
      <c r="R162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99">
        <f t="shared" ref="T162:T163" si="126">R162-I162</f>
        <v>0</v>
      </c>
      <c r="U162" s="99"/>
      <c r="W162" s="17" t="s">
        <v>18</v>
      </c>
      <c r="X162" s="26">
        <f>I169</f>
        <v>0</v>
      </c>
      <c r="Y162" s="37"/>
    </row>
    <row r="163" spans="1:32" x14ac:dyDescent="0.3">
      <c r="B163" s="34" t="str">
        <f>TEXT(Tabelle12173030297208314[[#This Row],[Datum]],"tttt")</f>
        <v>Dienstag</v>
      </c>
      <c r="C163" s="54">
        <f>C162+1</f>
        <v>44286</v>
      </c>
      <c r="D163" s="31"/>
      <c r="E163" s="31"/>
      <c r="F163" s="31"/>
      <c r="G163" s="31"/>
      <c r="H163" s="31"/>
      <c r="I163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4" t="str">
        <f>TEXT(Tabelle1217303029720831468[[#This Row],[Datum]],"tttt")</f>
        <v>Dienstag</v>
      </c>
      <c r="L163" s="54">
        <f>L162+1</f>
        <v>44286</v>
      </c>
      <c r="M163" s="31">
        <f t="shared" ref="M163:M168" si="127">IF(O163="F",0,D163)</f>
        <v>0</v>
      </c>
      <c r="N163" s="31">
        <f t="shared" ref="N163:N168" si="128">IF(O163="F",0,E163)</f>
        <v>0</v>
      </c>
      <c r="O163" s="31"/>
      <c r="P163" s="31">
        <f t="shared" ref="P163:P168" si="129">IF(O163="F",0,G163)</f>
        <v>0</v>
      </c>
      <c r="Q163" s="31">
        <f t="shared" ref="Q163:Q168" si="130">IF(O163="F",I163,0)</f>
        <v>0</v>
      </c>
      <c r="R163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99">
        <f t="shared" si="126"/>
        <v>0</v>
      </c>
      <c r="U163" s="99"/>
      <c r="W163" s="17" t="s">
        <v>19</v>
      </c>
      <c r="X163" s="26">
        <f>R169</f>
        <v>0</v>
      </c>
      <c r="Y163" s="37"/>
    </row>
    <row r="164" spans="1:32" x14ac:dyDescent="0.3">
      <c r="B164" s="35" t="str">
        <f>TEXT(Tabelle12173030297208314[[#This Row],[Datum]],"tttt")</f>
        <v>Mittwoch</v>
      </c>
      <c r="C164" s="54">
        <f t="shared" ref="C164:C168" si="131">C163+1</f>
        <v>44287</v>
      </c>
      <c r="D164" s="32"/>
      <c r="E164" s="32"/>
      <c r="F164" s="32"/>
      <c r="G164" s="32"/>
      <c r="H164" s="32"/>
      <c r="I164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5" t="str">
        <f>TEXT(Tabelle1217303029720831468[[#This Row],[Datum]],"tttt")</f>
        <v>Mittwoch</v>
      </c>
      <c r="L164" s="54">
        <f t="shared" ref="L164:L168" si="132">L163+1</f>
        <v>44287</v>
      </c>
      <c r="M164" s="31">
        <f t="shared" si="127"/>
        <v>0</v>
      </c>
      <c r="N164" s="31">
        <f t="shared" si="128"/>
        <v>0</v>
      </c>
      <c r="O164" s="32"/>
      <c r="P164" s="31">
        <f t="shared" si="129"/>
        <v>0</v>
      </c>
      <c r="Q164" s="31">
        <f t="shared" si="130"/>
        <v>0</v>
      </c>
      <c r="R164" s="51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99">
        <f>R164-I164</f>
        <v>0</v>
      </c>
      <c r="U164" s="99"/>
      <c r="W164" s="20" t="s">
        <v>20</v>
      </c>
      <c r="X164" s="27">
        <f>X163-X162</f>
        <v>0</v>
      </c>
      <c r="Y164" s="37"/>
      <c r="Z164" s="64">
        <f>Z154+X164</f>
        <v>0</v>
      </c>
    </row>
    <row r="165" spans="1:32" x14ac:dyDescent="0.3">
      <c r="B165" s="34" t="str">
        <f>TEXT(Tabelle12173030297208314[[#This Row],[Datum]],"tttt")</f>
        <v>Donnerstag</v>
      </c>
      <c r="C165" s="54">
        <f t="shared" si="131"/>
        <v>44288</v>
      </c>
      <c r="D165" s="31"/>
      <c r="E165" s="31"/>
      <c r="F165" s="31"/>
      <c r="G165" s="31"/>
      <c r="H165" s="31"/>
      <c r="I165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4" t="str">
        <f>TEXT(Tabelle1217303029720831468[[#This Row],[Datum]],"tttt")</f>
        <v>Donnerstag</v>
      </c>
      <c r="L165" s="54">
        <f t="shared" si="132"/>
        <v>44288</v>
      </c>
      <c r="M165" s="31">
        <f t="shared" si="127"/>
        <v>0</v>
      </c>
      <c r="N165" s="31">
        <f t="shared" si="128"/>
        <v>0</v>
      </c>
      <c r="O165" s="31"/>
      <c r="P165" s="31">
        <f t="shared" si="129"/>
        <v>0</v>
      </c>
      <c r="Q165" s="31">
        <f t="shared" si="130"/>
        <v>0</v>
      </c>
      <c r="R165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99">
        <f>R165-I165</f>
        <v>0</v>
      </c>
      <c r="U165" s="99"/>
      <c r="Y165" s="37"/>
    </row>
    <row r="166" spans="1:32" x14ac:dyDescent="0.3">
      <c r="B166" s="36" t="str">
        <f>TEXT(Tabelle12173030297208314[[#This Row],[Datum]],"tttt")</f>
        <v>Freitag</v>
      </c>
      <c r="C166" s="54">
        <f t="shared" si="131"/>
        <v>44289</v>
      </c>
      <c r="D166" s="32"/>
      <c r="E166" s="32"/>
      <c r="F166" s="32"/>
      <c r="G166" s="32"/>
      <c r="H166" s="32"/>
      <c r="I166" s="52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6" t="str">
        <f>TEXT(Tabelle1217303029720831468[[#This Row],[Datum]],"tttt")</f>
        <v>Freitag</v>
      </c>
      <c r="L166" s="54">
        <f t="shared" si="132"/>
        <v>44289</v>
      </c>
      <c r="M166" s="31">
        <f t="shared" si="127"/>
        <v>0</v>
      </c>
      <c r="N166" s="31">
        <f t="shared" si="128"/>
        <v>0</v>
      </c>
      <c r="O166" s="32"/>
      <c r="P166" s="31">
        <f t="shared" si="129"/>
        <v>0</v>
      </c>
      <c r="Q166" s="31">
        <f t="shared" si="130"/>
        <v>0</v>
      </c>
      <c r="R166" s="52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99">
        <f>R166-I166</f>
        <v>0</v>
      </c>
      <c r="U166" s="99"/>
      <c r="Y166" s="37"/>
    </row>
    <row r="167" spans="1:32" x14ac:dyDescent="0.3">
      <c r="B167" s="34" t="str">
        <f>TEXT(Tabelle12173030297208314[[#This Row],[Datum]],"tttt")</f>
        <v>Samstag</v>
      </c>
      <c r="C167" s="54">
        <f t="shared" si="131"/>
        <v>44290</v>
      </c>
      <c r="D167" s="31"/>
      <c r="E167" s="31"/>
      <c r="F167" s="31"/>
      <c r="G167" s="31"/>
      <c r="H167" s="31"/>
      <c r="I167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4" t="str">
        <f>TEXT(Tabelle1217303029720831468[[#This Row],[Datum]],"tttt")</f>
        <v>Samstag</v>
      </c>
      <c r="L167" s="54">
        <f t="shared" si="132"/>
        <v>44290</v>
      </c>
      <c r="M167" s="31">
        <f t="shared" si="127"/>
        <v>0</v>
      </c>
      <c r="N167" s="31">
        <f t="shared" si="128"/>
        <v>0</v>
      </c>
      <c r="O167" s="31"/>
      <c r="P167" s="31">
        <f t="shared" si="129"/>
        <v>0</v>
      </c>
      <c r="Q167" s="31">
        <f t="shared" si="130"/>
        <v>0</v>
      </c>
      <c r="R167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99">
        <f t="shared" ref="T167:T168" si="133">R167-I167</f>
        <v>0</v>
      </c>
      <c r="U167" s="99"/>
      <c r="Y167" s="37"/>
    </row>
    <row r="168" spans="1:32" s="40" customFormat="1" x14ac:dyDescent="0.3">
      <c r="B168" s="36" t="str">
        <f>TEXT(Tabelle12173030297208314[[#This Row],[Datum]],"tttt")</f>
        <v>Sonntag</v>
      </c>
      <c r="C168" s="55">
        <f t="shared" si="131"/>
        <v>44291</v>
      </c>
      <c r="D168" s="32"/>
      <c r="E168" s="32"/>
      <c r="F168" s="32"/>
      <c r="G168" s="32"/>
      <c r="H168" s="32"/>
      <c r="I168" s="53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6" t="str">
        <f>TEXT(Tabelle1217303029720831468[[#This Row],[Datum]],"tttt")</f>
        <v>Sonntag</v>
      </c>
      <c r="L168" s="55">
        <f t="shared" si="132"/>
        <v>44291</v>
      </c>
      <c r="M168" s="31">
        <f t="shared" si="127"/>
        <v>0</v>
      </c>
      <c r="N168" s="31">
        <f t="shared" si="128"/>
        <v>0</v>
      </c>
      <c r="O168" s="32"/>
      <c r="P168" s="31">
        <f t="shared" si="129"/>
        <v>0</v>
      </c>
      <c r="Q168" s="31">
        <f t="shared" si="130"/>
        <v>0</v>
      </c>
      <c r="R168" s="53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99">
        <f t="shared" si="133"/>
        <v>0</v>
      </c>
      <c r="U168" s="99"/>
      <c r="V168" s="42"/>
      <c r="W168" s="42"/>
      <c r="X168" s="45"/>
      <c r="Y168" s="37"/>
      <c r="AB168" s="41"/>
      <c r="AD168" s="29"/>
      <c r="AE168" s="29"/>
      <c r="AF168" s="29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7"/>
    </row>
    <row r="170" spans="1:32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100"/>
      <c r="U170" s="100"/>
      <c r="V170" s="37"/>
      <c r="W170" s="37"/>
      <c r="X170" s="39"/>
      <c r="Y170" s="37"/>
    </row>
    <row r="171" spans="1:32" x14ac:dyDescent="0.3">
      <c r="A171" s="44" t="s">
        <v>33</v>
      </c>
      <c r="B171" s="6" t="s">
        <v>2</v>
      </c>
      <c r="C171" s="7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  <c r="I171" s="4" t="s">
        <v>9</v>
      </c>
      <c r="J171" s="44" t="s">
        <v>33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99" t="s">
        <v>11</v>
      </c>
      <c r="U171" s="99"/>
      <c r="W171" s="13" t="s">
        <v>21</v>
      </c>
      <c r="X171" s="15" t="s">
        <v>17</v>
      </c>
      <c r="Y171" s="37"/>
    </row>
    <row r="172" spans="1:32" x14ac:dyDescent="0.3">
      <c r="A172" s="44">
        <f>A162+1</f>
        <v>15</v>
      </c>
      <c r="B172" s="34" t="str">
        <f>TEXT(Tabelle12173030297208415[[#This Row],[Datum]],"tttt")</f>
        <v>Montag</v>
      </c>
      <c r="C172" s="56">
        <f>C168+1</f>
        <v>44292</v>
      </c>
      <c r="D172" s="31"/>
      <c r="E172" s="31"/>
      <c r="F172" s="31"/>
      <c r="G172" s="31"/>
      <c r="H172" s="31"/>
      <c r="I172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4">
        <f>J162+1</f>
        <v>15</v>
      </c>
      <c r="K172" s="34" t="str">
        <f>TEXT(Tabelle1217303029720841569[[#This Row],[Datum]],"tttt")</f>
        <v>Montag</v>
      </c>
      <c r="L172" s="56">
        <f>L168+1</f>
        <v>44292</v>
      </c>
      <c r="M172" s="31">
        <f>IF(O172="F",0,D172)</f>
        <v>0</v>
      </c>
      <c r="N172" s="31">
        <f>IF(O172="F",0,E172)</f>
        <v>0</v>
      </c>
      <c r="O172" s="32"/>
      <c r="P172" s="31">
        <f>IF(O172="F",0,G172)</f>
        <v>0</v>
      </c>
      <c r="Q172" s="31">
        <f>IF(O172="F",I172,0)</f>
        <v>0</v>
      </c>
      <c r="R172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99">
        <f t="shared" ref="T172:T173" si="136">R172-I172</f>
        <v>0</v>
      </c>
      <c r="U172" s="99"/>
      <c r="W172" s="17" t="s">
        <v>18</v>
      </c>
      <c r="X172" s="26">
        <f>I179</f>
        <v>0</v>
      </c>
      <c r="Y172" s="37"/>
    </row>
    <row r="173" spans="1:32" x14ac:dyDescent="0.3">
      <c r="B173" s="34" t="str">
        <f>TEXT(Tabelle12173030297208415[[#This Row],[Datum]],"tttt")</f>
        <v>Dienstag</v>
      </c>
      <c r="C173" s="54">
        <f>C172+1</f>
        <v>44293</v>
      </c>
      <c r="D173" s="31"/>
      <c r="E173" s="31"/>
      <c r="F173" s="31"/>
      <c r="G173" s="31"/>
      <c r="H173" s="31"/>
      <c r="I173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4" t="str">
        <f>TEXT(Tabelle1217303029720841569[[#This Row],[Datum]],"tttt")</f>
        <v>Dienstag</v>
      </c>
      <c r="L173" s="54">
        <f>L172+1</f>
        <v>44293</v>
      </c>
      <c r="M173" s="31">
        <f t="shared" ref="M173:M178" si="137">IF(O173="F",0,D173)</f>
        <v>0</v>
      </c>
      <c r="N173" s="31">
        <f t="shared" ref="N173:N178" si="138">IF(O173="F",0,E173)</f>
        <v>0</v>
      </c>
      <c r="O173" s="31"/>
      <c r="P173" s="31">
        <f t="shared" ref="P173:P178" si="139">IF(O173="F",0,G173)</f>
        <v>0</v>
      </c>
      <c r="Q173" s="31">
        <f t="shared" ref="Q173:Q178" si="140">IF(O173="F",I173,0)</f>
        <v>0</v>
      </c>
      <c r="R173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99">
        <f t="shared" si="136"/>
        <v>0</v>
      </c>
      <c r="U173" s="99"/>
      <c r="W173" s="17" t="s">
        <v>19</v>
      </c>
      <c r="X173" s="26">
        <f>R179</f>
        <v>0</v>
      </c>
      <c r="Y173" s="37"/>
    </row>
    <row r="174" spans="1:32" x14ac:dyDescent="0.3">
      <c r="B174" s="35" t="str">
        <f>TEXT(Tabelle12173030297208415[[#This Row],[Datum]],"tttt")</f>
        <v>Mittwoch</v>
      </c>
      <c r="C174" s="54">
        <f t="shared" ref="C174:C178" si="141">C173+1</f>
        <v>44294</v>
      </c>
      <c r="D174" s="32"/>
      <c r="E174" s="32"/>
      <c r="F174" s="32"/>
      <c r="G174" s="32"/>
      <c r="H174" s="32"/>
      <c r="I174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5" t="str">
        <f>TEXT(Tabelle1217303029720841569[[#This Row],[Datum]],"tttt")</f>
        <v>Mittwoch</v>
      </c>
      <c r="L174" s="54">
        <f t="shared" ref="L174:L178" si="142">L173+1</f>
        <v>44294</v>
      </c>
      <c r="M174" s="31">
        <f t="shared" si="137"/>
        <v>0</v>
      </c>
      <c r="N174" s="31">
        <f t="shared" si="138"/>
        <v>0</v>
      </c>
      <c r="O174" s="32"/>
      <c r="P174" s="31">
        <f t="shared" si="139"/>
        <v>0</v>
      </c>
      <c r="Q174" s="31">
        <f t="shared" si="140"/>
        <v>0</v>
      </c>
      <c r="R174" s="51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99">
        <f>R174-I174</f>
        <v>0</v>
      </c>
      <c r="U174" s="99"/>
      <c r="W174" s="20" t="s">
        <v>20</v>
      </c>
      <c r="X174" s="27">
        <f>X173-X172</f>
        <v>0</v>
      </c>
      <c r="Y174" s="37"/>
      <c r="Z174" s="64">
        <f>Z164+X174</f>
        <v>0</v>
      </c>
    </row>
    <row r="175" spans="1:32" x14ac:dyDescent="0.3">
      <c r="B175" s="34" t="str">
        <f>TEXT(Tabelle12173030297208415[[#This Row],[Datum]],"tttt")</f>
        <v>Donnerstag</v>
      </c>
      <c r="C175" s="54">
        <f t="shared" si="141"/>
        <v>44295</v>
      </c>
      <c r="D175" s="31"/>
      <c r="E175" s="31"/>
      <c r="F175" s="31"/>
      <c r="G175" s="31"/>
      <c r="H175" s="31"/>
      <c r="I175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4" t="str">
        <f>TEXT(Tabelle1217303029720841569[[#This Row],[Datum]],"tttt")</f>
        <v>Donnerstag</v>
      </c>
      <c r="L175" s="54">
        <f t="shared" si="142"/>
        <v>44295</v>
      </c>
      <c r="M175" s="31">
        <f t="shared" si="137"/>
        <v>0</v>
      </c>
      <c r="N175" s="31">
        <f t="shared" si="138"/>
        <v>0</v>
      </c>
      <c r="O175" s="31"/>
      <c r="P175" s="31">
        <f t="shared" si="139"/>
        <v>0</v>
      </c>
      <c r="Q175" s="31">
        <f t="shared" si="140"/>
        <v>0</v>
      </c>
      <c r="R175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99">
        <f>R175-I175</f>
        <v>0</v>
      </c>
      <c r="U175" s="99"/>
      <c r="Y175" s="37"/>
    </row>
    <row r="176" spans="1:32" x14ac:dyDescent="0.3">
      <c r="B176" s="36" t="str">
        <f>TEXT(Tabelle12173030297208415[[#This Row],[Datum]],"tttt")</f>
        <v>Freitag</v>
      </c>
      <c r="C176" s="54">
        <f t="shared" si="141"/>
        <v>44296</v>
      </c>
      <c r="D176" s="32"/>
      <c r="E176" s="32"/>
      <c r="F176" s="32"/>
      <c r="G176" s="32"/>
      <c r="H176" s="32"/>
      <c r="I176" s="52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6" t="str">
        <f>TEXT(Tabelle1217303029720841569[[#This Row],[Datum]],"tttt")</f>
        <v>Freitag</v>
      </c>
      <c r="L176" s="54">
        <f t="shared" si="142"/>
        <v>44296</v>
      </c>
      <c r="M176" s="31">
        <f t="shared" si="137"/>
        <v>0</v>
      </c>
      <c r="N176" s="31">
        <f t="shared" si="138"/>
        <v>0</v>
      </c>
      <c r="O176" s="32"/>
      <c r="P176" s="31">
        <f t="shared" si="139"/>
        <v>0</v>
      </c>
      <c r="Q176" s="31">
        <f t="shared" si="140"/>
        <v>0</v>
      </c>
      <c r="R176" s="52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99">
        <f>R176-I176</f>
        <v>0</v>
      </c>
      <c r="U176" s="99"/>
      <c r="Y176" s="37"/>
    </row>
    <row r="177" spans="1:32" x14ac:dyDescent="0.3">
      <c r="B177" s="34" t="str">
        <f>TEXT(Tabelle12173030297208415[[#This Row],[Datum]],"tttt")</f>
        <v>Samstag</v>
      </c>
      <c r="C177" s="54">
        <f t="shared" si="141"/>
        <v>44297</v>
      </c>
      <c r="D177" s="31"/>
      <c r="E177" s="31"/>
      <c r="F177" s="31"/>
      <c r="G177" s="31"/>
      <c r="H177" s="31"/>
      <c r="I177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4" t="str">
        <f>TEXT(Tabelle1217303029720841569[[#This Row],[Datum]],"tttt")</f>
        <v>Samstag</v>
      </c>
      <c r="L177" s="54">
        <f t="shared" si="142"/>
        <v>44297</v>
      </c>
      <c r="M177" s="31">
        <f t="shared" si="137"/>
        <v>0</v>
      </c>
      <c r="N177" s="31">
        <f t="shared" si="138"/>
        <v>0</v>
      </c>
      <c r="O177" s="31"/>
      <c r="P177" s="31">
        <f t="shared" si="139"/>
        <v>0</v>
      </c>
      <c r="Q177" s="31">
        <f t="shared" si="140"/>
        <v>0</v>
      </c>
      <c r="R177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99">
        <f t="shared" ref="T177:T178" si="143">R177-I177</f>
        <v>0</v>
      </c>
      <c r="U177" s="99"/>
      <c r="Y177" s="37"/>
    </row>
    <row r="178" spans="1:32" s="40" customFormat="1" x14ac:dyDescent="0.3">
      <c r="B178" s="36" t="str">
        <f>TEXT(Tabelle12173030297208415[[#This Row],[Datum]],"tttt")</f>
        <v>Sonntag</v>
      </c>
      <c r="C178" s="55">
        <f t="shared" si="141"/>
        <v>44298</v>
      </c>
      <c r="D178" s="32"/>
      <c r="E178" s="32"/>
      <c r="F178" s="32"/>
      <c r="G178" s="32"/>
      <c r="H178" s="32"/>
      <c r="I178" s="53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6" t="str">
        <f>TEXT(Tabelle1217303029720841569[[#This Row],[Datum]],"tttt")</f>
        <v>Sonntag</v>
      </c>
      <c r="L178" s="55">
        <f t="shared" si="142"/>
        <v>44298</v>
      </c>
      <c r="M178" s="31">
        <f t="shared" si="137"/>
        <v>0</v>
      </c>
      <c r="N178" s="31">
        <f t="shared" si="138"/>
        <v>0</v>
      </c>
      <c r="O178" s="32"/>
      <c r="P178" s="31">
        <f t="shared" si="139"/>
        <v>0</v>
      </c>
      <c r="Q178" s="31">
        <f t="shared" si="140"/>
        <v>0</v>
      </c>
      <c r="R178" s="53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99">
        <f t="shared" si="143"/>
        <v>0</v>
      </c>
      <c r="U178" s="99"/>
      <c r="V178" s="42"/>
      <c r="W178" s="42"/>
      <c r="X178" s="45"/>
      <c r="Y178" s="37"/>
      <c r="AB178" s="41"/>
      <c r="AD178" s="29"/>
      <c r="AE178" s="29"/>
      <c r="AF178" s="29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7"/>
    </row>
    <row r="180" spans="1:32" x14ac:dyDescent="0.3">
      <c r="A180" s="37"/>
      <c r="B180" s="38"/>
      <c r="C180" s="37"/>
      <c r="D180" s="37"/>
      <c r="E180" s="37"/>
      <c r="F180" s="37"/>
      <c r="G180" s="37"/>
      <c r="H180" s="37"/>
      <c r="I180" s="38"/>
      <c r="J180" s="37"/>
      <c r="K180" s="38"/>
      <c r="L180" s="37"/>
      <c r="M180" s="37"/>
      <c r="N180" s="37"/>
      <c r="O180" s="37"/>
      <c r="P180" s="37"/>
      <c r="Q180" s="37"/>
      <c r="R180" s="38"/>
      <c r="S180" s="37"/>
      <c r="T180" s="100"/>
      <c r="U180" s="100"/>
      <c r="V180" s="37"/>
      <c r="W180" s="37"/>
      <c r="X180" s="39"/>
      <c r="Y180" s="37"/>
    </row>
    <row r="181" spans="1:32" x14ac:dyDescent="0.3">
      <c r="A181" s="44" t="s">
        <v>33</v>
      </c>
      <c r="B181" s="6" t="s">
        <v>2</v>
      </c>
      <c r="C181" s="7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4" t="s">
        <v>33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99" t="s">
        <v>11</v>
      </c>
      <c r="U181" s="99"/>
      <c r="W181" s="13" t="s">
        <v>21</v>
      </c>
      <c r="X181" s="15" t="s">
        <v>17</v>
      </c>
      <c r="Y181" s="37"/>
    </row>
    <row r="182" spans="1:32" x14ac:dyDescent="0.3">
      <c r="A182" s="44">
        <f>A172+1</f>
        <v>16</v>
      </c>
      <c r="B182" s="34" t="str">
        <f>TEXT(Tabelle1217303029720816[[#This Row],[Datum]],"tttt")</f>
        <v>Montag</v>
      </c>
      <c r="C182" s="56">
        <f>C178+1</f>
        <v>44299</v>
      </c>
      <c r="D182" s="31"/>
      <c r="E182" s="31"/>
      <c r="F182" s="31"/>
      <c r="G182" s="31"/>
      <c r="H182" s="31"/>
      <c r="I182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4">
        <f>J172+1</f>
        <v>16</v>
      </c>
      <c r="K182" s="34" t="str">
        <f>TEXT(Tabelle121730302972081670[[#This Row],[Datum]],"tttt")</f>
        <v>Montag</v>
      </c>
      <c r="L182" s="56">
        <f>L178+1</f>
        <v>44299</v>
      </c>
      <c r="M182" s="31">
        <f>IF(O182="F",0,D182)</f>
        <v>0</v>
      </c>
      <c r="N182" s="31">
        <f>IF(O182="F",0,E182)</f>
        <v>0</v>
      </c>
      <c r="O182" s="32"/>
      <c r="P182" s="31">
        <f>IF(O182="F",0,G182)</f>
        <v>0</v>
      </c>
      <c r="Q182" s="31">
        <f>IF(O182="F",I182,0)</f>
        <v>0</v>
      </c>
      <c r="R182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99">
        <f t="shared" ref="T182:T183" si="146">R182-I182</f>
        <v>0</v>
      </c>
      <c r="U182" s="99"/>
      <c r="W182" s="17" t="s">
        <v>18</v>
      </c>
      <c r="X182" s="26">
        <f>I189</f>
        <v>0</v>
      </c>
      <c r="Y182" s="37"/>
    </row>
    <row r="183" spans="1:32" x14ac:dyDescent="0.3">
      <c r="B183" s="34" t="str">
        <f>TEXT(Tabelle1217303029720816[[#This Row],[Datum]],"tttt")</f>
        <v>Dienstag</v>
      </c>
      <c r="C183" s="54">
        <f>C182+1</f>
        <v>44300</v>
      </c>
      <c r="D183" s="31"/>
      <c r="E183" s="31"/>
      <c r="F183" s="31"/>
      <c r="G183" s="31"/>
      <c r="H183" s="31"/>
      <c r="I183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4" t="str">
        <f>TEXT(Tabelle121730302972081670[[#This Row],[Datum]],"tttt")</f>
        <v>Dienstag</v>
      </c>
      <c r="L183" s="54">
        <f>L182+1</f>
        <v>44300</v>
      </c>
      <c r="M183" s="31">
        <f t="shared" ref="M183:M188" si="147">IF(O183="F",0,D183)</f>
        <v>0</v>
      </c>
      <c r="N183" s="31">
        <f t="shared" ref="N183:N188" si="148">IF(O183="F",0,E183)</f>
        <v>0</v>
      </c>
      <c r="O183" s="31"/>
      <c r="P183" s="31">
        <f t="shared" ref="P183:P188" si="149">IF(O183="F",0,G183)</f>
        <v>0</v>
      </c>
      <c r="Q183" s="31">
        <f t="shared" ref="Q183:Q188" si="150">IF(O183="F",I183,0)</f>
        <v>0</v>
      </c>
      <c r="R183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99">
        <f t="shared" si="146"/>
        <v>0</v>
      </c>
      <c r="U183" s="99"/>
      <c r="W183" s="17" t="s">
        <v>19</v>
      </c>
      <c r="X183" s="26">
        <f>R189</f>
        <v>0</v>
      </c>
      <c r="Y183" s="37"/>
    </row>
    <row r="184" spans="1:32" x14ac:dyDescent="0.3">
      <c r="B184" s="35" t="str">
        <f>TEXT(Tabelle1217303029720816[[#This Row],[Datum]],"tttt")</f>
        <v>Mittwoch</v>
      </c>
      <c r="C184" s="54">
        <f t="shared" ref="C184:C188" si="151">C183+1</f>
        <v>44301</v>
      </c>
      <c r="D184" s="32"/>
      <c r="E184" s="32"/>
      <c r="F184" s="32"/>
      <c r="G184" s="32"/>
      <c r="H184" s="32"/>
      <c r="I184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5" t="str">
        <f>TEXT(Tabelle121730302972081670[[#This Row],[Datum]],"tttt")</f>
        <v>Mittwoch</v>
      </c>
      <c r="L184" s="54">
        <f t="shared" ref="L184:L188" si="152">L183+1</f>
        <v>44301</v>
      </c>
      <c r="M184" s="31">
        <f t="shared" si="147"/>
        <v>0</v>
      </c>
      <c r="N184" s="31">
        <f t="shared" si="148"/>
        <v>0</v>
      </c>
      <c r="O184" s="32"/>
      <c r="P184" s="31">
        <f t="shared" si="149"/>
        <v>0</v>
      </c>
      <c r="Q184" s="31">
        <f t="shared" si="150"/>
        <v>0</v>
      </c>
      <c r="R184" s="51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99">
        <f>R184-I184</f>
        <v>0</v>
      </c>
      <c r="U184" s="99"/>
      <c r="W184" s="20" t="s">
        <v>20</v>
      </c>
      <c r="X184" s="27">
        <f>X183-X182</f>
        <v>0</v>
      </c>
      <c r="Y184" s="37"/>
      <c r="Z184" s="64">
        <f>Z174+X184</f>
        <v>0</v>
      </c>
    </row>
    <row r="185" spans="1:32" x14ac:dyDescent="0.3">
      <c r="B185" s="34" t="str">
        <f>TEXT(Tabelle1217303029720816[[#This Row],[Datum]],"tttt")</f>
        <v>Donnerstag</v>
      </c>
      <c r="C185" s="54">
        <f t="shared" si="151"/>
        <v>44302</v>
      </c>
      <c r="D185" s="31"/>
      <c r="E185" s="31"/>
      <c r="F185" s="31"/>
      <c r="G185" s="31"/>
      <c r="H185" s="31"/>
      <c r="I185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4" t="str">
        <f>TEXT(Tabelle121730302972081670[[#This Row],[Datum]],"tttt")</f>
        <v>Donnerstag</v>
      </c>
      <c r="L185" s="54">
        <f t="shared" si="152"/>
        <v>44302</v>
      </c>
      <c r="M185" s="31">
        <f t="shared" si="147"/>
        <v>0</v>
      </c>
      <c r="N185" s="31">
        <f t="shared" si="148"/>
        <v>0</v>
      </c>
      <c r="O185" s="31"/>
      <c r="P185" s="31">
        <f t="shared" si="149"/>
        <v>0</v>
      </c>
      <c r="Q185" s="31">
        <f t="shared" si="150"/>
        <v>0</v>
      </c>
      <c r="R185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99">
        <f>R185-I185</f>
        <v>0</v>
      </c>
      <c r="U185" s="99"/>
      <c r="Y185" s="37"/>
    </row>
    <row r="186" spans="1:32" x14ac:dyDescent="0.3">
      <c r="B186" s="36" t="str">
        <f>TEXT(Tabelle1217303029720816[[#This Row],[Datum]],"tttt")</f>
        <v>Freitag</v>
      </c>
      <c r="C186" s="54">
        <f t="shared" si="151"/>
        <v>44303</v>
      </c>
      <c r="D186" s="32"/>
      <c r="E186" s="32"/>
      <c r="F186" s="32"/>
      <c r="G186" s="32"/>
      <c r="H186" s="32"/>
      <c r="I186" s="52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6" t="str">
        <f>TEXT(Tabelle121730302972081670[[#This Row],[Datum]],"tttt")</f>
        <v>Freitag</v>
      </c>
      <c r="L186" s="54">
        <f t="shared" si="152"/>
        <v>44303</v>
      </c>
      <c r="M186" s="31">
        <f t="shared" si="147"/>
        <v>0</v>
      </c>
      <c r="N186" s="31">
        <f t="shared" si="148"/>
        <v>0</v>
      </c>
      <c r="O186" s="32"/>
      <c r="P186" s="31">
        <f t="shared" si="149"/>
        <v>0</v>
      </c>
      <c r="Q186" s="31">
        <f t="shared" si="150"/>
        <v>0</v>
      </c>
      <c r="R186" s="52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99">
        <f>R186-I186</f>
        <v>0</v>
      </c>
      <c r="U186" s="99"/>
      <c r="Y186" s="37"/>
    </row>
    <row r="187" spans="1:32" x14ac:dyDescent="0.3">
      <c r="B187" s="34" t="str">
        <f>TEXT(Tabelle1217303029720816[[#This Row],[Datum]],"tttt")</f>
        <v>Samstag</v>
      </c>
      <c r="C187" s="54">
        <f t="shared" si="151"/>
        <v>44304</v>
      </c>
      <c r="D187" s="31"/>
      <c r="E187" s="31"/>
      <c r="F187" s="31"/>
      <c r="G187" s="31"/>
      <c r="H187" s="31"/>
      <c r="I187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4" t="str">
        <f>TEXT(Tabelle121730302972081670[[#This Row],[Datum]],"tttt")</f>
        <v>Samstag</v>
      </c>
      <c r="L187" s="54">
        <f t="shared" si="152"/>
        <v>44304</v>
      </c>
      <c r="M187" s="31">
        <f t="shared" si="147"/>
        <v>0</v>
      </c>
      <c r="N187" s="31">
        <f t="shared" si="148"/>
        <v>0</v>
      </c>
      <c r="O187" s="31"/>
      <c r="P187" s="31">
        <f t="shared" si="149"/>
        <v>0</v>
      </c>
      <c r="Q187" s="31">
        <f t="shared" si="150"/>
        <v>0</v>
      </c>
      <c r="R187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99">
        <f t="shared" ref="T187:T188" si="153">R187-I187</f>
        <v>0</v>
      </c>
      <c r="U187" s="99"/>
      <c r="Y187" s="37"/>
    </row>
    <row r="188" spans="1:32" s="40" customFormat="1" x14ac:dyDescent="0.3">
      <c r="B188" s="36" t="str">
        <f>TEXT(Tabelle1217303029720816[[#This Row],[Datum]],"tttt")</f>
        <v>Sonntag</v>
      </c>
      <c r="C188" s="55">
        <f t="shared" si="151"/>
        <v>44305</v>
      </c>
      <c r="D188" s="32"/>
      <c r="E188" s="32"/>
      <c r="F188" s="32"/>
      <c r="G188" s="32"/>
      <c r="H188" s="32"/>
      <c r="I188" s="53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6" t="str">
        <f>TEXT(Tabelle121730302972081670[[#This Row],[Datum]],"tttt")</f>
        <v>Sonntag</v>
      </c>
      <c r="L188" s="55">
        <f t="shared" si="152"/>
        <v>44305</v>
      </c>
      <c r="M188" s="31">
        <f t="shared" si="147"/>
        <v>0</v>
      </c>
      <c r="N188" s="31">
        <f t="shared" si="148"/>
        <v>0</v>
      </c>
      <c r="O188" s="32"/>
      <c r="P188" s="31">
        <f t="shared" si="149"/>
        <v>0</v>
      </c>
      <c r="Q188" s="31">
        <f t="shared" si="150"/>
        <v>0</v>
      </c>
      <c r="R188" s="53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99">
        <f t="shared" si="153"/>
        <v>0</v>
      </c>
      <c r="U188" s="99"/>
      <c r="V188" s="42"/>
      <c r="W188" s="42"/>
      <c r="X188" s="45"/>
      <c r="Y188" s="37"/>
      <c r="AB188" s="41"/>
      <c r="AD188" s="29"/>
      <c r="AE188" s="29"/>
      <c r="AF188" s="29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7"/>
    </row>
    <row r="190" spans="1:32" x14ac:dyDescent="0.3">
      <c r="A190" s="37"/>
      <c r="B190" s="38"/>
      <c r="C190" s="37"/>
      <c r="D190" s="37"/>
      <c r="E190" s="37"/>
      <c r="F190" s="37"/>
      <c r="G190" s="37"/>
      <c r="H190" s="37"/>
      <c r="I190" s="38"/>
      <c r="J190" s="37"/>
      <c r="K190" s="38"/>
      <c r="L190" s="37"/>
      <c r="M190" s="37"/>
      <c r="N190" s="37"/>
      <c r="O190" s="37"/>
      <c r="P190" s="37"/>
      <c r="Q190" s="37"/>
      <c r="R190" s="38"/>
      <c r="S190" s="37"/>
      <c r="T190" s="100"/>
      <c r="U190" s="100"/>
      <c r="V190" s="37"/>
      <c r="W190" s="37"/>
      <c r="X190" s="39"/>
      <c r="Y190" s="37"/>
    </row>
    <row r="191" spans="1:32" x14ac:dyDescent="0.3">
      <c r="A191" s="44" t="s">
        <v>33</v>
      </c>
      <c r="B191" s="6" t="s">
        <v>2</v>
      </c>
      <c r="C191" s="7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  <c r="J191" s="44" t="s">
        <v>33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99" t="s">
        <v>11</v>
      </c>
      <c r="U191" s="99"/>
      <c r="W191" s="13" t="s">
        <v>21</v>
      </c>
      <c r="X191" s="15" t="s">
        <v>17</v>
      </c>
      <c r="Y191" s="37"/>
    </row>
    <row r="192" spans="1:32" x14ac:dyDescent="0.3">
      <c r="A192" s="44">
        <f>A182+1</f>
        <v>17</v>
      </c>
      <c r="B192" s="34" t="str">
        <f>TEXT(Tabelle12173030297208317[[#This Row],[Datum]],"tttt")</f>
        <v>Montag</v>
      </c>
      <c r="C192" s="56">
        <f>C188+1</f>
        <v>44306</v>
      </c>
      <c r="D192" s="31"/>
      <c r="E192" s="31"/>
      <c r="F192" s="31"/>
      <c r="G192" s="31"/>
      <c r="H192" s="31"/>
      <c r="I192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4">
        <f>J182+1</f>
        <v>17</v>
      </c>
      <c r="K192" s="34" t="str">
        <f>TEXT(Tabelle1217303029720831771[[#This Row],[Datum]],"tttt")</f>
        <v>Montag</v>
      </c>
      <c r="L192" s="56">
        <f>L188+1</f>
        <v>44306</v>
      </c>
      <c r="M192" s="31">
        <f>IF(O192="F",0,D192)</f>
        <v>0</v>
      </c>
      <c r="N192" s="31">
        <f>IF(O192="F",0,E192)</f>
        <v>0</v>
      </c>
      <c r="O192" s="32"/>
      <c r="P192" s="31">
        <f>IF(O192="F",0,G192)</f>
        <v>0</v>
      </c>
      <c r="Q192" s="31">
        <f>IF(O192="F",I192,0)</f>
        <v>0</v>
      </c>
      <c r="R192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99">
        <f t="shared" ref="T192:T193" si="156">R192-I192</f>
        <v>0</v>
      </c>
      <c r="U192" s="99"/>
      <c r="W192" s="17" t="s">
        <v>18</v>
      </c>
      <c r="X192" s="26">
        <f>I199</f>
        <v>0</v>
      </c>
      <c r="Y192" s="37"/>
    </row>
    <row r="193" spans="1:32" x14ac:dyDescent="0.3">
      <c r="B193" s="34" t="str">
        <f>TEXT(Tabelle12173030297208317[[#This Row],[Datum]],"tttt")</f>
        <v>Dienstag</v>
      </c>
      <c r="C193" s="54">
        <f>C192+1</f>
        <v>44307</v>
      </c>
      <c r="D193" s="31"/>
      <c r="E193" s="31"/>
      <c r="F193" s="31"/>
      <c r="G193" s="31"/>
      <c r="H193" s="31"/>
      <c r="I193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4" t="str">
        <f>TEXT(Tabelle1217303029720831771[[#This Row],[Datum]],"tttt")</f>
        <v>Dienstag</v>
      </c>
      <c r="L193" s="54">
        <f>L192+1</f>
        <v>44307</v>
      </c>
      <c r="M193" s="31">
        <f t="shared" ref="M193:M198" si="157">IF(O193="F",0,D193)</f>
        <v>0</v>
      </c>
      <c r="N193" s="31">
        <f t="shared" ref="N193:N198" si="158">IF(O193="F",0,E193)</f>
        <v>0</v>
      </c>
      <c r="O193" s="31"/>
      <c r="P193" s="31">
        <f t="shared" ref="P193:P198" si="159">IF(O193="F",0,G193)</f>
        <v>0</v>
      </c>
      <c r="Q193" s="31">
        <f t="shared" ref="Q193:Q198" si="160">IF(O193="F",I193,0)</f>
        <v>0</v>
      </c>
      <c r="R193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99">
        <f t="shared" si="156"/>
        <v>0</v>
      </c>
      <c r="U193" s="99"/>
      <c r="W193" s="17" t="s">
        <v>19</v>
      </c>
      <c r="X193" s="26">
        <f>R199</f>
        <v>0</v>
      </c>
      <c r="Y193" s="37"/>
    </row>
    <row r="194" spans="1:32" x14ac:dyDescent="0.3">
      <c r="B194" s="35" t="str">
        <f>TEXT(Tabelle12173030297208317[[#This Row],[Datum]],"tttt")</f>
        <v>Mittwoch</v>
      </c>
      <c r="C194" s="54">
        <f t="shared" ref="C194:C198" si="161">C193+1</f>
        <v>44308</v>
      </c>
      <c r="D194" s="32"/>
      <c r="E194" s="32"/>
      <c r="F194" s="32"/>
      <c r="G194" s="32"/>
      <c r="H194" s="32"/>
      <c r="I194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5" t="str">
        <f>TEXT(Tabelle1217303029720831771[[#This Row],[Datum]],"tttt")</f>
        <v>Mittwoch</v>
      </c>
      <c r="L194" s="54">
        <f t="shared" ref="L194:L198" si="162">L193+1</f>
        <v>44308</v>
      </c>
      <c r="M194" s="31">
        <f t="shared" si="157"/>
        <v>0</v>
      </c>
      <c r="N194" s="31">
        <f t="shared" si="158"/>
        <v>0</v>
      </c>
      <c r="O194" s="32"/>
      <c r="P194" s="31">
        <f t="shared" si="159"/>
        <v>0</v>
      </c>
      <c r="Q194" s="31">
        <f t="shared" si="160"/>
        <v>0</v>
      </c>
      <c r="R194" s="51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99">
        <f>R194-I194</f>
        <v>0</v>
      </c>
      <c r="U194" s="99"/>
      <c r="W194" s="20" t="s">
        <v>20</v>
      </c>
      <c r="X194" s="27">
        <f>X193-X192</f>
        <v>0</v>
      </c>
      <c r="Y194" s="37"/>
      <c r="Z194" s="64">
        <f>Z184+X194</f>
        <v>0</v>
      </c>
    </row>
    <row r="195" spans="1:32" x14ac:dyDescent="0.3">
      <c r="B195" s="34" t="str">
        <f>TEXT(Tabelle12173030297208317[[#This Row],[Datum]],"tttt")</f>
        <v>Donnerstag</v>
      </c>
      <c r="C195" s="54">
        <f t="shared" si="161"/>
        <v>44309</v>
      </c>
      <c r="D195" s="31"/>
      <c r="E195" s="31"/>
      <c r="F195" s="31"/>
      <c r="G195" s="31"/>
      <c r="H195" s="31"/>
      <c r="I195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4" t="str">
        <f>TEXT(Tabelle1217303029720831771[[#This Row],[Datum]],"tttt")</f>
        <v>Donnerstag</v>
      </c>
      <c r="L195" s="54">
        <f t="shared" si="162"/>
        <v>44309</v>
      </c>
      <c r="M195" s="31">
        <f t="shared" si="157"/>
        <v>0</v>
      </c>
      <c r="N195" s="31">
        <f t="shared" si="158"/>
        <v>0</v>
      </c>
      <c r="O195" s="31"/>
      <c r="P195" s="31">
        <f t="shared" si="159"/>
        <v>0</v>
      </c>
      <c r="Q195" s="31">
        <f t="shared" si="160"/>
        <v>0</v>
      </c>
      <c r="R195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99">
        <f>R195-I195</f>
        <v>0</v>
      </c>
      <c r="U195" s="99"/>
      <c r="Y195" s="37"/>
    </row>
    <row r="196" spans="1:32" x14ac:dyDescent="0.3">
      <c r="B196" s="36" t="str">
        <f>TEXT(Tabelle12173030297208317[[#This Row],[Datum]],"tttt")</f>
        <v>Freitag</v>
      </c>
      <c r="C196" s="54">
        <f t="shared" si="161"/>
        <v>44310</v>
      </c>
      <c r="D196" s="32"/>
      <c r="E196" s="32"/>
      <c r="F196" s="32"/>
      <c r="G196" s="32"/>
      <c r="H196" s="32"/>
      <c r="I196" s="52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6" t="str">
        <f>TEXT(Tabelle1217303029720831771[[#This Row],[Datum]],"tttt")</f>
        <v>Freitag</v>
      </c>
      <c r="L196" s="54">
        <f t="shared" si="162"/>
        <v>44310</v>
      </c>
      <c r="M196" s="31">
        <f t="shared" si="157"/>
        <v>0</v>
      </c>
      <c r="N196" s="31">
        <f t="shared" si="158"/>
        <v>0</v>
      </c>
      <c r="O196" s="32"/>
      <c r="P196" s="31">
        <f t="shared" si="159"/>
        <v>0</v>
      </c>
      <c r="Q196" s="31">
        <f t="shared" si="160"/>
        <v>0</v>
      </c>
      <c r="R196" s="52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99">
        <f>R196-I196</f>
        <v>0</v>
      </c>
      <c r="U196" s="99"/>
      <c r="Y196" s="37"/>
    </row>
    <row r="197" spans="1:32" x14ac:dyDescent="0.3">
      <c r="B197" s="34" t="str">
        <f>TEXT(Tabelle12173030297208317[[#This Row],[Datum]],"tttt")</f>
        <v>Samstag</v>
      </c>
      <c r="C197" s="54">
        <f t="shared" si="161"/>
        <v>44311</v>
      </c>
      <c r="D197" s="31"/>
      <c r="E197" s="31"/>
      <c r="F197" s="31"/>
      <c r="G197" s="31"/>
      <c r="H197" s="31"/>
      <c r="I197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4" t="str">
        <f>TEXT(Tabelle1217303029720831771[[#This Row],[Datum]],"tttt")</f>
        <v>Samstag</v>
      </c>
      <c r="L197" s="54">
        <f t="shared" si="162"/>
        <v>44311</v>
      </c>
      <c r="M197" s="31">
        <f t="shared" si="157"/>
        <v>0</v>
      </c>
      <c r="N197" s="31">
        <f t="shared" si="158"/>
        <v>0</v>
      </c>
      <c r="O197" s="31"/>
      <c r="P197" s="31">
        <f t="shared" si="159"/>
        <v>0</v>
      </c>
      <c r="Q197" s="31">
        <f t="shared" si="160"/>
        <v>0</v>
      </c>
      <c r="R197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99">
        <f t="shared" ref="T197:T198" si="163">R197-I197</f>
        <v>0</v>
      </c>
      <c r="U197" s="99"/>
      <c r="Y197" s="37"/>
    </row>
    <row r="198" spans="1:32" s="40" customFormat="1" x14ac:dyDescent="0.3">
      <c r="B198" s="36" t="str">
        <f>TEXT(Tabelle12173030297208317[[#This Row],[Datum]],"tttt")</f>
        <v>Sonntag</v>
      </c>
      <c r="C198" s="55">
        <f t="shared" si="161"/>
        <v>44312</v>
      </c>
      <c r="D198" s="32"/>
      <c r="E198" s="32"/>
      <c r="F198" s="32"/>
      <c r="G198" s="32"/>
      <c r="H198" s="32"/>
      <c r="I198" s="53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6" t="str">
        <f>TEXT(Tabelle1217303029720831771[[#This Row],[Datum]],"tttt")</f>
        <v>Sonntag</v>
      </c>
      <c r="L198" s="55">
        <f t="shared" si="162"/>
        <v>44312</v>
      </c>
      <c r="M198" s="31">
        <f t="shared" si="157"/>
        <v>0</v>
      </c>
      <c r="N198" s="31">
        <f t="shared" si="158"/>
        <v>0</v>
      </c>
      <c r="O198" s="32"/>
      <c r="P198" s="31">
        <f t="shared" si="159"/>
        <v>0</v>
      </c>
      <c r="Q198" s="31">
        <f t="shared" si="160"/>
        <v>0</v>
      </c>
      <c r="R198" s="53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99">
        <f t="shared" si="163"/>
        <v>0</v>
      </c>
      <c r="U198" s="99"/>
      <c r="V198" s="42"/>
      <c r="W198" s="42"/>
      <c r="X198" s="45"/>
      <c r="Y198" s="37"/>
      <c r="AB198" s="41"/>
      <c r="AD198" s="29"/>
      <c r="AE198" s="29"/>
      <c r="AF198" s="29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7"/>
    </row>
    <row r="200" spans="1:32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100"/>
      <c r="U200" s="100"/>
      <c r="V200" s="37"/>
      <c r="W200" s="37"/>
      <c r="X200" s="39"/>
      <c r="Y200" s="37"/>
    </row>
    <row r="201" spans="1:32" x14ac:dyDescent="0.3">
      <c r="A201" s="44" t="s">
        <v>33</v>
      </c>
      <c r="B201" s="6" t="s">
        <v>2</v>
      </c>
      <c r="C201" s="7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4" t="s">
        <v>9</v>
      </c>
      <c r="J201" s="44" t="s">
        <v>33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99" t="s">
        <v>11</v>
      </c>
      <c r="U201" s="99"/>
      <c r="W201" s="13" t="s">
        <v>21</v>
      </c>
      <c r="X201" s="15" t="s">
        <v>17</v>
      </c>
      <c r="Y201" s="37"/>
    </row>
    <row r="202" spans="1:32" x14ac:dyDescent="0.3">
      <c r="A202" s="44">
        <f>A192+1</f>
        <v>18</v>
      </c>
      <c r="B202" s="34" t="str">
        <f>TEXT(Tabelle12173030297208418[[#This Row],[Datum]],"tttt")</f>
        <v>Montag</v>
      </c>
      <c r="C202" s="56">
        <f>C198+1</f>
        <v>44313</v>
      </c>
      <c r="D202" s="31"/>
      <c r="E202" s="31"/>
      <c r="F202" s="31"/>
      <c r="G202" s="31"/>
      <c r="H202" s="31"/>
      <c r="I202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4">
        <f>J192+1</f>
        <v>18</v>
      </c>
      <c r="K202" s="34" t="str">
        <f>TEXT(Tabelle1217303029720841872[[#This Row],[Datum]],"tttt")</f>
        <v>Montag</v>
      </c>
      <c r="L202" s="56">
        <f>L198+1</f>
        <v>44313</v>
      </c>
      <c r="M202" s="31">
        <f>IF(O202="F",0,D202)</f>
        <v>0</v>
      </c>
      <c r="N202" s="31">
        <f>IF(O202="F",0,E202)</f>
        <v>0</v>
      </c>
      <c r="O202" s="32"/>
      <c r="P202" s="31">
        <f>IF(O202="F",0,G202)</f>
        <v>0</v>
      </c>
      <c r="Q202" s="31">
        <f>IF(O202="F",I202,0)</f>
        <v>0</v>
      </c>
      <c r="R202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99">
        <f t="shared" ref="T202:T203" si="166">R202-I202</f>
        <v>0</v>
      </c>
      <c r="U202" s="99"/>
      <c r="W202" s="17" t="s">
        <v>18</v>
      </c>
      <c r="X202" s="26">
        <f>I209</f>
        <v>0</v>
      </c>
      <c r="Y202" s="37"/>
    </row>
    <row r="203" spans="1:32" x14ac:dyDescent="0.3">
      <c r="B203" s="34" t="str">
        <f>TEXT(Tabelle12173030297208418[[#This Row],[Datum]],"tttt")</f>
        <v>Dienstag</v>
      </c>
      <c r="C203" s="54">
        <f>C202+1</f>
        <v>44314</v>
      </c>
      <c r="D203" s="31"/>
      <c r="E203" s="31"/>
      <c r="F203" s="31"/>
      <c r="G203" s="31"/>
      <c r="H203" s="31"/>
      <c r="I203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4" t="str">
        <f>TEXT(Tabelle1217303029720841872[[#This Row],[Datum]],"tttt")</f>
        <v>Dienstag</v>
      </c>
      <c r="L203" s="54">
        <f>L202+1</f>
        <v>44314</v>
      </c>
      <c r="M203" s="31">
        <f t="shared" ref="M203:M208" si="167">IF(O203="F",0,D203)</f>
        <v>0</v>
      </c>
      <c r="N203" s="31">
        <f t="shared" ref="N203:N208" si="168">IF(O203="F",0,E203)</f>
        <v>0</v>
      </c>
      <c r="O203" s="31"/>
      <c r="P203" s="31">
        <f t="shared" ref="P203:P208" si="169">IF(O203="F",0,G203)</f>
        <v>0</v>
      </c>
      <c r="Q203" s="31">
        <f t="shared" ref="Q203:Q208" si="170">IF(O203="F",I203,0)</f>
        <v>0</v>
      </c>
      <c r="R203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99">
        <f t="shared" si="166"/>
        <v>0</v>
      </c>
      <c r="U203" s="99"/>
      <c r="W203" s="17" t="s">
        <v>19</v>
      </c>
      <c r="X203" s="26">
        <f>R209</f>
        <v>0</v>
      </c>
      <c r="Y203" s="37"/>
    </row>
    <row r="204" spans="1:32" x14ac:dyDescent="0.3">
      <c r="B204" s="35" t="str">
        <f>TEXT(Tabelle12173030297208418[[#This Row],[Datum]],"tttt")</f>
        <v>Mittwoch</v>
      </c>
      <c r="C204" s="54">
        <f t="shared" ref="C204:C208" si="171">C203+1</f>
        <v>44315</v>
      </c>
      <c r="D204" s="32"/>
      <c r="E204" s="32"/>
      <c r="F204" s="32"/>
      <c r="G204" s="32"/>
      <c r="H204" s="32"/>
      <c r="I204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5" t="str">
        <f>TEXT(Tabelle1217303029720841872[[#This Row],[Datum]],"tttt")</f>
        <v>Mittwoch</v>
      </c>
      <c r="L204" s="54">
        <f t="shared" ref="L204:L208" si="172">L203+1</f>
        <v>44315</v>
      </c>
      <c r="M204" s="31">
        <f t="shared" si="167"/>
        <v>0</v>
      </c>
      <c r="N204" s="31">
        <f t="shared" si="168"/>
        <v>0</v>
      </c>
      <c r="O204" s="32"/>
      <c r="P204" s="31">
        <f t="shared" si="169"/>
        <v>0</v>
      </c>
      <c r="Q204" s="31">
        <f t="shared" si="170"/>
        <v>0</v>
      </c>
      <c r="R204" s="51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99">
        <f>R204-I204</f>
        <v>0</v>
      </c>
      <c r="U204" s="99"/>
      <c r="W204" s="20" t="s">
        <v>20</v>
      </c>
      <c r="X204" s="27">
        <f>X203-X202</f>
        <v>0</v>
      </c>
      <c r="Y204" s="37"/>
      <c r="Z204" s="64">
        <f>Z194+X204</f>
        <v>0</v>
      </c>
    </row>
    <row r="205" spans="1:32" x14ac:dyDescent="0.3">
      <c r="B205" s="34" t="str">
        <f>TEXT(Tabelle12173030297208418[[#This Row],[Datum]],"tttt")</f>
        <v>Donnerstag</v>
      </c>
      <c r="C205" s="54">
        <f t="shared" si="171"/>
        <v>44316</v>
      </c>
      <c r="D205" s="31"/>
      <c r="E205" s="31"/>
      <c r="F205" s="31"/>
      <c r="G205" s="31"/>
      <c r="H205" s="31"/>
      <c r="I205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4" t="str">
        <f>TEXT(Tabelle1217303029720841872[[#This Row],[Datum]],"tttt")</f>
        <v>Donnerstag</v>
      </c>
      <c r="L205" s="54">
        <f t="shared" si="172"/>
        <v>44316</v>
      </c>
      <c r="M205" s="31">
        <f t="shared" si="167"/>
        <v>0</v>
      </c>
      <c r="N205" s="31">
        <f t="shared" si="168"/>
        <v>0</v>
      </c>
      <c r="O205" s="31"/>
      <c r="P205" s="31">
        <f t="shared" si="169"/>
        <v>0</v>
      </c>
      <c r="Q205" s="31">
        <f t="shared" si="170"/>
        <v>0</v>
      </c>
      <c r="R205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99">
        <f>R205-I205</f>
        <v>0</v>
      </c>
      <c r="U205" s="99"/>
      <c r="Y205" s="37"/>
    </row>
    <row r="206" spans="1:32" x14ac:dyDescent="0.3">
      <c r="B206" s="36" t="str">
        <f>TEXT(Tabelle12173030297208418[[#This Row],[Datum]],"tttt")</f>
        <v>Freitag</v>
      </c>
      <c r="C206" s="54">
        <f t="shared" si="171"/>
        <v>44317</v>
      </c>
      <c r="D206" s="32"/>
      <c r="E206" s="32"/>
      <c r="F206" s="32"/>
      <c r="G206" s="32"/>
      <c r="H206" s="32"/>
      <c r="I206" s="52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6" t="str">
        <f>TEXT(Tabelle1217303029720841872[[#This Row],[Datum]],"tttt")</f>
        <v>Freitag</v>
      </c>
      <c r="L206" s="54">
        <f t="shared" si="172"/>
        <v>44317</v>
      </c>
      <c r="M206" s="31">
        <f t="shared" si="167"/>
        <v>0</v>
      </c>
      <c r="N206" s="31">
        <f t="shared" si="168"/>
        <v>0</v>
      </c>
      <c r="O206" s="32"/>
      <c r="P206" s="31">
        <f t="shared" si="169"/>
        <v>0</v>
      </c>
      <c r="Q206" s="31">
        <f t="shared" si="170"/>
        <v>0</v>
      </c>
      <c r="R206" s="52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99">
        <f>R206-I206</f>
        <v>0</v>
      </c>
      <c r="U206" s="99"/>
      <c r="Y206" s="37"/>
    </row>
    <row r="207" spans="1:32" x14ac:dyDescent="0.3">
      <c r="B207" s="34" t="str">
        <f>TEXT(Tabelle12173030297208418[[#This Row],[Datum]],"tttt")</f>
        <v>Samstag</v>
      </c>
      <c r="C207" s="54">
        <f t="shared" si="171"/>
        <v>44318</v>
      </c>
      <c r="D207" s="31"/>
      <c r="E207" s="31"/>
      <c r="F207" s="31"/>
      <c r="G207" s="31"/>
      <c r="H207" s="31"/>
      <c r="I207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4" t="str">
        <f>TEXT(Tabelle1217303029720841872[[#This Row],[Datum]],"tttt")</f>
        <v>Samstag</v>
      </c>
      <c r="L207" s="54">
        <f t="shared" si="172"/>
        <v>44318</v>
      </c>
      <c r="M207" s="31">
        <f t="shared" si="167"/>
        <v>0</v>
      </c>
      <c r="N207" s="31">
        <f t="shared" si="168"/>
        <v>0</v>
      </c>
      <c r="O207" s="31"/>
      <c r="P207" s="31">
        <f t="shared" si="169"/>
        <v>0</v>
      </c>
      <c r="Q207" s="31">
        <f t="shared" si="170"/>
        <v>0</v>
      </c>
      <c r="R207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99">
        <f t="shared" ref="T207:T208" si="173">R207-I207</f>
        <v>0</v>
      </c>
      <c r="U207" s="99"/>
      <c r="Y207" s="37"/>
    </row>
    <row r="208" spans="1:32" s="40" customFormat="1" x14ac:dyDescent="0.3">
      <c r="B208" s="36" t="str">
        <f>TEXT(Tabelle12173030297208418[[#This Row],[Datum]],"tttt")</f>
        <v>Sonntag</v>
      </c>
      <c r="C208" s="55">
        <f t="shared" si="171"/>
        <v>44319</v>
      </c>
      <c r="D208" s="32"/>
      <c r="E208" s="32"/>
      <c r="F208" s="32"/>
      <c r="G208" s="32"/>
      <c r="H208" s="32"/>
      <c r="I208" s="53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6" t="str">
        <f>TEXT(Tabelle1217303029720841872[[#This Row],[Datum]],"tttt")</f>
        <v>Sonntag</v>
      </c>
      <c r="L208" s="55">
        <f t="shared" si="172"/>
        <v>44319</v>
      </c>
      <c r="M208" s="31">
        <f t="shared" si="167"/>
        <v>0</v>
      </c>
      <c r="N208" s="31">
        <f t="shared" si="168"/>
        <v>0</v>
      </c>
      <c r="O208" s="32"/>
      <c r="P208" s="31">
        <f t="shared" si="169"/>
        <v>0</v>
      </c>
      <c r="Q208" s="31">
        <f t="shared" si="170"/>
        <v>0</v>
      </c>
      <c r="R208" s="53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99">
        <f t="shared" si="173"/>
        <v>0</v>
      </c>
      <c r="U208" s="99"/>
      <c r="V208" s="42"/>
      <c r="W208" s="42"/>
      <c r="X208" s="45"/>
      <c r="Y208" s="37"/>
      <c r="AB208" s="41"/>
      <c r="AD208" s="29"/>
      <c r="AE208" s="29"/>
      <c r="AF208" s="29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7"/>
    </row>
    <row r="210" spans="1:32" x14ac:dyDescent="0.3">
      <c r="A210" s="37"/>
      <c r="B210" s="38"/>
      <c r="C210" s="37"/>
      <c r="D210" s="37"/>
      <c r="E210" s="37"/>
      <c r="F210" s="37"/>
      <c r="G210" s="37"/>
      <c r="H210" s="37"/>
      <c r="I210" s="38"/>
      <c r="J210" s="37"/>
      <c r="K210" s="38"/>
      <c r="L210" s="37"/>
      <c r="M210" s="37"/>
      <c r="N210" s="37"/>
      <c r="O210" s="37"/>
      <c r="P210" s="37"/>
      <c r="Q210" s="37"/>
      <c r="R210" s="38"/>
      <c r="S210" s="37"/>
      <c r="T210" s="100"/>
      <c r="U210" s="100"/>
      <c r="V210" s="37"/>
      <c r="W210" s="37"/>
      <c r="X210" s="39"/>
      <c r="Y210" s="37"/>
    </row>
    <row r="211" spans="1:32" x14ac:dyDescent="0.3">
      <c r="A211" s="44" t="s">
        <v>33</v>
      </c>
      <c r="B211" s="6" t="s">
        <v>2</v>
      </c>
      <c r="C211" s="7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  <c r="J211" s="44" t="s">
        <v>33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99" t="s">
        <v>11</v>
      </c>
      <c r="U211" s="99"/>
      <c r="W211" s="13" t="s">
        <v>21</v>
      </c>
      <c r="X211" s="15" t="s">
        <v>17</v>
      </c>
      <c r="Y211" s="37"/>
    </row>
    <row r="212" spans="1:32" x14ac:dyDescent="0.3">
      <c r="A212" s="44">
        <f>A202+1</f>
        <v>19</v>
      </c>
      <c r="B212" s="34" t="str">
        <f>TEXT(Tabelle1217303029720819[[#This Row],[Datum]],"tttt")</f>
        <v>Montag</v>
      </c>
      <c r="C212" s="56">
        <f>C208+1</f>
        <v>44320</v>
      </c>
      <c r="D212" s="31"/>
      <c r="E212" s="31"/>
      <c r="F212" s="31"/>
      <c r="G212" s="31"/>
      <c r="H212" s="31"/>
      <c r="I212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4">
        <f>J202+1</f>
        <v>19</v>
      </c>
      <c r="K212" s="34" t="str">
        <f>TEXT(Tabelle121730302972081973[[#This Row],[Datum]],"tttt")</f>
        <v>Montag</v>
      </c>
      <c r="L212" s="56">
        <f>L208+1</f>
        <v>44320</v>
      </c>
      <c r="M212" s="31">
        <f>IF(O212="F",0,D212)</f>
        <v>0</v>
      </c>
      <c r="N212" s="31">
        <f>IF(O212="F",0,E212)</f>
        <v>0</v>
      </c>
      <c r="O212" s="32"/>
      <c r="P212" s="31">
        <f>IF(O212="F",0,G212)</f>
        <v>0</v>
      </c>
      <c r="Q212" s="31">
        <f>IF(O212="F",I212,0)</f>
        <v>0</v>
      </c>
      <c r="R212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99">
        <f t="shared" ref="T212:T213" si="176">R212-I212</f>
        <v>0</v>
      </c>
      <c r="U212" s="99"/>
      <c r="W212" s="17" t="s">
        <v>18</v>
      </c>
      <c r="X212" s="26">
        <f>I219</f>
        <v>0</v>
      </c>
      <c r="Y212" s="37"/>
    </row>
    <row r="213" spans="1:32" x14ac:dyDescent="0.3">
      <c r="B213" s="34" t="str">
        <f>TEXT(Tabelle1217303029720819[[#This Row],[Datum]],"tttt")</f>
        <v>Dienstag</v>
      </c>
      <c r="C213" s="54">
        <f>C212+1</f>
        <v>44321</v>
      </c>
      <c r="D213" s="31"/>
      <c r="E213" s="31"/>
      <c r="F213" s="31"/>
      <c r="G213" s="31"/>
      <c r="H213" s="31"/>
      <c r="I213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4" t="str">
        <f>TEXT(Tabelle121730302972081973[[#This Row],[Datum]],"tttt")</f>
        <v>Dienstag</v>
      </c>
      <c r="L213" s="54">
        <f>L212+1</f>
        <v>44321</v>
      </c>
      <c r="M213" s="31">
        <f t="shared" ref="M213:M218" si="177">IF(O213="F",0,D213)</f>
        <v>0</v>
      </c>
      <c r="N213" s="31">
        <f t="shared" ref="N213:N218" si="178">IF(O213="F",0,E213)</f>
        <v>0</v>
      </c>
      <c r="O213" s="31"/>
      <c r="P213" s="31">
        <f t="shared" ref="P213:P218" si="179">IF(O213="F",0,G213)</f>
        <v>0</v>
      </c>
      <c r="Q213" s="31">
        <f t="shared" ref="Q213:Q218" si="180">IF(O213="F",I213,0)</f>
        <v>0</v>
      </c>
      <c r="R213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99">
        <f t="shared" si="176"/>
        <v>0</v>
      </c>
      <c r="U213" s="99"/>
      <c r="W213" s="17" t="s">
        <v>19</v>
      </c>
      <c r="X213" s="26">
        <f>R219</f>
        <v>0</v>
      </c>
      <c r="Y213" s="37"/>
    </row>
    <row r="214" spans="1:32" x14ac:dyDescent="0.3">
      <c r="B214" s="35" t="str">
        <f>TEXT(Tabelle1217303029720819[[#This Row],[Datum]],"tttt")</f>
        <v>Mittwoch</v>
      </c>
      <c r="C214" s="54">
        <f t="shared" ref="C214:C218" si="181">C213+1</f>
        <v>44322</v>
      </c>
      <c r="D214" s="32"/>
      <c r="E214" s="32"/>
      <c r="F214" s="32"/>
      <c r="G214" s="32"/>
      <c r="H214" s="32"/>
      <c r="I214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5" t="str">
        <f>TEXT(Tabelle121730302972081973[[#This Row],[Datum]],"tttt")</f>
        <v>Mittwoch</v>
      </c>
      <c r="L214" s="54">
        <f t="shared" ref="L214:L218" si="182">L213+1</f>
        <v>44322</v>
      </c>
      <c r="M214" s="31">
        <f t="shared" si="177"/>
        <v>0</v>
      </c>
      <c r="N214" s="31">
        <f t="shared" si="178"/>
        <v>0</v>
      </c>
      <c r="O214" s="32"/>
      <c r="P214" s="31">
        <f t="shared" si="179"/>
        <v>0</v>
      </c>
      <c r="Q214" s="31">
        <f t="shared" si="180"/>
        <v>0</v>
      </c>
      <c r="R214" s="51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99">
        <f>R214-I214</f>
        <v>0</v>
      </c>
      <c r="U214" s="99"/>
      <c r="W214" s="20" t="s">
        <v>20</v>
      </c>
      <c r="X214" s="27">
        <f>X213-X212</f>
        <v>0</v>
      </c>
      <c r="Y214" s="37"/>
      <c r="Z214" s="64">
        <f>Z204+X214</f>
        <v>0</v>
      </c>
    </row>
    <row r="215" spans="1:32" x14ac:dyDescent="0.3">
      <c r="B215" s="34" t="str">
        <f>TEXT(Tabelle1217303029720819[[#This Row],[Datum]],"tttt")</f>
        <v>Donnerstag</v>
      </c>
      <c r="C215" s="54">
        <f t="shared" si="181"/>
        <v>44323</v>
      </c>
      <c r="D215" s="31"/>
      <c r="E215" s="31"/>
      <c r="F215" s="31"/>
      <c r="G215" s="31"/>
      <c r="H215" s="31"/>
      <c r="I215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4" t="str">
        <f>TEXT(Tabelle121730302972081973[[#This Row],[Datum]],"tttt")</f>
        <v>Donnerstag</v>
      </c>
      <c r="L215" s="54">
        <f t="shared" si="182"/>
        <v>44323</v>
      </c>
      <c r="M215" s="31">
        <f t="shared" si="177"/>
        <v>0</v>
      </c>
      <c r="N215" s="31">
        <f t="shared" si="178"/>
        <v>0</v>
      </c>
      <c r="O215" s="31"/>
      <c r="P215" s="31">
        <f t="shared" si="179"/>
        <v>0</v>
      </c>
      <c r="Q215" s="31">
        <f t="shared" si="180"/>
        <v>0</v>
      </c>
      <c r="R215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99">
        <f>R215-I215</f>
        <v>0</v>
      </c>
      <c r="U215" s="99"/>
      <c r="Y215" s="37"/>
    </row>
    <row r="216" spans="1:32" x14ac:dyDescent="0.3">
      <c r="B216" s="36" t="str">
        <f>TEXT(Tabelle1217303029720819[[#This Row],[Datum]],"tttt")</f>
        <v>Freitag</v>
      </c>
      <c r="C216" s="54">
        <f t="shared" si="181"/>
        <v>44324</v>
      </c>
      <c r="D216" s="32"/>
      <c r="E216" s="32"/>
      <c r="F216" s="32"/>
      <c r="G216" s="32"/>
      <c r="H216" s="32"/>
      <c r="I216" s="52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6" t="str">
        <f>TEXT(Tabelle121730302972081973[[#This Row],[Datum]],"tttt")</f>
        <v>Freitag</v>
      </c>
      <c r="L216" s="54">
        <f t="shared" si="182"/>
        <v>44324</v>
      </c>
      <c r="M216" s="31">
        <f t="shared" si="177"/>
        <v>0</v>
      </c>
      <c r="N216" s="31">
        <f t="shared" si="178"/>
        <v>0</v>
      </c>
      <c r="O216" s="32"/>
      <c r="P216" s="31">
        <f t="shared" si="179"/>
        <v>0</v>
      </c>
      <c r="Q216" s="31">
        <f t="shared" si="180"/>
        <v>0</v>
      </c>
      <c r="R216" s="52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99">
        <f>R216-I216</f>
        <v>0</v>
      </c>
      <c r="U216" s="99"/>
      <c r="Y216" s="37"/>
    </row>
    <row r="217" spans="1:32" x14ac:dyDescent="0.3">
      <c r="B217" s="34" t="str">
        <f>TEXT(Tabelle1217303029720819[[#This Row],[Datum]],"tttt")</f>
        <v>Samstag</v>
      </c>
      <c r="C217" s="54">
        <f t="shared" si="181"/>
        <v>44325</v>
      </c>
      <c r="D217" s="31"/>
      <c r="E217" s="31"/>
      <c r="F217" s="31"/>
      <c r="G217" s="31"/>
      <c r="H217" s="31"/>
      <c r="I217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4" t="str">
        <f>TEXT(Tabelle121730302972081973[[#This Row],[Datum]],"tttt")</f>
        <v>Samstag</v>
      </c>
      <c r="L217" s="54">
        <f t="shared" si="182"/>
        <v>44325</v>
      </c>
      <c r="M217" s="31">
        <f t="shared" si="177"/>
        <v>0</v>
      </c>
      <c r="N217" s="31">
        <f t="shared" si="178"/>
        <v>0</v>
      </c>
      <c r="O217" s="31"/>
      <c r="P217" s="31">
        <f t="shared" si="179"/>
        <v>0</v>
      </c>
      <c r="Q217" s="31">
        <f t="shared" si="180"/>
        <v>0</v>
      </c>
      <c r="R217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99">
        <f t="shared" ref="T217:T218" si="183">R217-I217</f>
        <v>0</v>
      </c>
      <c r="U217" s="99"/>
      <c r="Y217" s="37"/>
    </row>
    <row r="218" spans="1:32" s="40" customFormat="1" x14ac:dyDescent="0.3">
      <c r="B218" s="36" t="str">
        <f>TEXT(Tabelle1217303029720819[[#This Row],[Datum]],"tttt")</f>
        <v>Sonntag</v>
      </c>
      <c r="C218" s="55">
        <f t="shared" si="181"/>
        <v>44326</v>
      </c>
      <c r="D218" s="32"/>
      <c r="E218" s="32"/>
      <c r="F218" s="32"/>
      <c r="G218" s="32"/>
      <c r="H218" s="32"/>
      <c r="I218" s="53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6" t="str">
        <f>TEXT(Tabelle121730302972081973[[#This Row],[Datum]],"tttt")</f>
        <v>Sonntag</v>
      </c>
      <c r="L218" s="55">
        <f t="shared" si="182"/>
        <v>44326</v>
      </c>
      <c r="M218" s="31">
        <f t="shared" si="177"/>
        <v>0</v>
      </c>
      <c r="N218" s="31">
        <f t="shared" si="178"/>
        <v>0</v>
      </c>
      <c r="O218" s="32"/>
      <c r="P218" s="31">
        <f t="shared" si="179"/>
        <v>0</v>
      </c>
      <c r="Q218" s="31">
        <f t="shared" si="180"/>
        <v>0</v>
      </c>
      <c r="R218" s="53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99">
        <f t="shared" si="183"/>
        <v>0</v>
      </c>
      <c r="U218" s="99"/>
      <c r="V218" s="42"/>
      <c r="W218" s="42"/>
      <c r="X218" s="45"/>
      <c r="Y218" s="37"/>
      <c r="AB218" s="41"/>
      <c r="AD218" s="29"/>
      <c r="AE218" s="29"/>
      <c r="AF218" s="29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7"/>
    </row>
    <row r="220" spans="1:32" x14ac:dyDescent="0.3">
      <c r="A220" s="37"/>
      <c r="B220" s="38"/>
      <c r="C220" s="37"/>
      <c r="D220" s="37"/>
      <c r="E220" s="37"/>
      <c r="F220" s="37"/>
      <c r="G220" s="37"/>
      <c r="H220" s="37"/>
      <c r="I220" s="38"/>
      <c r="J220" s="37"/>
      <c r="K220" s="38"/>
      <c r="L220" s="37"/>
      <c r="M220" s="37"/>
      <c r="N220" s="37"/>
      <c r="O220" s="37"/>
      <c r="P220" s="37"/>
      <c r="Q220" s="37"/>
      <c r="R220" s="38"/>
      <c r="S220" s="37"/>
      <c r="T220" s="100"/>
      <c r="U220" s="100"/>
      <c r="V220" s="37"/>
      <c r="W220" s="37"/>
      <c r="X220" s="39"/>
      <c r="Y220" s="37"/>
    </row>
    <row r="221" spans="1:32" x14ac:dyDescent="0.3">
      <c r="A221" s="44" t="s">
        <v>33</v>
      </c>
      <c r="B221" s="6" t="s">
        <v>2</v>
      </c>
      <c r="C221" s="7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4" t="s">
        <v>33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99" t="s">
        <v>11</v>
      </c>
      <c r="U221" s="99"/>
      <c r="W221" s="13" t="s">
        <v>21</v>
      </c>
      <c r="X221" s="15" t="s">
        <v>17</v>
      </c>
      <c r="Y221" s="37"/>
    </row>
    <row r="222" spans="1:32" x14ac:dyDescent="0.3">
      <c r="A222" s="44">
        <f>A212+1</f>
        <v>20</v>
      </c>
      <c r="B222" s="34" t="str">
        <f>TEXT(Tabelle12173030297208320[[#This Row],[Datum]],"tttt")</f>
        <v>Montag</v>
      </c>
      <c r="C222" s="56">
        <f>C218+1</f>
        <v>44327</v>
      </c>
      <c r="D222" s="31"/>
      <c r="E222" s="31"/>
      <c r="F222" s="31"/>
      <c r="G222" s="31"/>
      <c r="H222" s="31"/>
      <c r="I222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4">
        <f>J212+1</f>
        <v>20</v>
      </c>
      <c r="K222" s="34" t="str">
        <f>TEXT(Tabelle1217303029720832074[[#This Row],[Datum]],"tttt")</f>
        <v>Montag</v>
      </c>
      <c r="L222" s="56">
        <f>L218+1</f>
        <v>44327</v>
      </c>
      <c r="M222" s="31">
        <f>IF(O222="F",0,D222)</f>
        <v>0</v>
      </c>
      <c r="N222" s="31">
        <f>IF(O222="F",0,E222)</f>
        <v>0</v>
      </c>
      <c r="O222" s="32"/>
      <c r="P222" s="31">
        <f>IF(O222="F",0,G222)</f>
        <v>0</v>
      </c>
      <c r="Q222" s="31">
        <f>IF(O222="F",I222,0)</f>
        <v>0</v>
      </c>
      <c r="R222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99">
        <f t="shared" ref="T222:T223" si="186">R222-I222</f>
        <v>0</v>
      </c>
      <c r="U222" s="99"/>
      <c r="W222" s="17" t="s">
        <v>18</v>
      </c>
      <c r="X222" s="26">
        <f>I229</f>
        <v>0</v>
      </c>
      <c r="Y222" s="37"/>
    </row>
    <row r="223" spans="1:32" x14ac:dyDescent="0.3">
      <c r="B223" s="34" t="str">
        <f>TEXT(Tabelle12173030297208320[[#This Row],[Datum]],"tttt")</f>
        <v>Dienstag</v>
      </c>
      <c r="C223" s="54">
        <f>C222+1</f>
        <v>44328</v>
      </c>
      <c r="D223" s="31"/>
      <c r="E223" s="31"/>
      <c r="F223" s="31"/>
      <c r="G223" s="31"/>
      <c r="H223" s="31"/>
      <c r="I223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4" t="str">
        <f>TEXT(Tabelle1217303029720832074[[#This Row],[Datum]],"tttt")</f>
        <v>Dienstag</v>
      </c>
      <c r="L223" s="54">
        <f>L222+1</f>
        <v>44328</v>
      </c>
      <c r="M223" s="31">
        <f t="shared" ref="M223:M228" si="187">IF(O223="F",0,D223)</f>
        <v>0</v>
      </c>
      <c r="N223" s="31">
        <f t="shared" ref="N223:N228" si="188">IF(O223="F",0,E223)</f>
        <v>0</v>
      </c>
      <c r="O223" s="31"/>
      <c r="P223" s="31">
        <f t="shared" ref="P223:P228" si="189">IF(O223="F",0,G223)</f>
        <v>0</v>
      </c>
      <c r="Q223" s="31">
        <f t="shared" ref="Q223:Q228" si="190">IF(O223="F",I223,0)</f>
        <v>0</v>
      </c>
      <c r="R223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99">
        <f t="shared" si="186"/>
        <v>0</v>
      </c>
      <c r="U223" s="99"/>
      <c r="W223" s="17" t="s">
        <v>19</v>
      </c>
      <c r="X223" s="26">
        <f>R229</f>
        <v>0</v>
      </c>
      <c r="Y223" s="37"/>
    </row>
    <row r="224" spans="1:32" x14ac:dyDescent="0.3">
      <c r="B224" s="35" t="str">
        <f>TEXT(Tabelle12173030297208320[[#This Row],[Datum]],"tttt")</f>
        <v>Mittwoch</v>
      </c>
      <c r="C224" s="54">
        <f t="shared" ref="C224:C228" si="191">C223+1</f>
        <v>44329</v>
      </c>
      <c r="D224" s="32"/>
      <c r="E224" s="32"/>
      <c r="F224" s="32"/>
      <c r="G224" s="32"/>
      <c r="H224" s="32"/>
      <c r="I224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5" t="str">
        <f>TEXT(Tabelle1217303029720832074[[#This Row],[Datum]],"tttt")</f>
        <v>Mittwoch</v>
      </c>
      <c r="L224" s="54">
        <f t="shared" ref="L224:L228" si="192">L223+1</f>
        <v>44329</v>
      </c>
      <c r="M224" s="31">
        <f t="shared" si="187"/>
        <v>0</v>
      </c>
      <c r="N224" s="31">
        <f t="shared" si="188"/>
        <v>0</v>
      </c>
      <c r="O224" s="32"/>
      <c r="P224" s="31">
        <f t="shared" si="189"/>
        <v>0</v>
      </c>
      <c r="Q224" s="31">
        <f t="shared" si="190"/>
        <v>0</v>
      </c>
      <c r="R224" s="51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99">
        <f>R224-I224</f>
        <v>0</v>
      </c>
      <c r="U224" s="99"/>
      <c r="W224" s="20" t="s">
        <v>20</v>
      </c>
      <c r="X224" s="27">
        <f>X223-X222</f>
        <v>0</v>
      </c>
      <c r="Y224" s="37"/>
      <c r="Z224" s="64">
        <f>Z214+X224</f>
        <v>0</v>
      </c>
    </row>
    <row r="225" spans="1:32" x14ac:dyDescent="0.3">
      <c r="B225" s="34" t="str">
        <f>TEXT(Tabelle12173030297208320[[#This Row],[Datum]],"tttt")</f>
        <v>Donnerstag</v>
      </c>
      <c r="C225" s="54">
        <f t="shared" si="191"/>
        <v>44330</v>
      </c>
      <c r="D225" s="31"/>
      <c r="E225" s="31"/>
      <c r="F225" s="31"/>
      <c r="G225" s="31"/>
      <c r="H225" s="31"/>
      <c r="I225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4" t="str">
        <f>TEXT(Tabelle1217303029720832074[[#This Row],[Datum]],"tttt")</f>
        <v>Donnerstag</v>
      </c>
      <c r="L225" s="54">
        <f t="shared" si="192"/>
        <v>44330</v>
      </c>
      <c r="M225" s="31">
        <f t="shared" si="187"/>
        <v>0</v>
      </c>
      <c r="N225" s="31">
        <f t="shared" si="188"/>
        <v>0</v>
      </c>
      <c r="O225" s="31"/>
      <c r="P225" s="31">
        <f t="shared" si="189"/>
        <v>0</v>
      </c>
      <c r="Q225" s="31">
        <f t="shared" si="190"/>
        <v>0</v>
      </c>
      <c r="R225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99">
        <f>R225-I225</f>
        <v>0</v>
      </c>
      <c r="U225" s="99"/>
      <c r="Y225" s="37"/>
    </row>
    <row r="226" spans="1:32" x14ac:dyDescent="0.3">
      <c r="B226" s="36" t="str">
        <f>TEXT(Tabelle12173030297208320[[#This Row],[Datum]],"tttt")</f>
        <v>Freitag</v>
      </c>
      <c r="C226" s="54">
        <f t="shared" si="191"/>
        <v>44331</v>
      </c>
      <c r="D226" s="32"/>
      <c r="E226" s="32"/>
      <c r="F226" s="32"/>
      <c r="G226" s="32"/>
      <c r="H226" s="32"/>
      <c r="I226" s="52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6" t="str">
        <f>TEXT(Tabelle1217303029720832074[[#This Row],[Datum]],"tttt")</f>
        <v>Freitag</v>
      </c>
      <c r="L226" s="54">
        <f t="shared" si="192"/>
        <v>44331</v>
      </c>
      <c r="M226" s="31">
        <f t="shared" si="187"/>
        <v>0</v>
      </c>
      <c r="N226" s="31">
        <f t="shared" si="188"/>
        <v>0</v>
      </c>
      <c r="O226" s="32"/>
      <c r="P226" s="31">
        <f t="shared" si="189"/>
        <v>0</v>
      </c>
      <c r="Q226" s="31">
        <f t="shared" si="190"/>
        <v>0</v>
      </c>
      <c r="R226" s="52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99">
        <f>R226-I226</f>
        <v>0</v>
      </c>
      <c r="U226" s="99"/>
      <c r="Y226" s="37"/>
    </row>
    <row r="227" spans="1:32" x14ac:dyDescent="0.3">
      <c r="B227" s="34" t="str">
        <f>TEXT(Tabelle12173030297208320[[#This Row],[Datum]],"tttt")</f>
        <v>Samstag</v>
      </c>
      <c r="C227" s="54">
        <f t="shared" si="191"/>
        <v>44332</v>
      </c>
      <c r="D227" s="31"/>
      <c r="E227" s="31"/>
      <c r="F227" s="31"/>
      <c r="G227" s="31"/>
      <c r="H227" s="31"/>
      <c r="I227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4" t="str">
        <f>TEXT(Tabelle1217303029720832074[[#This Row],[Datum]],"tttt")</f>
        <v>Samstag</v>
      </c>
      <c r="L227" s="54">
        <f t="shared" si="192"/>
        <v>44332</v>
      </c>
      <c r="M227" s="31">
        <f t="shared" si="187"/>
        <v>0</v>
      </c>
      <c r="N227" s="31">
        <f t="shared" si="188"/>
        <v>0</v>
      </c>
      <c r="O227" s="31"/>
      <c r="P227" s="31">
        <f t="shared" si="189"/>
        <v>0</v>
      </c>
      <c r="Q227" s="31">
        <f t="shared" si="190"/>
        <v>0</v>
      </c>
      <c r="R227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99">
        <f t="shared" ref="T227:T228" si="193">R227-I227</f>
        <v>0</v>
      </c>
      <c r="U227" s="99"/>
      <c r="Y227" s="37"/>
    </row>
    <row r="228" spans="1:32" s="40" customFormat="1" x14ac:dyDescent="0.3">
      <c r="B228" s="36" t="str">
        <f>TEXT(Tabelle12173030297208320[[#This Row],[Datum]],"tttt")</f>
        <v>Sonntag</v>
      </c>
      <c r="C228" s="55">
        <f t="shared" si="191"/>
        <v>44333</v>
      </c>
      <c r="D228" s="32"/>
      <c r="E228" s="32"/>
      <c r="F228" s="32"/>
      <c r="G228" s="32"/>
      <c r="H228" s="32"/>
      <c r="I228" s="53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6" t="str">
        <f>TEXT(Tabelle1217303029720832074[[#This Row],[Datum]],"tttt")</f>
        <v>Sonntag</v>
      </c>
      <c r="L228" s="55">
        <f t="shared" si="192"/>
        <v>44333</v>
      </c>
      <c r="M228" s="31">
        <f t="shared" si="187"/>
        <v>0</v>
      </c>
      <c r="N228" s="31">
        <f t="shared" si="188"/>
        <v>0</v>
      </c>
      <c r="O228" s="32"/>
      <c r="P228" s="31">
        <f t="shared" si="189"/>
        <v>0</v>
      </c>
      <c r="Q228" s="31">
        <f t="shared" si="190"/>
        <v>0</v>
      </c>
      <c r="R228" s="53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99">
        <f t="shared" si="193"/>
        <v>0</v>
      </c>
      <c r="U228" s="99"/>
      <c r="V228" s="42"/>
      <c r="W228" s="42"/>
      <c r="X228" s="45"/>
      <c r="Y228" s="37"/>
      <c r="AB228" s="41"/>
      <c r="AD228" s="29"/>
      <c r="AE228" s="29"/>
      <c r="AF228" s="29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7"/>
    </row>
    <row r="230" spans="1:32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100"/>
      <c r="U230" s="100"/>
      <c r="V230" s="37"/>
      <c r="W230" s="37"/>
      <c r="X230" s="39"/>
      <c r="Y230" s="37"/>
    </row>
    <row r="231" spans="1:32" x14ac:dyDescent="0.3">
      <c r="A231" s="44" t="s">
        <v>33</v>
      </c>
      <c r="B231" s="6" t="s">
        <v>2</v>
      </c>
      <c r="C231" s="7" t="s">
        <v>3</v>
      </c>
      <c r="D231" s="4" t="s">
        <v>4</v>
      </c>
      <c r="E231" s="4" t="s">
        <v>5</v>
      </c>
      <c r="F231" s="4" t="s">
        <v>6</v>
      </c>
      <c r="G231" s="4" t="s">
        <v>7</v>
      </c>
      <c r="H231" s="4" t="s">
        <v>8</v>
      </c>
      <c r="I231" s="4" t="s">
        <v>9</v>
      </c>
      <c r="J231" s="44" t="s">
        <v>33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99" t="s">
        <v>11</v>
      </c>
      <c r="U231" s="99"/>
      <c r="W231" s="13" t="s">
        <v>21</v>
      </c>
      <c r="X231" s="15" t="s">
        <v>17</v>
      </c>
      <c r="Y231" s="37"/>
    </row>
    <row r="232" spans="1:32" x14ac:dyDescent="0.3">
      <c r="A232" s="44">
        <f>A222+1</f>
        <v>21</v>
      </c>
      <c r="B232" s="34" t="str">
        <f>TEXT(Tabelle12173030297208421[[#This Row],[Datum]],"tttt")</f>
        <v>Montag</v>
      </c>
      <c r="C232" s="56">
        <f>C228+1</f>
        <v>44334</v>
      </c>
      <c r="D232" s="31"/>
      <c r="E232" s="31"/>
      <c r="F232" s="31"/>
      <c r="G232" s="31"/>
      <c r="H232" s="31"/>
      <c r="I232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4">
        <f>J222+1</f>
        <v>21</v>
      </c>
      <c r="K232" s="34" t="str">
        <f>TEXT(Tabelle1217303029720842175[[#This Row],[Datum]],"tttt")</f>
        <v>Montag</v>
      </c>
      <c r="L232" s="56">
        <f>L228+1</f>
        <v>44334</v>
      </c>
      <c r="M232" s="31">
        <f>IF(O232="F",0,D232)</f>
        <v>0</v>
      </c>
      <c r="N232" s="31">
        <f>IF(O232="F",0,E232)</f>
        <v>0</v>
      </c>
      <c r="O232" s="32"/>
      <c r="P232" s="31">
        <f>IF(O232="F",0,G232)</f>
        <v>0</v>
      </c>
      <c r="Q232" s="31">
        <f>IF(O232="F",I232,0)</f>
        <v>0</v>
      </c>
      <c r="R232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99">
        <f t="shared" ref="T232:T233" si="196">R232-I232</f>
        <v>0</v>
      </c>
      <c r="U232" s="99"/>
      <c r="W232" s="17" t="s">
        <v>18</v>
      </c>
      <c r="X232" s="26">
        <f>I239</f>
        <v>0</v>
      </c>
      <c r="Y232" s="37"/>
    </row>
    <row r="233" spans="1:32" x14ac:dyDescent="0.3">
      <c r="B233" s="34" t="str">
        <f>TEXT(Tabelle12173030297208421[[#This Row],[Datum]],"tttt")</f>
        <v>Dienstag</v>
      </c>
      <c r="C233" s="54">
        <f>C232+1</f>
        <v>44335</v>
      </c>
      <c r="D233" s="31"/>
      <c r="E233" s="31"/>
      <c r="F233" s="31"/>
      <c r="G233" s="31"/>
      <c r="H233" s="31"/>
      <c r="I233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4" t="str">
        <f>TEXT(Tabelle1217303029720842175[[#This Row],[Datum]],"tttt")</f>
        <v>Dienstag</v>
      </c>
      <c r="L233" s="54">
        <f>L232+1</f>
        <v>44335</v>
      </c>
      <c r="M233" s="31">
        <f t="shared" ref="M233:M238" si="197">IF(O233="F",0,D233)</f>
        <v>0</v>
      </c>
      <c r="N233" s="31">
        <f t="shared" ref="N233:N238" si="198">IF(O233="F",0,E233)</f>
        <v>0</v>
      </c>
      <c r="O233" s="31"/>
      <c r="P233" s="31">
        <f t="shared" ref="P233:P238" si="199">IF(O233="F",0,G233)</f>
        <v>0</v>
      </c>
      <c r="Q233" s="31">
        <f t="shared" ref="Q233:Q238" si="200">IF(O233="F",I233,0)</f>
        <v>0</v>
      </c>
      <c r="R233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99">
        <f t="shared" si="196"/>
        <v>0</v>
      </c>
      <c r="U233" s="99"/>
      <c r="W233" s="17" t="s">
        <v>19</v>
      </c>
      <c r="X233" s="26">
        <f>R239</f>
        <v>0</v>
      </c>
      <c r="Y233" s="37"/>
    </row>
    <row r="234" spans="1:32" x14ac:dyDescent="0.3">
      <c r="B234" s="35" t="str">
        <f>TEXT(Tabelle12173030297208421[[#This Row],[Datum]],"tttt")</f>
        <v>Mittwoch</v>
      </c>
      <c r="C234" s="54">
        <f t="shared" ref="C234:C238" si="201">C233+1</f>
        <v>44336</v>
      </c>
      <c r="D234" s="32"/>
      <c r="E234" s="32"/>
      <c r="F234" s="32"/>
      <c r="G234" s="32"/>
      <c r="H234" s="32"/>
      <c r="I234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5" t="str">
        <f>TEXT(Tabelle1217303029720842175[[#This Row],[Datum]],"tttt")</f>
        <v>Mittwoch</v>
      </c>
      <c r="L234" s="54">
        <f t="shared" ref="L234:L238" si="202">L233+1</f>
        <v>44336</v>
      </c>
      <c r="M234" s="31">
        <f t="shared" si="197"/>
        <v>0</v>
      </c>
      <c r="N234" s="31">
        <f t="shared" si="198"/>
        <v>0</v>
      </c>
      <c r="O234" s="32"/>
      <c r="P234" s="31">
        <f t="shared" si="199"/>
        <v>0</v>
      </c>
      <c r="Q234" s="31">
        <f t="shared" si="200"/>
        <v>0</v>
      </c>
      <c r="R234" s="51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99">
        <f>R234-I234</f>
        <v>0</v>
      </c>
      <c r="U234" s="99"/>
      <c r="W234" s="20" t="s">
        <v>20</v>
      </c>
      <c r="X234" s="27">
        <f>X233-X232</f>
        <v>0</v>
      </c>
      <c r="Y234" s="37"/>
      <c r="Z234" s="64">
        <f>Z224+X234</f>
        <v>0</v>
      </c>
    </row>
    <row r="235" spans="1:32" x14ac:dyDescent="0.3">
      <c r="B235" s="34" t="str">
        <f>TEXT(Tabelle12173030297208421[[#This Row],[Datum]],"tttt")</f>
        <v>Donnerstag</v>
      </c>
      <c r="C235" s="54">
        <f t="shared" si="201"/>
        <v>44337</v>
      </c>
      <c r="D235" s="31"/>
      <c r="E235" s="31"/>
      <c r="F235" s="31"/>
      <c r="G235" s="31"/>
      <c r="H235" s="31"/>
      <c r="I235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4" t="str">
        <f>TEXT(Tabelle1217303029720842175[[#This Row],[Datum]],"tttt")</f>
        <v>Donnerstag</v>
      </c>
      <c r="L235" s="54">
        <f t="shared" si="202"/>
        <v>44337</v>
      </c>
      <c r="M235" s="31">
        <f t="shared" si="197"/>
        <v>0</v>
      </c>
      <c r="N235" s="31">
        <f t="shared" si="198"/>
        <v>0</v>
      </c>
      <c r="O235" s="31"/>
      <c r="P235" s="31">
        <f t="shared" si="199"/>
        <v>0</v>
      </c>
      <c r="Q235" s="31">
        <f t="shared" si="200"/>
        <v>0</v>
      </c>
      <c r="R235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99">
        <f>R235-I235</f>
        <v>0</v>
      </c>
      <c r="U235" s="99"/>
      <c r="Y235" s="37"/>
    </row>
    <row r="236" spans="1:32" x14ac:dyDescent="0.3">
      <c r="B236" s="36" t="str">
        <f>TEXT(Tabelle12173030297208421[[#This Row],[Datum]],"tttt")</f>
        <v>Freitag</v>
      </c>
      <c r="C236" s="54">
        <f t="shared" si="201"/>
        <v>44338</v>
      </c>
      <c r="D236" s="32"/>
      <c r="E236" s="32"/>
      <c r="F236" s="32"/>
      <c r="G236" s="32"/>
      <c r="H236" s="32"/>
      <c r="I236" s="52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6" t="str">
        <f>TEXT(Tabelle1217303029720842175[[#This Row],[Datum]],"tttt")</f>
        <v>Freitag</v>
      </c>
      <c r="L236" s="54">
        <f t="shared" si="202"/>
        <v>44338</v>
      </c>
      <c r="M236" s="31">
        <f t="shared" si="197"/>
        <v>0</v>
      </c>
      <c r="N236" s="31">
        <f t="shared" si="198"/>
        <v>0</v>
      </c>
      <c r="O236" s="32"/>
      <c r="P236" s="31">
        <f t="shared" si="199"/>
        <v>0</v>
      </c>
      <c r="Q236" s="31">
        <f t="shared" si="200"/>
        <v>0</v>
      </c>
      <c r="R236" s="52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99">
        <f>R236-I236</f>
        <v>0</v>
      </c>
      <c r="U236" s="99"/>
      <c r="Y236" s="37"/>
    </row>
    <row r="237" spans="1:32" x14ac:dyDescent="0.3">
      <c r="B237" s="34" t="str">
        <f>TEXT(Tabelle12173030297208421[[#This Row],[Datum]],"tttt")</f>
        <v>Samstag</v>
      </c>
      <c r="C237" s="54">
        <f t="shared" si="201"/>
        <v>44339</v>
      </c>
      <c r="D237" s="31"/>
      <c r="E237" s="31"/>
      <c r="F237" s="31"/>
      <c r="G237" s="31"/>
      <c r="H237" s="31"/>
      <c r="I237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4" t="str">
        <f>TEXT(Tabelle1217303029720842175[[#This Row],[Datum]],"tttt")</f>
        <v>Samstag</v>
      </c>
      <c r="L237" s="54">
        <f t="shared" si="202"/>
        <v>44339</v>
      </c>
      <c r="M237" s="31">
        <f t="shared" si="197"/>
        <v>0</v>
      </c>
      <c r="N237" s="31">
        <f t="shared" si="198"/>
        <v>0</v>
      </c>
      <c r="O237" s="31"/>
      <c r="P237" s="31">
        <f t="shared" si="199"/>
        <v>0</v>
      </c>
      <c r="Q237" s="31">
        <f t="shared" si="200"/>
        <v>0</v>
      </c>
      <c r="R237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99">
        <f t="shared" ref="T237:T238" si="203">R237-I237</f>
        <v>0</v>
      </c>
      <c r="U237" s="99"/>
      <c r="Y237" s="37"/>
    </row>
    <row r="238" spans="1:32" s="40" customFormat="1" x14ac:dyDescent="0.3">
      <c r="B238" s="36" t="str">
        <f>TEXT(Tabelle12173030297208421[[#This Row],[Datum]],"tttt")</f>
        <v>Sonntag</v>
      </c>
      <c r="C238" s="55">
        <f t="shared" si="201"/>
        <v>44340</v>
      </c>
      <c r="D238" s="32"/>
      <c r="E238" s="32"/>
      <c r="F238" s="32"/>
      <c r="G238" s="32"/>
      <c r="H238" s="32"/>
      <c r="I238" s="53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6" t="str">
        <f>TEXT(Tabelle1217303029720842175[[#This Row],[Datum]],"tttt")</f>
        <v>Sonntag</v>
      </c>
      <c r="L238" s="55">
        <f t="shared" si="202"/>
        <v>44340</v>
      </c>
      <c r="M238" s="31">
        <f t="shared" si="197"/>
        <v>0</v>
      </c>
      <c r="N238" s="31">
        <f t="shared" si="198"/>
        <v>0</v>
      </c>
      <c r="O238" s="32"/>
      <c r="P238" s="31">
        <f t="shared" si="199"/>
        <v>0</v>
      </c>
      <c r="Q238" s="31">
        <f t="shared" si="200"/>
        <v>0</v>
      </c>
      <c r="R238" s="53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99">
        <f t="shared" si="203"/>
        <v>0</v>
      </c>
      <c r="U238" s="99"/>
      <c r="V238" s="42"/>
      <c r="W238" s="42"/>
      <c r="X238" s="45"/>
      <c r="Y238" s="37"/>
      <c r="AB238" s="41"/>
      <c r="AD238" s="29"/>
      <c r="AE238" s="29"/>
      <c r="AF238" s="29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7"/>
    </row>
    <row r="240" spans="1:32" x14ac:dyDescent="0.3">
      <c r="A240" s="37"/>
      <c r="B240" s="38"/>
      <c r="C240" s="37"/>
      <c r="D240" s="37"/>
      <c r="E240" s="37"/>
      <c r="F240" s="37"/>
      <c r="G240" s="37"/>
      <c r="H240" s="37"/>
      <c r="I240" s="38"/>
      <c r="J240" s="37"/>
      <c r="K240" s="38"/>
      <c r="L240" s="37"/>
      <c r="M240" s="37"/>
      <c r="N240" s="37"/>
      <c r="O240" s="37"/>
      <c r="P240" s="37"/>
      <c r="Q240" s="37"/>
      <c r="R240" s="38"/>
      <c r="S240" s="37"/>
      <c r="T240" s="100"/>
      <c r="U240" s="100"/>
      <c r="V240" s="37"/>
      <c r="W240" s="37"/>
      <c r="X240" s="39"/>
      <c r="Y240" s="37"/>
    </row>
    <row r="241" spans="1:32" x14ac:dyDescent="0.3">
      <c r="A241" s="44" t="s">
        <v>33</v>
      </c>
      <c r="B241" s="6" t="s">
        <v>2</v>
      </c>
      <c r="C241" s="7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4" t="s">
        <v>33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99" t="s">
        <v>11</v>
      </c>
      <c r="U241" s="99"/>
      <c r="W241" s="13" t="s">
        <v>21</v>
      </c>
      <c r="X241" s="15" t="s">
        <v>17</v>
      </c>
      <c r="Y241" s="37"/>
    </row>
    <row r="242" spans="1:32" x14ac:dyDescent="0.3">
      <c r="A242" s="44">
        <f>A232+1</f>
        <v>22</v>
      </c>
      <c r="B242" s="34" t="str">
        <f>TEXT(Tabelle1217303029720822[[#This Row],[Datum]],"tttt")</f>
        <v>Montag</v>
      </c>
      <c r="C242" s="56">
        <f>C238+1</f>
        <v>44341</v>
      </c>
      <c r="D242" s="31"/>
      <c r="E242" s="31"/>
      <c r="F242" s="31"/>
      <c r="G242" s="31"/>
      <c r="H242" s="31"/>
      <c r="I242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4">
        <f>J232+1</f>
        <v>22</v>
      </c>
      <c r="K242" s="34" t="str">
        <f>TEXT(Tabelle121730302972082276[[#This Row],[Datum]],"tttt")</f>
        <v>Montag</v>
      </c>
      <c r="L242" s="56">
        <f>L238+1</f>
        <v>44341</v>
      </c>
      <c r="M242" s="31">
        <f>IF(O242="F",0,D242)</f>
        <v>0</v>
      </c>
      <c r="N242" s="31">
        <f>IF(O242="F",0,E242)</f>
        <v>0</v>
      </c>
      <c r="O242" s="32"/>
      <c r="P242" s="31">
        <f>IF(O242="F",0,G242)</f>
        <v>0</v>
      </c>
      <c r="Q242" s="31">
        <f>IF(O242="F",I242,0)</f>
        <v>0</v>
      </c>
      <c r="R242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99">
        <f t="shared" ref="T242:T243" si="206">R242-I242</f>
        <v>0</v>
      </c>
      <c r="U242" s="99"/>
      <c r="W242" s="17" t="s">
        <v>18</v>
      </c>
      <c r="X242" s="26">
        <f>I249</f>
        <v>0</v>
      </c>
      <c r="Y242" s="37"/>
    </row>
    <row r="243" spans="1:32" x14ac:dyDescent="0.3">
      <c r="B243" s="34" t="str">
        <f>TEXT(Tabelle1217303029720822[[#This Row],[Datum]],"tttt")</f>
        <v>Dienstag</v>
      </c>
      <c r="C243" s="54">
        <f>C242+1</f>
        <v>44342</v>
      </c>
      <c r="D243" s="31"/>
      <c r="E243" s="31"/>
      <c r="F243" s="31"/>
      <c r="G243" s="31"/>
      <c r="H243" s="31"/>
      <c r="I243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4" t="str">
        <f>TEXT(Tabelle121730302972082276[[#This Row],[Datum]],"tttt")</f>
        <v>Dienstag</v>
      </c>
      <c r="L243" s="54">
        <f>L242+1</f>
        <v>44342</v>
      </c>
      <c r="M243" s="31">
        <f t="shared" ref="M243:M248" si="207">IF(O243="F",0,D243)</f>
        <v>0</v>
      </c>
      <c r="N243" s="31">
        <f t="shared" ref="N243:N248" si="208">IF(O243="F",0,E243)</f>
        <v>0</v>
      </c>
      <c r="O243" s="31"/>
      <c r="P243" s="31">
        <f t="shared" ref="P243:P248" si="209">IF(O243="F",0,G243)</f>
        <v>0</v>
      </c>
      <c r="Q243" s="31">
        <f t="shared" ref="Q243:Q248" si="210">IF(O243="F",I243,0)</f>
        <v>0</v>
      </c>
      <c r="R243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99">
        <f t="shared" si="206"/>
        <v>0</v>
      </c>
      <c r="U243" s="99"/>
      <c r="W243" s="17" t="s">
        <v>19</v>
      </c>
      <c r="X243" s="26">
        <f>R249</f>
        <v>0</v>
      </c>
      <c r="Y243" s="37"/>
    </row>
    <row r="244" spans="1:32" x14ac:dyDescent="0.3">
      <c r="B244" s="35" t="str">
        <f>TEXT(Tabelle1217303029720822[[#This Row],[Datum]],"tttt")</f>
        <v>Mittwoch</v>
      </c>
      <c r="C244" s="54">
        <f t="shared" ref="C244:C248" si="211">C243+1</f>
        <v>44343</v>
      </c>
      <c r="D244" s="32"/>
      <c r="E244" s="32"/>
      <c r="F244" s="32"/>
      <c r="G244" s="32"/>
      <c r="H244" s="32"/>
      <c r="I244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5" t="str">
        <f>TEXT(Tabelle121730302972082276[[#This Row],[Datum]],"tttt")</f>
        <v>Mittwoch</v>
      </c>
      <c r="L244" s="54">
        <f t="shared" ref="L244:L248" si="212">L243+1</f>
        <v>44343</v>
      </c>
      <c r="M244" s="31">
        <f t="shared" si="207"/>
        <v>0</v>
      </c>
      <c r="N244" s="31">
        <f t="shared" si="208"/>
        <v>0</v>
      </c>
      <c r="O244" s="32"/>
      <c r="P244" s="31">
        <f t="shared" si="209"/>
        <v>0</v>
      </c>
      <c r="Q244" s="31">
        <f t="shared" si="210"/>
        <v>0</v>
      </c>
      <c r="R244" s="51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99">
        <f>R244-I244</f>
        <v>0</v>
      </c>
      <c r="U244" s="99"/>
      <c r="W244" s="20" t="s">
        <v>20</v>
      </c>
      <c r="X244" s="27">
        <f>X243-X242</f>
        <v>0</v>
      </c>
      <c r="Y244" s="37"/>
      <c r="Z244" s="64">
        <f>Z234+X244</f>
        <v>0</v>
      </c>
    </row>
    <row r="245" spans="1:32" x14ac:dyDescent="0.3">
      <c r="B245" s="34" t="str">
        <f>TEXT(Tabelle1217303029720822[[#This Row],[Datum]],"tttt")</f>
        <v>Donnerstag</v>
      </c>
      <c r="C245" s="54">
        <f t="shared" si="211"/>
        <v>44344</v>
      </c>
      <c r="D245" s="31"/>
      <c r="E245" s="31"/>
      <c r="F245" s="31"/>
      <c r="G245" s="31"/>
      <c r="H245" s="31"/>
      <c r="I245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4" t="str">
        <f>TEXT(Tabelle121730302972082276[[#This Row],[Datum]],"tttt")</f>
        <v>Donnerstag</v>
      </c>
      <c r="L245" s="54">
        <f t="shared" si="212"/>
        <v>44344</v>
      </c>
      <c r="M245" s="31">
        <f t="shared" si="207"/>
        <v>0</v>
      </c>
      <c r="N245" s="31">
        <f t="shared" si="208"/>
        <v>0</v>
      </c>
      <c r="O245" s="31"/>
      <c r="P245" s="31">
        <f t="shared" si="209"/>
        <v>0</v>
      </c>
      <c r="Q245" s="31">
        <f t="shared" si="210"/>
        <v>0</v>
      </c>
      <c r="R245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99">
        <f>R245-I245</f>
        <v>0</v>
      </c>
      <c r="U245" s="99"/>
      <c r="Y245" s="37"/>
    </row>
    <row r="246" spans="1:32" x14ac:dyDescent="0.3">
      <c r="B246" s="36" t="str">
        <f>TEXT(Tabelle1217303029720822[[#This Row],[Datum]],"tttt")</f>
        <v>Freitag</v>
      </c>
      <c r="C246" s="54">
        <f t="shared" si="211"/>
        <v>44345</v>
      </c>
      <c r="D246" s="32"/>
      <c r="E246" s="32"/>
      <c r="F246" s="32"/>
      <c r="G246" s="32"/>
      <c r="H246" s="32"/>
      <c r="I246" s="52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6" t="str">
        <f>TEXT(Tabelle121730302972082276[[#This Row],[Datum]],"tttt")</f>
        <v>Freitag</v>
      </c>
      <c r="L246" s="54">
        <f t="shared" si="212"/>
        <v>44345</v>
      </c>
      <c r="M246" s="31">
        <f t="shared" si="207"/>
        <v>0</v>
      </c>
      <c r="N246" s="31">
        <f t="shared" si="208"/>
        <v>0</v>
      </c>
      <c r="O246" s="32"/>
      <c r="P246" s="31">
        <f t="shared" si="209"/>
        <v>0</v>
      </c>
      <c r="Q246" s="31">
        <f t="shared" si="210"/>
        <v>0</v>
      </c>
      <c r="R246" s="52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99">
        <f>R246-I246</f>
        <v>0</v>
      </c>
      <c r="U246" s="99"/>
      <c r="Y246" s="37"/>
    </row>
    <row r="247" spans="1:32" x14ac:dyDescent="0.3">
      <c r="B247" s="34" t="str">
        <f>TEXT(Tabelle1217303029720822[[#This Row],[Datum]],"tttt")</f>
        <v>Samstag</v>
      </c>
      <c r="C247" s="54">
        <f t="shared" si="211"/>
        <v>44346</v>
      </c>
      <c r="D247" s="31"/>
      <c r="E247" s="31"/>
      <c r="F247" s="31"/>
      <c r="G247" s="31"/>
      <c r="H247" s="31"/>
      <c r="I247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4" t="str">
        <f>TEXT(Tabelle121730302972082276[[#This Row],[Datum]],"tttt")</f>
        <v>Samstag</v>
      </c>
      <c r="L247" s="54">
        <f t="shared" si="212"/>
        <v>44346</v>
      </c>
      <c r="M247" s="31">
        <f t="shared" si="207"/>
        <v>0</v>
      </c>
      <c r="N247" s="31">
        <f t="shared" si="208"/>
        <v>0</v>
      </c>
      <c r="O247" s="31"/>
      <c r="P247" s="31">
        <f t="shared" si="209"/>
        <v>0</v>
      </c>
      <c r="Q247" s="31">
        <f t="shared" si="210"/>
        <v>0</v>
      </c>
      <c r="R247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99">
        <f t="shared" ref="T247:T248" si="213">R247-I247</f>
        <v>0</v>
      </c>
      <c r="U247" s="99"/>
      <c r="Y247" s="37"/>
    </row>
    <row r="248" spans="1:32" s="40" customFormat="1" x14ac:dyDescent="0.3">
      <c r="B248" s="36" t="str">
        <f>TEXT(Tabelle1217303029720822[[#This Row],[Datum]],"tttt")</f>
        <v>Sonntag</v>
      </c>
      <c r="C248" s="55">
        <f t="shared" si="211"/>
        <v>44347</v>
      </c>
      <c r="D248" s="32"/>
      <c r="E248" s="32"/>
      <c r="F248" s="32"/>
      <c r="G248" s="32"/>
      <c r="H248" s="32"/>
      <c r="I248" s="53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6" t="str">
        <f>TEXT(Tabelle121730302972082276[[#This Row],[Datum]],"tttt")</f>
        <v>Sonntag</v>
      </c>
      <c r="L248" s="55">
        <f t="shared" si="212"/>
        <v>44347</v>
      </c>
      <c r="M248" s="31">
        <f t="shared" si="207"/>
        <v>0</v>
      </c>
      <c r="N248" s="31">
        <f t="shared" si="208"/>
        <v>0</v>
      </c>
      <c r="O248" s="32"/>
      <c r="P248" s="31">
        <f t="shared" si="209"/>
        <v>0</v>
      </c>
      <c r="Q248" s="31">
        <f t="shared" si="210"/>
        <v>0</v>
      </c>
      <c r="R248" s="53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99">
        <f t="shared" si="213"/>
        <v>0</v>
      </c>
      <c r="U248" s="99"/>
      <c r="V248" s="42"/>
      <c r="W248" s="42"/>
      <c r="X248" s="45"/>
      <c r="Y248" s="37"/>
      <c r="AB248" s="41"/>
      <c r="AD248" s="29"/>
      <c r="AE248" s="29"/>
      <c r="AF248" s="29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7"/>
    </row>
    <row r="250" spans="1:32" x14ac:dyDescent="0.3">
      <c r="A250" s="37"/>
      <c r="B250" s="38"/>
      <c r="C250" s="37"/>
      <c r="D250" s="37"/>
      <c r="E250" s="37"/>
      <c r="F250" s="37"/>
      <c r="G250" s="37"/>
      <c r="H250" s="37"/>
      <c r="I250" s="38"/>
      <c r="J250" s="37"/>
      <c r="K250" s="38"/>
      <c r="L250" s="37"/>
      <c r="M250" s="37"/>
      <c r="N250" s="37"/>
      <c r="O250" s="37"/>
      <c r="P250" s="37"/>
      <c r="Q250" s="37"/>
      <c r="R250" s="38"/>
      <c r="S250" s="37"/>
      <c r="T250" s="100"/>
      <c r="U250" s="100"/>
      <c r="V250" s="37"/>
      <c r="W250" s="37"/>
      <c r="X250" s="39"/>
      <c r="Y250" s="37"/>
    </row>
    <row r="251" spans="1:32" x14ac:dyDescent="0.3">
      <c r="A251" s="44" t="s">
        <v>33</v>
      </c>
      <c r="B251" s="6" t="s">
        <v>2</v>
      </c>
      <c r="C251" s="7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4" t="s">
        <v>33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99" t="s">
        <v>11</v>
      </c>
      <c r="U251" s="99"/>
      <c r="W251" s="13" t="s">
        <v>21</v>
      </c>
      <c r="X251" s="15" t="s">
        <v>17</v>
      </c>
      <c r="Y251" s="37"/>
    </row>
    <row r="252" spans="1:32" x14ac:dyDescent="0.3">
      <c r="A252" s="44">
        <f>A242+1</f>
        <v>23</v>
      </c>
      <c r="B252" s="34" t="str">
        <f>TEXT(Tabelle12173030297208323[[#This Row],[Datum]],"tttt")</f>
        <v>Montag</v>
      </c>
      <c r="C252" s="56">
        <f>C248+1</f>
        <v>44348</v>
      </c>
      <c r="D252" s="31"/>
      <c r="E252" s="31"/>
      <c r="F252" s="31"/>
      <c r="G252" s="31"/>
      <c r="H252" s="31"/>
      <c r="I252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4">
        <f>J242+1</f>
        <v>23</v>
      </c>
      <c r="K252" s="34" t="str">
        <f>TEXT(Tabelle1217303029720832377[[#This Row],[Datum]],"tttt")</f>
        <v>Montag</v>
      </c>
      <c r="L252" s="56">
        <f>L248+1</f>
        <v>44348</v>
      </c>
      <c r="M252" s="31">
        <f>IF(O252="F",0,D252)</f>
        <v>0</v>
      </c>
      <c r="N252" s="31">
        <f>IF(O252="F",0,E252)</f>
        <v>0</v>
      </c>
      <c r="O252" s="32"/>
      <c r="P252" s="31">
        <f>IF(O252="F",0,G252)</f>
        <v>0</v>
      </c>
      <c r="Q252" s="31">
        <f>IF(O252="F",I252,0)</f>
        <v>0</v>
      </c>
      <c r="R252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99">
        <f t="shared" ref="T252:T253" si="216">R252-I252</f>
        <v>0</v>
      </c>
      <c r="U252" s="99"/>
      <c r="W252" s="17" t="s">
        <v>18</v>
      </c>
      <c r="X252" s="26">
        <f>I259</f>
        <v>0</v>
      </c>
      <c r="Y252" s="37"/>
    </row>
    <row r="253" spans="1:32" x14ac:dyDescent="0.3">
      <c r="B253" s="34" t="str">
        <f>TEXT(Tabelle12173030297208323[[#This Row],[Datum]],"tttt")</f>
        <v>Dienstag</v>
      </c>
      <c r="C253" s="54">
        <f>C252+1</f>
        <v>44349</v>
      </c>
      <c r="D253" s="31"/>
      <c r="E253" s="31"/>
      <c r="F253" s="31"/>
      <c r="G253" s="31"/>
      <c r="H253" s="31"/>
      <c r="I253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4" t="str">
        <f>TEXT(Tabelle1217303029720832377[[#This Row],[Datum]],"tttt")</f>
        <v>Dienstag</v>
      </c>
      <c r="L253" s="54">
        <f>L252+1</f>
        <v>44349</v>
      </c>
      <c r="M253" s="31">
        <f t="shared" ref="M253:M258" si="217">IF(O253="F",0,D253)</f>
        <v>0</v>
      </c>
      <c r="N253" s="31">
        <f t="shared" ref="N253:N258" si="218">IF(O253="F",0,E253)</f>
        <v>0</v>
      </c>
      <c r="O253" s="31"/>
      <c r="P253" s="31">
        <f t="shared" ref="P253:P258" si="219">IF(O253="F",0,G253)</f>
        <v>0</v>
      </c>
      <c r="Q253" s="31">
        <f t="shared" ref="Q253:Q258" si="220">IF(O253="F",I253,0)</f>
        <v>0</v>
      </c>
      <c r="R253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99">
        <f t="shared" si="216"/>
        <v>0</v>
      </c>
      <c r="U253" s="99"/>
      <c r="W253" s="17" t="s">
        <v>19</v>
      </c>
      <c r="X253" s="26">
        <f>R259</f>
        <v>0</v>
      </c>
      <c r="Y253" s="37"/>
    </row>
    <row r="254" spans="1:32" x14ac:dyDescent="0.3">
      <c r="B254" s="35" t="str">
        <f>TEXT(Tabelle12173030297208323[[#This Row],[Datum]],"tttt")</f>
        <v>Mittwoch</v>
      </c>
      <c r="C254" s="54">
        <f t="shared" ref="C254:C258" si="221">C253+1</f>
        <v>44350</v>
      </c>
      <c r="D254" s="32"/>
      <c r="E254" s="32"/>
      <c r="F254" s="32"/>
      <c r="G254" s="32"/>
      <c r="H254" s="32"/>
      <c r="I254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5" t="str">
        <f>TEXT(Tabelle1217303029720832377[[#This Row],[Datum]],"tttt")</f>
        <v>Mittwoch</v>
      </c>
      <c r="L254" s="54">
        <f t="shared" ref="L254:L258" si="222">L253+1</f>
        <v>44350</v>
      </c>
      <c r="M254" s="31">
        <f t="shared" si="217"/>
        <v>0</v>
      </c>
      <c r="N254" s="31">
        <f t="shared" si="218"/>
        <v>0</v>
      </c>
      <c r="O254" s="32"/>
      <c r="P254" s="31">
        <f t="shared" si="219"/>
        <v>0</v>
      </c>
      <c r="Q254" s="31">
        <f t="shared" si="220"/>
        <v>0</v>
      </c>
      <c r="R254" s="51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99">
        <f>R254-I254</f>
        <v>0</v>
      </c>
      <c r="U254" s="99"/>
      <c r="W254" s="20" t="s">
        <v>20</v>
      </c>
      <c r="X254" s="27">
        <f>X253-X252</f>
        <v>0</v>
      </c>
      <c r="Y254" s="37"/>
      <c r="Z254" s="64">
        <f>Z244+X254</f>
        <v>0</v>
      </c>
    </row>
    <row r="255" spans="1:32" x14ac:dyDescent="0.3">
      <c r="B255" s="34" t="str">
        <f>TEXT(Tabelle12173030297208323[[#This Row],[Datum]],"tttt")</f>
        <v>Donnerstag</v>
      </c>
      <c r="C255" s="54">
        <f t="shared" si="221"/>
        <v>44351</v>
      </c>
      <c r="D255" s="31"/>
      <c r="E255" s="31"/>
      <c r="F255" s="31"/>
      <c r="G255" s="31"/>
      <c r="H255" s="31"/>
      <c r="I255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4" t="str">
        <f>TEXT(Tabelle1217303029720832377[[#This Row],[Datum]],"tttt")</f>
        <v>Donnerstag</v>
      </c>
      <c r="L255" s="54">
        <f t="shared" si="222"/>
        <v>44351</v>
      </c>
      <c r="M255" s="31">
        <f t="shared" si="217"/>
        <v>0</v>
      </c>
      <c r="N255" s="31">
        <f t="shared" si="218"/>
        <v>0</v>
      </c>
      <c r="O255" s="31"/>
      <c r="P255" s="31">
        <f t="shared" si="219"/>
        <v>0</v>
      </c>
      <c r="Q255" s="31">
        <f t="shared" si="220"/>
        <v>0</v>
      </c>
      <c r="R255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99">
        <f>R255-I255</f>
        <v>0</v>
      </c>
      <c r="U255" s="99"/>
      <c r="Y255" s="37"/>
    </row>
    <row r="256" spans="1:32" x14ac:dyDescent="0.3">
      <c r="B256" s="36" t="str">
        <f>TEXT(Tabelle12173030297208323[[#This Row],[Datum]],"tttt")</f>
        <v>Freitag</v>
      </c>
      <c r="C256" s="54">
        <f t="shared" si="221"/>
        <v>44352</v>
      </c>
      <c r="D256" s="32"/>
      <c r="E256" s="32"/>
      <c r="F256" s="32"/>
      <c r="G256" s="32"/>
      <c r="H256" s="32"/>
      <c r="I256" s="52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6" t="str">
        <f>TEXT(Tabelle1217303029720832377[[#This Row],[Datum]],"tttt")</f>
        <v>Freitag</v>
      </c>
      <c r="L256" s="54">
        <f t="shared" si="222"/>
        <v>44352</v>
      </c>
      <c r="M256" s="31">
        <f t="shared" si="217"/>
        <v>0</v>
      </c>
      <c r="N256" s="31">
        <f t="shared" si="218"/>
        <v>0</v>
      </c>
      <c r="O256" s="32"/>
      <c r="P256" s="31">
        <f t="shared" si="219"/>
        <v>0</v>
      </c>
      <c r="Q256" s="31">
        <f t="shared" si="220"/>
        <v>0</v>
      </c>
      <c r="R256" s="52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99">
        <f>R256-I256</f>
        <v>0</v>
      </c>
      <c r="U256" s="99"/>
      <c r="Y256" s="37"/>
    </row>
    <row r="257" spans="1:32" x14ac:dyDescent="0.3">
      <c r="B257" s="34" t="str">
        <f>TEXT(Tabelle12173030297208323[[#This Row],[Datum]],"tttt")</f>
        <v>Samstag</v>
      </c>
      <c r="C257" s="54">
        <f t="shared" si="221"/>
        <v>44353</v>
      </c>
      <c r="D257" s="31"/>
      <c r="E257" s="31"/>
      <c r="F257" s="31"/>
      <c r="G257" s="31"/>
      <c r="H257" s="31"/>
      <c r="I257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4" t="str">
        <f>TEXT(Tabelle1217303029720832377[[#This Row],[Datum]],"tttt")</f>
        <v>Samstag</v>
      </c>
      <c r="L257" s="54">
        <f t="shared" si="222"/>
        <v>44353</v>
      </c>
      <c r="M257" s="31">
        <f t="shared" si="217"/>
        <v>0</v>
      </c>
      <c r="N257" s="31">
        <f t="shared" si="218"/>
        <v>0</v>
      </c>
      <c r="O257" s="31"/>
      <c r="P257" s="31">
        <f t="shared" si="219"/>
        <v>0</v>
      </c>
      <c r="Q257" s="31">
        <f t="shared" si="220"/>
        <v>0</v>
      </c>
      <c r="R257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99">
        <f t="shared" ref="T257:T258" si="223">R257-I257</f>
        <v>0</v>
      </c>
      <c r="U257" s="99"/>
      <c r="Y257" s="37"/>
    </row>
    <row r="258" spans="1:32" s="40" customFormat="1" x14ac:dyDescent="0.3">
      <c r="B258" s="36" t="str">
        <f>TEXT(Tabelle12173030297208323[[#This Row],[Datum]],"tttt")</f>
        <v>Sonntag</v>
      </c>
      <c r="C258" s="55">
        <f t="shared" si="221"/>
        <v>44354</v>
      </c>
      <c r="D258" s="32"/>
      <c r="E258" s="32"/>
      <c r="F258" s="32"/>
      <c r="G258" s="32"/>
      <c r="H258" s="32"/>
      <c r="I258" s="53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6" t="str">
        <f>TEXT(Tabelle1217303029720832377[[#This Row],[Datum]],"tttt")</f>
        <v>Sonntag</v>
      </c>
      <c r="L258" s="55">
        <f t="shared" si="222"/>
        <v>44354</v>
      </c>
      <c r="M258" s="31">
        <f t="shared" si="217"/>
        <v>0</v>
      </c>
      <c r="N258" s="31">
        <f t="shared" si="218"/>
        <v>0</v>
      </c>
      <c r="O258" s="32"/>
      <c r="P258" s="31">
        <f t="shared" si="219"/>
        <v>0</v>
      </c>
      <c r="Q258" s="31">
        <f t="shared" si="220"/>
        <v>0</v>
      </c>
      <c r="R258" s="53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99">
        <f t="shared" si="223"/>
        <v>0</v>
      </c>
      <c r="U258" s="99"/>
      <c r="V258" s="42"/>
      <c r="W258" s="42"/>
      <c r="X258" s="45"/>
      <c r="Y258" s="37"/>
      <c r="AB258" s="41"/>
      <c r="AD258" s="29"/>
      <c r="AE258" s="29"/>
      <c r="AF258" s="29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7"/>
    </row>
    <row r="260" spans="1:32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100"/>
      <c r="U260" s="100"/>
      <c r="V260" s="37"/>
      <c r="W260" s="37"/>
      <c r="X260" s="39"/>
      <c r="Y260" s="37"/>
    </row>
    <row r="261" spans="1:32" x14ac:dyDescent="0.3">
      <c r="A261" s="44" t="s">
        <v>33</v>
      </c>
      <c r="B261" s="6" t="s">
        <v>2</v>
      </c>
      <c r="C261" s="7" t="s">
        <v>3</v>
      </c>
      <c r="D261" s="4" t="s">
        <v>4</v>
      </c>
      <c r="E261" s="4" t="s">
        <v>5</v>
      </c>
      <c r="F261" s="4" t="s">
        <v>6</v>
      </c>
      <c r="G261" s="4" t="s">
        <v>7</v>
      </c>
      <c r="H261" s="4" t="s">
        <v>8</v>
      </c>
      <c r="I261" s="4" t="s">
        <v>9</v>
      </c>
      <c r="J261" s="44" t="s">
        <v>33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99" t="s">
        <v>11</v>
      </c>
      <c r="U261" s="99"/>
      <c r="W261" s="13" t="s">
        <v>21</v>
      </c>
      <c r="X261" s="15" t="s">
        <v>17</v>
      </c>
      <c r="Y261" s="37"/>
    </row>
    <row r="262" spans="1:32" x14ac:dyDescent="0.3">
      <c r="A262" s="44">
        <f>A252+1</f>
        <v>24</v>
      </c>
      <c r="B262" s="34" t="str">
        <f>TEXT(Tabelle12173030297208424[[#This Row],[Datum]],"tttt")</f>
        <v>Montag</v>
      </c>
      <c r="C262" s="56">
        <f>C258+1</f>
        <v>44355</v>
      </c>
      <c r="D262" s="31"/>
      <c r="E262" s="31"/>
      <c r="F262" s="31"/>
      <c r="G262" s="31"/>
      <c r="H262" s="31"/>
      <c r="I262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4">
        <f>J252+1</f>
        <v>24</v>
      </c>
      <c r="K262" s="34" t="str">
        <f>TEXT(Tabelle1217303029720842478[[#This Row],[Datum]],"tttt")</f>
        <v>Montag</v>
      </c>
      <c r="L262" s="56">
        <f>L258+1</f>
        <v>44355</v>
      </c>
      <c r="M262" s="31">
        <f>IF(O262="F",0,D262)</f>
        <v>0</v>
      </c>
      <c r="N262" s="31">
        <f>IF(O262="F",0,E262)</f>
        <v>0</v>
      </c>
      <c r="O262" s="32"/>
      <c r="P262" s="31">
        <f>IF(O262="F",0,G262)</f>
        <v>0</v>
      </c>
      <c r="Q262" s="31">
        <f>IF(O262="F",I262,0)</f>
        <v>0</v>
      </c>
      <c r="R262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99">
        <f t="shared" ref="T262:T263" si="226">R262-I262</f>
        <v>0</v>
      </c>
      <c r="U262" s="99"/>
      <c r="W262" s="17" t="s">
        <v>18</v>
      </c>
      <c r="X262" s="26">
        <f>I269</f>
        <v>0</v>
      </c>
      <c r="Y262" s="37"/>
    </row>
    <row r="263" spans="1:32" x14ac:dyDescent="0.3">
      <c r="B263" s="34" t="str">
        <f>TEXT(Tabelle12173030297208424[[#This Row],[Datum]],"tttt")</f>
        <v>Dienstag</v>
      </c>
      <c r="C263" s="54">
        <f>C262+1</f>
        <v>44356</v>
      </c>
      <c r="D263" s="31"/>
      <c r="E263" s="31"/>
      <c r="F263" s="31"/>
      <c r="G263" s="31"/>
      <c r="H263" s="31"/>
      <c r="I263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4" t="str">
        <f>TEXT(Tabelle1217303029720842478[[#This Row],[Datum]],"tttt")</f>
        <v>Dienstag</v>
      </c>
      <c r="L263" s="54">
        <f>L262+1</f>
        <v>44356</v>
      </c>
      <c r="M263" s="31">
        <f t="shared" ref="M263:M268" si="227">IF(O263="F",0,D263)</f>
        <v>0</v>
      </c>
      <c r="N263" s="31">
        <f t="shared" ref="N263:N268" si="228">IF(O263="F",0,E263)</f>
        <v>0</v>
      </c>
      <c r="O263" s="31"/>
      <c r="P263" s="31">
        <f t="shared" ref="P263:P268" si="229">IF(O263="F",0,G263)</f>
        <v>0</v>
      </c>
      <c r="Q263" s="31">
        <f t="shared" ref="Q263:Q268" si="230">IF(O263="F",I263,0)</f>
        <v>0</v>
      </c>
      <c r="R263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99">
        <f t="shared" si="226"/>
        <v>0</v>
      </c>
      <c r="U263" s="99"/>
      <c r="W263" s="17" t="s">
        <v>19</v>
      </c>
      <c r="X263" s="26">
        <f>R269</f>
        <v>0</v>
      </c>
      <c r="Y263" s="37"/>
    </row>
    <row r="264" spans="1:32" x14ac:dyDescent="0.3">
      <c r="B264" s="35" t="str">
        <f>TEXT(Tabelle12173030297208424[[#This Row],[Datum]],"tttt")</f>
        <v>Mittwoch</v>
      </c>
      <c r="C264" s="54">
        <f t="shared" ref="C264:C268" si="231">C263+1</f>
        <v>44357</v>
      </c>
      <c r="D264" s="32"/>
      <c r="E264" s="32"/>
      <c r="F264" s="32"/>
      <c r="G264" s="32"/>
      <c r="H264" s="32"/>
      <c r="I264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5" t="str">
        <f>TEXT(Tabelle1217303029720842478[[#This Row],[Datum]],"tttt")</f>
        <v>Mittwoch</v>
      </c>
      <c r="L264" s="54">
        <f t="shared" ref="L264:L268" si="232">L263+1</f>
        <v>44357</v>
      </c>
      <c r="M264" s="31">
        <f t="shared" si="227"/>
        <v>0</v>
      </c>
      <c r="N264" s="31">
        <f t="shared" si="228"/>
        <v>0</v>
      </c>
      <c r="O264" s="32"/>
      <c r="P264" s="31">
        <f t="shared" si="229"/>
        <v>0</v>
      </c>
      <c r="Q264" s="31">
        <f t="shared" si="230"/>
        <v>0</v>
      </c>
      <c r="R264" s="51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99">
        <f>R264-I264</f>
        <v>0</v>
      </c>
      <c r="U264" s="99"/>
      <c r="W264" s="20" t="s">
        <v>20</v>
      </c>
      <c r="X264" s="27">
        <f>X263-X262</f>
        <v>0</v>
      </c>
      <c r="Y264" s="37"/>
      <c r="Z264" s="64">
        <f>Z254+X264</f>
        <v>0</v>
      </c>
    </row>
    <row r="265" spans="1:32" x14ac:dyDescent="0.3">
      <c r="B265" s="34" t="str">
        <f>TEXT(Tabelle12173030297208424[[#This Row],[Datum]],"tttt")</f>
        <v>Donnerstag</v>
      </c>
      <c r="C265" s="54">
        <f t="shared" si="231"/>
        <v>44358</v>
      </c>
      <c r="D265" s="31"/>
      <c r="E265" s="31"/>
      <c r="F265" s="31"/>
      <c r="G265" s="31"/>
      <c r="H265" s="31"/>
      <c r="I265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4" t="str">
        <f>TEXT(Tabelle1217303029720842478[[#This Row],[Datum]],"tttt")</f>
        <v>Donnerstag</v>
      </c>
      <c r="L265" s="54">
        <f t="shared" si="232"/>
        <v>44358</v>
      </c>
      <c r="M265" s="31">
        <f t="shared" si="227"/>
        <v>0</v>
      </c>
      <c r="N265" s="31">
        <f t="shared" si="228"/>
        <v>0</v>
      </c>
      <c r="O265" s="31"/>
      <c r="P265" s="31">
        <f t="shared" si="229"/>
        <v>0</v>
      </c>
      <c r="Q265" s="31">
        <f t="shared" si="230"/>
        <v>0</v>
      </c>
      <c r="R265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99">
        <f>R265-I265</f>
        <v>0</v>
      </c>
      <c r="U265" s="99"/>
      <c r="Y265" s="37"/>
    </row>
    <row r="266" spans="1:32" x14ac:dyDescent="0.3">
      <c r="B266" s="36" t="str">
        <f>TEXT(Tabelle12173030297208424[[#This Row],[Datum]],"tttt")</f>
        <v>Freitag</v>
      </c>
      <c r="C266" s="54">
        <f t="shared" si="231"/>
        <v>44359</v>
      </c>
      <c r="D266" s="32"/>
      <c r="E266" s="32"/>
      <c r="F266" s="32"/>
      <c r="G266" s="32"/>
      <c r="H266" s="32"/>
      <c r="I266" s="52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6" t="str">
        <f>TEXT(Tabelle1217303029720842478[[#This Row],[Datum]],"tttt")</f>
        <v>Freitag</v>
      </c>
      <c r="L266" s="54">
        <f t="shared" si="232"/>
        <v>44359</v>
      </c>
      <c r="M266" s="31">
        <f t="shared" si="227"/>
        <v>0</v>
      </c>
      <c r="N266" s="31">
        <f t="shared" si="228"/>
        <v>0</v>
      </c>
      <c r="O266" s="32"/>
      <c r="P266" s="31">
        <f t="shared" si="229"/>
        <v>0</v>
      </c>
      <c r="Q266" s="31">
        <f t="shared" si="230"/>
        <v>0</v>
      </c>
      <c r="R266" s="52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99">
        <f>R266-I266</f>
        <v>0</v>
      </c>
      <c r="U266" s="99"/>
      <c r="Y266" s="37"/>
    </row>
    <row r="267" spans="1:32" x14ac:dyDescent="0.3">
      <c r="B267" s="34" t="str">
        <f>TEXT(Tabelle12173030297208424[[#This Row],[Datum]],"tttt")</f>
        <v>Samstag</v>
      </c>
      <c r="C267" s="54">
        <f t="shared" si="231"/>
        <v>44360</v>
      </c>
      <c r="D267" s="31"/>
      <c r="E267" s="31"/>
      <c r="F267" s="31"/>
      <c r="G267" s="31"/>
      <c r="H267" s="31"/>
      <c r="I267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4" t="str">
        <f>TEXT(Tabelle1217303029720842478[[#This Row],[Datum]],"tttt")</f>
        <v>Samstag</v>
      </c>
      <c r="L267" s="54">
        <f t="shared" si="232"/>
        <v>44360</v>
      </c>
      <c r="M267" s="31">
        <f t="shared" si="227"/>
        <v>0</v>
      </c>
      <c r="N267" s="31">
        <f t="shared" si="228"/>
        <v>0</v>
      </c>
      <c r="O267" s="31"/>
      <c r="P267" s="31">
        <f t="shared" si="229"/>
        <v>0</v>
      </c>
      <c r="Q267" s="31">
        <f t="shared" si="230"/>
        <v>0</v>
      </c>
      <c r="R267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99">
        <f t="shared" ref="T267:T268" si="233">R267-I267</f>
        <v>0</v>
      </c>
      <c r="U267" s="99"/>
      <c r="Y267" s="37"/>
    </row>
    <row r="268" spans="1:32" s="40" customFormat="1" x14ac:dyDescent="0.3">
      <c r="B268" s="36" t="str">
        <f>TEXT(Tabelle12173030297208424[[#This Row],[Datum]],"tttt")</f>
        <v>Sonntag</v>
      </c>
      <c r="C268" s="55">
        <f t="shared" si="231"/>
        <v>44361</v>
      </c>
      <c r="D268" s="32"/>
      <c r="E268" s="32"/>
      <c r="F268" s="32"/>
      <c r="G268" s="32"/>
      <c r="H268" s="32"/>
      <c r="I268" s="53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6" t="str">
        <f>TEXT(Tabelle1217303029720842478[[#This Row],[Datum]],"tttt")</f>
        <v>Sonntag</v>
      </c>
      <c r="L268" s="55">
        <f t="shared" si="232"/>
        <v>44361</v>
      </c>
      <c r="M268" s="31">
        <f t="shared" si="227"/>
        <v>0</v>
      </c>
      <c r="N268" s="31">
        <f t="shared" si="228"/>
        <v>0</v>
      </c>
      <c r="O268" s="32"/>
      <c r="P268" s="31">
        <f t="shared" si="229"/>
        <v>0</v>
      </c>
      <c r="Q268" s="31">
        <f t="shared" si="230"/>
        <v>0</v>
      </c>
      <c r="R268" s="53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99">
        <f t="shared" si="233"/>
        <v>0</v>
      </c>
      <c r="U268" s="99"/>
      <c r="V268" s="42"/>
      <c r="W268" s="42"/>
      <c r="X268" s="45"/>
      <c r="Y268" s="37"/>
      <c r="AB268" s="41"/>
      <c r="AD268" s="29"/>
      <c r="AE268" s="29"/>
      <c r="AF268" s="29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7"/>
    </row>
    <row r="270" spans="1:32" x14ac:dyDescent="0.3">
      <c r="A270" s="37"/>
      <c r="B270" s="38"/>
      <c r="C270" s="37"/>
      <c r="D270" s="37"/>
      <c r="E270" s="37"/>
      <c r="F270" s="37"/>
      <c r="G270" s="37"/>
      <c r="H270" s="37"/>
      <c r="I270" s="38"/>
      <c r="J270" s="37"/>
      <c r="K270" s="38"/>
      <c r="L270" s="37"/>
      <c r="M270" s="37"/>
      <c r="N270" s="37"/>
      <c r="O270" s="37"/>
      <c r="P270" s="37"/>
      <c r="Q270" s="37"/>
      <c r="R270" s="38"/>
      <c r="S270" s="37"/>
      <c r="T270" s="100"/>
      <c r="U270" s="100"/>
      <c r="V270" s="37"/>
      <c r="W270" s="37"/>
      <c r="X270" s="39"/>
      <c r="Y270" s="37"/>
    </row>
    <row r="271" spans="1:32" x14ac:dyDescent="0.3">
      <c r="A271" s="44" t="s">
        <v>33</v>
      </c>
      <c r="B271" s="6" t="s">
        <v>2</v>
      </c>
      <c r="C271" s="7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  <c r="I271" s="4" t="s">
        <v>9</v>
      </c>
      <c r="J271" s="44" t="s">
        <v>33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99" t="s">
        <v>11</v>
      </c>
      <c r="U271" s="99"/>
      <c r="W271" s="13" t="s">
        <v>21</v>
      </c>
      <c r="X271" s="15" t="s">
        <v>17</v>
      </c>
      <c r="Y271" s="37"/>
    </row>
    <row r="272" spans="1:32" x14ac:dyDescent="0.3">
      <c r="A272" s="44">
        <f>A262+1</f>
        <v>25</v>
      </c>
      <c r="B272" s="34" t="str">
        <f>TEXT(Tabelle1217303029720825[[#This Row],[Datum]],"tttt")</f>
        <v>Montag</v>
      </c>
      <c r="C272" s="56">
        <f>C268+1</f>
        <v>44362</v>
      </c>
      <c r="D272" s="31"/>
      <c r="E272" s="31"/>
      <c r="F272" s="31"/>
      <c r="G272" s="31"/>
      <c r="H272" s="31"/>
      <c r="I272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4">
        <f>J262+1</f>
        <v>25</v>
      </c>
      <c r="K272" s="34" t="str">
        <f>TEXT(Tabelle121730302972082579[[#This Row],[Datum]],"tttt")</f>
        <v>Montag</v>
      </c>
      <c r="L272" s="56">
        <f>L268+1</f>
        <v>44362</v>
      </c>
      <c r="M272" s="31">
        <f>IF(O272="F",0,D272)</f>
        <v>0</v>
      </c>
      <c r="N272" s="31">
        <f>IF(O272="F",0,E272)</f>
        <v>0</v>
      </c>
      <c r="O272" s="32"/>
      <c r="P272" s="31">
        <f>IF(O272="F",0,G272)</f>
        <v>0</v>
      </c>
      <c r="Q272" s="31">
        <f>IF(O272="F",I272,0)</f>
        <v>0</v>
      </c>
      <c r="R272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99">
        <f t="shared" ref="T272:T273" si="236">R272-I272</f>
        <v>0</v>
      </c>
      <c r="U272" s="99"/>
      <c r="W272" s="17" t="s">
        <v>18</v>
      </c>
      <c r="X272" s="26">
        <f>I279</f>
        <v>0</v>
      </c>
      <c r="Y272" s="37"/>
    </row>
    <row r="273" spans="1:32" x14ac:dyDescent="0.3">
      <c r="B273" s="34" t="str">
        <f>TEXT(Tabelle1217303029720825[[#This Row],[Datum]],"tttt")</f>
        <v>Dienstag</v>
      </c>
      <c r="C273" s="54">
        <f>C272+1</f>
        <v>44363</v>
      </c>
      <c r="D273" s="31"/>
      <c r="E273" s="31"/>
      <c r="F273" s="31"/>
      <c r="G273" s="31"/>
      <c r="H273" s="31"/>
      <c r="I273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4" t="str">
        <f>TEXT(Tabelle121730302972082579[[#This Row],[Datum]],"tttt")</f>
        <v>Dienstag</v>
      </c>
      <c r="L273" s="54">
        <f>L272+1</f>
        <v>44363</v>
      </c>
      <c r="M273" s="31">
        <f t="shared" ref="M273:M278" si="237">IF(O273="F",0,D273)</f>
        <v>0</v>
      </c>
      <c r="N273" s="31">
        <f t="shared" ref="N273:N278" si="238">IF(O273="F",0,E273)</f>
        <v>0</v>
      </c>
      <c r="O273" s="31"/>
      <c r="P273" s="31">
        <f t="shared" ref="P273:P278" si="239">IF(O273="F",0,G273)</f>
        <v>0</v>
      </c>
      <c r="Q273" s="31">
        <f t="shared" ref="Q273:Q278" si="240">IF(O273="F",I273,0)</f>
        <v>0</v>
      </c>
      <c r="R273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99">
        <f t="shared" si="236"/>
        <v>0</v>
      </c>
      <c r="U273" s="99"/>
      <c r="W273" s="17" t="s">
        <v>19</v>
      </c>
      <c r="X273" s="26">
        <f>R279</f>
        <v>0</v>
      </c>
      <c r="Y273" s="37"/>
    </row>
    <row r="274" spans="1:32" x14ac:dyDescent="0.3">
      <c r="B274" s="35" t="str">
        <f>TEXT(Tabelle1217303029720825[[#This Row],[Datum]],"tttt")</f>
        <v>Mittwoch</v>
      </c>
      <c r="C274" s="54">
        <f t="shared" ref="C274:C278" si="241">C273+1</f>
        <v>44364</v>
      </c>
      <c r="D274" s="32"/>
      <c r="E274" s="32"/>
      <c r="F274" s="32"/>
      <c r="G274" s="32"/>
      <c r="H274" s="32"/>
      <c r="I274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5" t="str">
        <f>TEXT(Tabelle121730302972082579[[#This Row],[Datum]],"tttt")</f>
        <v>Mittwoch</v>
      </c>
      <c r="L274" s="54">
        <f t="shared" ref="L274:L278" si="242">L273+1</f>
        <v>44364</v>
      </c>
      <c r="M274" s="31">
        <f t="shared" si="237"/>
        <v>0</v>
      </c>
      <c r="N274" s="31">
        <f t="shared" si="238"/>
        <v>0</v>
      </c>
      <c r="O274" s="32"/>
      <c r="P274" s="31">
        <f t="shared" si="239"/>
        <v>0</v>
      </c>
      <c r="Q274" s="31">
        <f t="shared" si="240"/>
        <v>0</v>
      </c>
      <c r="R274" s="51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99">
        <f>R274-I274</f>
        <v>0</v>
      </c>
      <c r="U274" s="99"/>
      <c r="W274" s="20" t="s">
        <v>20</v>
      </c>
      <c r="X274" s="27">
        <f>X273-X272</f>
        <v>0</v>
      </c>
      <c r="Y274" s="37"/>
      <c r="Z274" s="64">
        <f>Z264+X274</f>
        <v>0</v>
      </c>
    </row>
    <row r="275" spans="1:32" x14ac:dyDescent="0.3">
      <c r="B275" s="34" t="str">
        <f>TEXT(Tabelle1217303029720825[[#This Row],[Datum]],"tttt")</f>
        <v>Donnerstag</v>
      </c>
      <c r="C275" s="54">
        <f t="shared" si="241"/>
        <v>44365</v>
      </c>
      <c r="D275" s="31"/>
      <c r="E275" s="31"/>
      <c r="F275" s="31"/>
      <c r="G275" s="31"/>
      <c r="H275" s="31"/>
      <c r="I275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4" t="str">
        <f>TEXT(Tabelle121730302972082579[[#This Row],[Datum]],"tttt")</f>
        <v>Donnerstag</v>
      </c>
      <c r="L275" s="54">
        <f t="shared" si="242"/>
        <v>44365</v>
      </c>
      <c r="M275" s="31">
        <f t="shared" si="237"/>
        <v>0</v>
      </c>
      <c r="N275" s="31">
        <f t="shared" si="238"/>
        <v>0</v>
      </c>
      <c r="O275" s="31"/>
      <c r="P275" s="31">
        <f t="shared" si="239"/>
        <v>0</v>
      </c>
      <c r="Q275" s="31">
        <f t="shared" si="240"/>
        <v>0</v>
      </c>
      <c r="R275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99">
        <f>R275-I275</f>
        <v>0</v>
      </c>
      <c r="U275" s="99"/>
      <c r="Y275" s="37"/>
    </row>
    <row r="276" spans="1:32" x14ac:dyDescent="0.3">
      <c r="B276" s="36" t="str">
        <f>TEXT(Tabelle1217303029720825[[#This Row],[Datum]],"tttt")</f>
        <v>Freitag</v>
      </c>
      <c r="C276" s="54">
        <f t="shared" si="241"/>
        <v>44366</v>
      </c>
      <c r="D276" s="32"/>
      <c r="E276" s="32"/>
      <c r="F276" s="32"/>
      <c r="G276" s="32"/>
      <c r="H276" s="32"/>
      <c r="I276" s="52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6" t="str">
        <f>TEXT(Tabelle121730302972082579[[#This Row],[Datum]],"tttt")</f>
        <v>Freitag</v>
      </c>
      <c r="L276" s="54">
        <f t="shared" si="242"/>
        <v>44366</v>
      </c>
      <c r="M276" s="31">
        <f t="shared" si="237"/>
        <v>0</v>
      </c>
      <c r="N276" s="31">
        <f t="shared" si="238"/>
        <v>0</v>
      </c>
      <c r="O276" s="32"/>
      <c r="P276" s="31">
        <f t="shared" si="239"/>
        <v>0</v>
      </c>
      <c r="Q276" s="31">
        <f t="shared" si="240"/>
        <v>0</v>
      </c>
      <c r="R276" s="52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99">
        <f>R276-I276</f>
        <v>0</v>
      </c>
      <c r="U276" s="99"/>
      <c r="Y276" s="37"/>
    </row>
    <row r="277" spans="1:32" x14ac:dyDescent="0.3">
      <c r="B277" s="34" t="str">
        <f>TEXT(Tabelle1217303029720825[[#This Row],[Datum]],"tttt")</f>
        <v>Samstag</v>
      </c>
      <c r="C277" s="54">
        <f t="shared" si="241"/>
        <v>44367</v>
      </c>
      <c r="D277" s="31"/>
      <c r="E277" s="31"/>
      <c r="F277" s="31"/>
      <c r="G277" s="31"/>
      <c r="H277" s="31"/>
      <c r="I277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4" t="str">
        <f>TEXT(Tabelle121730302972082579[[#This Row],[Datum]],"tttt")</f>
        <v>Samstag</v>
      </c>
      <c r="L277" s="54">
        <f t="shared" si="242"/>
        <v>44367</v>
      </c>
      <c r="M277" s="31">
        <f t="shared" si="237"/>
        <v>0</v>
      </c>
      <c r="N277" s="31">
        <f t="shared" si="238"/>
        <v>0</v>
      </c>
      <c r="O277" s="31"/>
      <c r="P277" s="31">
        <f t="shared" si="239"/>
        <v>0</v>
      </c>
      <c r="Q277" s="31">
        <f t="shared" si="240"/>
        <v>0</v>
      </c>
      <c r="R277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99">
        <f t="shared" ref="T277:T278" si="243">R277-I277</f>
        <v>0</v>
      </c>
      <c r="U277" s="99"/>
      <c r="Y277" s="37"/>
    </row>
    <row r="278" spans="1:32" s="40" customFormat="1" x14ac:dyDescent="0.3">
      <c r="B278" s="36" t="str">
        <f>TEXT(Tabelle1217303029720825[[#This Row],[Datum]],"tttt")</f>
        <v>Sonntag</v>
      </c>
      <c r="C278" s="55">
        <f t="shared" si="241"/>
        <v>44368</v>
      </c>
      <c r="D278" s="32"/>
      <c r="E278" s="32"/>
      <c r="F278" s="32"/>
      <c r="G278" s="32"/>
      <c r="H278" s="32"/>
      <c r="I278" s="53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6" t="str">
        <f>TEXT(Tabelle121730302972082579[[#This Row],[Datum]],"tttt")</f>
        <v>Sonntag</v>
      </c>
      <c r="L278" s="55">
        <f t="shared" si="242"/>
        <v>44368</v>
      </c>
      <c r="M278" s="31">
        <f t="shared" si="237"/>
        <v>0</v>
      </c>
      <c r="N278" s="31">
        <f t="shared" si="238"/>
        <v>0</v>
      </c>
      <c r="O278" s="32"/>
      <c r="P278" s="31">
        <f t="shared" si="239"/>
        <v>0</v>
      </c>
      <c r="Q278" s="31">
        <f t="shared" si="240"/>
        <v>0</v>
      </c>
      <c r="R278" s="53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99">
        <f t="shared" si="243"/>
        <v>0</v>
      </c>
      <c r="U278" s="99"/>
      <c r="V278" s="42"/>
      <c r="W278" s="42"/>
      <c r="X278" s="45"/>
      <c r="Y278" s="37"/>
      <c r="AB278" s="41"/>
      <c r="AD278" s="29"/>
      <c r="AE278" s="29"/>
      <c r="AF278" s="29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7"/>
    </row>
    <row r="280" spans="1:32" x14ac:dyDescent="0.3">
      <c r="A280" s="37"/>
      <c r="B280" s="38"/>
      <c r="C280" s="37"/>
      <c r="D280" s="37"/>
      <c r="E280" s="37"/>
      <c r="F280" s="37"/>
      <c r="G280" s="37"/>
      <c r="H280" s="37"/>
      <c r="I280" s="38"/>
      <c r="J280" s="37"/>
      <c r="K280" s="38"/>
      <c r="L280" s="37"/>
      <c r="M280" s="37"/>
      <c r="N280" s="37"/>
      <c r="O280" s="37"/>
      <c r="P280" s="37"/>
      <c r="Q280" s="37"/>
      <c r="R280" s="38"/>
      <c r="S280" s="37"/>
      <c r="T280" s="100"/>
      <c r="U280" s="100"/>
      <c r="V280" s="37"/>
      <c r="W280" s="37"/>
      <c r="X280" s="39"/>
      <c r="Y280" s="37"/>
    </row>
    <row r="281" spans="1:32" x14ac:dyDescent="0.3">
      <c r="A281" s="44" t="s">
        <v>33</v>
      </c>
      <c r="B281" s="6" t="s">
        <v>2</v>
      </c>
      <c r="C281" s="7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  <c r="J281" s="44" t="s">
        <v>33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99" t="s">
        <v>11</v>
      </c>
      <c r="U281" s="99"/>
      <c r="W281" s="13" t="s">
        <v>21</v>
      </c>
      <c r="X281" s="15" t="s">
        <v>17</v>
      </c>
      <c r="Y281" s="37"/>
    </row>
    <row r="282" spans="1:32" x14ac:dyDescent="0.3">
      <c r="A282" s="44">
        <f>A272+1</f>
        <v>26</v>
      </c>
      <c r="B282" s="34" t="str">
        <f>TEXT(Tabelle12173030297208326[[#This Row],[Datum]],"tttt")</f>
        <v>Montag</v>
      </c>
      <c r="C282" s="56">
        <f>C278+1</f>
        <v>44369</v>
      </c>
      <c r="D282" s="31"/>
      <c r="E282" s="31"/>
      <c r="F282" s="31"/>
      <c r="G282" s="31"/>
      <c r="H282" s="31"/>
      <c r="I282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4">
        <f>J272+1</f>
        <v>26</v>
      </c>
      <c r="K282" s="34" t="str">
        <f>TEXT(Tabelle1217303029720832680[[#This Row],[Datum]],"tttt")</f>
        <v>Montag</v>
      </c>
      <c r="L282" s="56">
        <f>L278+1</f>
        <v>44369</v>
      </c>
      <c r="M282" s="31">
        <f>IF(O282="F",0,D282)</f>
        <v>0</v>
      </c>
      <c r="N282" s="31">
        <f>IF(O282="F",0,E282)</f>
        <v>0</v>
      </c>
      <c r="O282" s="32"/>
      <c r="P282" s="31">
        <f>IF(O282="F",0,G282)</f>
        <v>0</v>
      </c>
      <c r="Q282" s="31">
        <f>IF(O282="F",I282,0)</f>
        <v>0</v>
      </c>
      <c r="R282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99">
        <f t="shared" ref="T282:T283" si="246">R282-I282</f>
        <v>0</v>
      </c>
      <c r="U282" s="99"/>
      <c r="W282" s="17" t="s">
        <v>18</v>
      </c>
      <c r="X282" s="26">
        <f>I289</f>
        <v>0</v>
      </c>
      <c r="Y282" s="37"/>
    </row>
    <row r="283" spans="1:32" x14ac:dyDescent="0.3">
      <c r="B283" s="34" t="str">
        <f>TEXT(Tabelle12173030297208326[[#This Row],[Datum]],"tttt")</f>
        <v>Dienstag</v>
      </c>
      <c r="C283" s="54">
        <f>C282+1</f>
        <v>44370</v>
      </c>
      <c r="D283" s="31"/>
      <c r="E283" s="31"/>
      <c r="F283" s="31"/>
      <c r="G283" s="31"/>
      <c r="H283" s="31"/>
      <c r="I283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4" t="str">
        <f>TEXT(Tabelle1217303029720832680[[#This Row],[Datum]],"tttt")</f>
        <v>Dienstag</v>
      </c>
      <c r="L283" s="54">
        <f>L282+1</f>
        <v>44370</v>
      </c>
      <c r="M283" s="31">
        <f t="shared" ref="M283:M288" si="247">IF(O283="F",0,D283)</f>
        <v>0</v>
      </c>
      <c r="N283" s="31">
        <f t="shared" ref="N283:N288" si="248">IF(O283="F",0,E283)</f>
        <v>0</v>
      </c>
      <c r="O283" s="31"/>
      <c r="P283" s="31">
        <f t="shared" ref="P283:P288" si="249">IF(O283="F",0,G283)</f>
        <v>0</v>
      </c>
      <c r="Q283" s="31">
        <f t="shared" ref="Q283:Q288" si="250">IF(O283="F",I283,0)</f>
        <v>0</v>
      </c>
      <c r="R283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99">
        <f t="shared" si="246"/>
        <v>0</v>
      </c>
      <c r="U283" s="99"/>
      <c r="W283" s="17" t="s">
        <v>19</v>
      </c>
      <c r="X283" s="26">
        <f>R289</f>
        <v>0</v>
      </c>
      <c r="Y283" s="37"/>
    </row>
    <row r="284" spans="1:32" x14ac:dyDescent="0.3">
      <c r="B284" s="35" t="str">
        <f>TEXT(Tabelle12173030297208326[[#This Row],[Datum]],"tttt")</f>
        <v>Mittwoch</v>
      </c>
      <c r="C284" s="54">
        <f t="shared" ref="C284:C288" si="251">C283+1</f>
        <v>44371</v>
      </c>
      <c r="D284" s="32"/>
      <c r="E284" s="32"/>
      <c r="F284" s="32"/>
      <c r="G284" s="32"/>
      <c r="H284" s="32"/>
      <c r="I284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5" t="str">
        <f>TEXT(Tabelle1217303029720832680[[#This Row],[Datum]],"tttt")</f>
        <v>Mittwoch</v>
      </c>
      <c r="L284" s="54">
        <f t="shared" ref="L284:L288" si="252">L283+1</f>
        <v>44371</v>
      </c>
      <c r="M284" s="31">
        <f t="shared" si="247"/>
        <v>0</v>
      </c>
      <c r="N284" s="31">
        <f t="shared" si="248"/>
        <v>0</v>
      </c>
      <c r="O284" s="32"/>
      <c r="P284" s="31">
        <f t="shared" si="249"/>
        <v>0</v>
      </c>
      <c r="Q284" s="31">
        <f t="shared" si="250"/>
        <v>0</v>
      </c>
      <c r="R284" s="51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99">
        <f>R284-I284</f>
        <v>0</v>
      </c>
      <c r="U284" s="99"/>
      <c r="W284" s="20" t="s">
        <v>20</v>
      </c>
      <c r="X284" s="27">
        <f>X283-X282</f>
        <v>0</v>
      </c>
      <c r="Y284" s="37"/>
      <c r="Z284" s="64">
        <f>Z274+X284</f>
        <v>0</v>
      </c>
    </row>
    <row r="285" spans="1:32" x14ac:dyDescent="0.3">
      <c r="B285" s="34" t="str">
        <f>TEXT(Tabelle12173030297208326[[#This Row],[Datum]],"tttt")</f>
        <v>Donnerstag</v>
      </c>
      <c r="C285" s="54">
        <f t="shared" si="251"/>
        <v>44372</v>
      </c>
      <c r="D285" s="31"/>
      <c r="E285" s="31"/>
      <c r="F285" s="31"/>
      <c r="G285" s="31"/>
      <c r="H285" s="31"/>
      <c r="I285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4" t="str">
        <f>TEXT(Tabelle1217303029720832680[[#This Row],[Datum]],"tttt")</f>
        <v>Donnerstag</v>
      </c>
      <c r="L285" s="54">
        <f t="shared" si="252"/>
        <v>44372</v>
      </c>
      <c r="M285" s="31">
        <f t="shared" si="247"/>
        <v>0</v>
      </c>
      <c r="N285" s="31">
        <f t="shared" si="248"/>
        <v>0</v>
      </c>
      <c r="O285" s="31"/>
      <c r="P285" s="31">
        <f t="shared" si="249"/>
        <v>0</v>
      </c>
      <c r="Q285" s="31">
        <f t="shared" si="250"/>
        <v>0</v>
      </c>
      <c r="R285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99">
        <f>R285-I285</f>
        <v>0</v>
      </c>
      <c r="U285" s="99"/>
      <c r="Y285" s="37"/>
    </row>
    <row r="286" spans="1:32" x14ac:dyDescent="0.3">
      <c r="B286" s="36" t="str">
        <f>TEXT(Tabelle12173030297208326[[#This Row],[Datum]],"tttt")</f>
        <v>Freitag</v>
      </c>
      <c r="C286" s="54">
        <f t="shared" si="251"/>
        <v>44373</v>
      </c>
      <c r="D286" s="32"/>
      <c r="E286" s="32"/>
      <c r="F286" s="32"/>
      <c r="G286" s="32"/>
      <c r="H286" s="32"/>
      <c r="I286" s="52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6" t="str">
        <f>TEXT(Tabelle1217303029720832680[[#This Row],[Datum]],"tttt")</f>
        <v>Freitag</v>
      </c>
      <c r="L286" s="54">
        <f t="shared" si="252"/>
        <v>44373</v>
      </c>
      <c r="M286" s="31">
        <f t="shared" si="247"/>
        <v>0</v>
      </c>
      <c r="N286" s="31">
        <f t="shared" si="248"/>
        <v>0</v>
      </c>
      <c r="O286" s="32"/>
      <c r="P286" s="31">
        <f t="shared" si="249"/>
        <v>0</v>
      </c>
      <c r="Q286" s="31">
        <f t="shared" si="250"/>
        <v>0</v>
      </c>
      <c r="R286" s="52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99">
        <f>R286-I286</f>
        <v>0</v>
      </c>
      <c r="U286" s="99"/>
      <c r="Y286" s="37"/>
    </row>
    <row r="287" spans="1:32" x14ac:dyDescent="0.3">
      <c r="B287" s="34" t="str">
        <f>TEXT(Tabelle12173030297208326[[#This Row],[Datum]],"tttt")</f>
        <v>Samstag</v>
      </c>
      <c r="C287" s="54">
        <f t="shared" si="251"/>
        <v>44374</v>
      </c>
      <c r="D287" s="31"/>
      <c r="E287" s="31"/>
      <c r="F287" s="31"/>
      <c r="G287" s="31"/>
      <c r="H287" s="31"/>
      <c r="I287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4" t="str">
        <f>TEXT(Tabelle1217303029720832680[[#This Row],[Datum]],"tttt")</f>
        <v>Samstag</v>
      </c>
      <c r="L287" s="54">
        <f t="shared" si="252"/>
        <v>44374</v>
      </c>
      <c r="M287" s="31">
        <f t="shared" si="247"/>
        <v>0</v>
      </c>
      <c r="N287" s="31">
        <f t="shared" si="248"/>
        <v>0</v>
      </c>
      <c r="O287" s="31"/>
      <c r="P287" s="31">
        <f t="shared" si="249"/>
        <v>0</v>
      </c>
      <c r="Q287" s="31">
        <f t="shared" si="250"/>
        <v>0</v>
      </c>
      <c r="R287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99">
        <f t="shared" ref="T287:T288" si="253">R287-I287</f>
        <v>0</v>
      </c>
      <c r="U287" s="99"/>
      <c r="Y287" s="37"/>
    </row>
    <row r="288" spans="1:32" s="40" customFormat="1" x14ac:dyDescent="0.3">
      <c r="B288" s="36" t="str">
        <f>TEXT(Tabelle12173030297208326[[#This Row],[Datum]],"tttt")</f>
        <v>Sonntag</v>
      </c>
      <c r="C288" s="55">
        <f t="shared" si="251"/>
        <v>44375</v>
      </c>
      <c r="D288" s="32"/>
      <c r="E288" s="32"/>
      <c r="F288" s="32"/>
      <c r="G288" s="32"/>
      <c r="H288" s="32"/>
      <c r="I288" s="53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6" t="str">
        <f>TEXT(Tabelle1217303029720832680[[#This Row],[Datum]],"tttt")</f>
        <v>Sonntag</v>
      </c>
      <c r="L288" s="55">
        <f t="shared" si="252"/>
        <v>44375</v>
      </c>
      <c r="M288" s="31">
        <f t="shared" si="247"/>
        <v>0</v>
      </c>
      <c r="N288" s="31">
        <f t="shared" si="248"/>
        <v>0</v>
      </c>
      <c r="O288" s="32"/>
      <c r="P288" s="31">
        <f t="shared" si="249"/>
        <v>0</v>
      </c>
      <c r="Q288" s="31">
        <f t="shared" si="250"/>
        <v>0</v>
      </c>
      <c r="R288" s="53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99">
        <f t="shared" si="253"/>
        <v>0</v>
      </c>
      <c r="U288" s="99"/>
      <c r="V288" s="42"/>
      <c r="W288" s="42"/>
      <c r="X288" s="45"/>
      <c r="Y288" s="37"/>
      <c r="AB288" s="41"/>
      <c r="AD288" s="29"/>
      <c r="AE288" s="29"/>
      <c r="AF288" s="29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7"/>
    </row>
    <row r="290" spans="1:32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100"/>
      <c r="U290" s="100"/>
      <c r="V290" s="37"/>
      <c r="W290" s="37"/>
      <c r="X290" s="39"/>
      <c r="Y290" s="37"/>
    </row>
    <row r="291" spans="1:32" x14ac:dyDescent="0.3">
      <c r="A291" s="44" t="s">
        <v>33</v>
      </c>
      <c r="B291" s="6" t="s">
        <v>2</v>
      </c>
      <c r="C291" s="7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4" t="s">
        <v>33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99" t="s">
        <v>11</v>
      </c>
      <c r="U291" s="99"/>
      <c r="W291" s="13" t="s">
        <v>21</v>
      </c>
      <c r="X291" s="15" t="s">
        <v>17</v>
      </c>
      <c r="Y291" s="37"/>
    </row>
    <row r="292" spans="1:32" x14ac:dyDescent="0.3">
      <c r="A292" s="44">
        <f>A282+1</f>
        <v>27</v>
      </c>
      <c r="B292" s="34" t="str">
        <f>TEXT(Tabelle12173030297208427[[#This Row],[Datum]],"tttt")</f>
        <v>Montag</v>
      </c>
      <c r="C292" s="56">
        <f>C288+1</f>
        <v>44376</v>
      </c>
      <c r="D292" s="31"/>
      <c r="E292" s="31"/>
      <c r="F292" s="31"/>
      <c r="G292" s="31"/>
      <c r="H292" s="31"/>
      <c r="I292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4">
        <f>J282+1</f>
        <v>27</v>
      </c>
      <c r="K292" s="34" t="str">
        <f>TEXT(Tabelle1217303029720842781[[#This Row],[Datum]],"tttt")</f>
        <v>Montag</v>
      </c>
      <c r="L292" s="56">
        <f>L288+1</f>
        <v>44376</v>
      </c>
      <c r="M292" s="31">
        <f>IF(O292="F",0,D292)</f>
        <v>0</v>
      </c>
      <c r="N292" s="31">
        <f>IF(O292="F",0,E292)</f>
        <v>0</v>
      </c>
      <c r="O292" s="32"/>
      <c r="P292" s="31">
        <f>IF(O292="F",0,G292)</f>
        <v>0</v>
      </c>
      <c r="Q292" s="31">
        <f>IF(O292="F",I292,0)</f>
        <v>0</v>
      </c>
      <c r="R292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99">
        <f t="shared" ref="T292:T293" si="256">R292-I292</f>
        <v>0</v>
      </c>
      <c r="U292" s="99"/>
      <c r="W292" s="17" t="s">
        <v>18</v>
      </c>
      <c r="X292" s="26">
        <f>I299</f>
        <v>0</v>
      </c>
      <c r="Y292" s="37"/>
    </row>
    <row r="293" spans="1:32" x14ac:dyDescent="0.3">
      <c r="B293" s="34" t="str">
        <f>TEXT(Tabelle12173030297208427[[#This Row],[Datum]],"tttt")</f>
        <v>Dienstag</v>
      </c>
      <c r="C293" s="54">
        <f>C292+1</f>
        <v>44377</v>
      </c>
      <c r="D293" s="31"/>
      <c r="E293" s="31"/>
      <c r="F293" s="31"/>
      <c r="G293" s="31"/>
      <c r="H293" s="31"/>
      <c r="I293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4" t="str">
        <f>TEXT(Tabelle1217303029720842781[[#This Row],[Datum]],"tttt")</f>
        <v>Dienstag</v>
      </c>
      <c r="L293" s="54">
        <f>L292+1</f>
        <v>44377</v>
      </c>
      <c r="M293" s="31">
        <f t="shared" ref="M293:M298" si="257">IF(O293="F",0,D293)</f>
        <v>0</v>
      </c>
      <c r="N293" s="31">
        <f t="shared" ref="N293:N298" si="258">IF(O293="F",0,E293)</f>
        <v>0</v>
      </c>
      <c r="O293" s="31"/>
      <c r="P293" s="31">
        <f t="shared" ref="P293:P298" si="259">IF(O293="F",0,G293)</f>
        <v>0</v>
      </c>
      <c r="Q293" s="31">
        <f t="shared" ref="Q293:Q298" si="260">IF(O293="F",I293,0)</f>
        <v>0</v>
      </c>
      <c r="R293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99">
        <f t="shared" si="256"/>
        <v>0</v>
      </c>
      <c r="U293" s="99"/>
      <c r="W293" s="17" t="s">
        <v>19</v>
      </c>
      <c r="X293" s="26">
        <f>R299</f>
        <v>0</v>
      </c>
      <c r="Y293" s="37"/>
    </row>
    <row r="294" spans="1:32" x14ac:dyDescent="0.3">
      <c r="B294" s="35" t="str">
        <f>TEXT(Tabelle12173030297208427[[#This Row],[Datum]],"tttt")</f>
        <v>Mittwoch</v>
      </c>
      <c r="C294" s="54">
        <f t="shared" ref="C294:C298" si="261">C293+1</f>
        <v>44378</v>
      </c>
      <c r="D294" s="32"/>
      <c r="E294" s="32"/>
      <c r="F294" s="32"/>
      <c r="G294" s="32"/>
      <c r="H294" s="32"/>
      <c r="I294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5" t="str">
        <f>TEXT(Tabelle1217303029720842781[[#This Row],[Datum]],"tttt")</f>
        <v>Mittwoch</v>
      </c>
      <c r="L294" s="54">
        <f t="shared" ref="L294:L298" si="262">L293+1</f>
        <v>44378</v>
      </c>
      <c r="M294" s="31">
        <f t="shared" si="257"/>
        <v>0</v>
      </c>
      <c r="N294" s="31">
        <f t="shared" si="258"/>
        <v>0</v>
      </c>
      <c r="O294" s="32"/>
      <c r="P294" s="31">
        <f t="shared" si="259"/>
        <v>0</v>
      </c>
      <c r="Q294" s="31">
        <f t="shared" si="260"/>
        <v>0</v>
      </c>
      <c r="R294" s="51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99">
        <f>R294-I294</f>
        <v>0</v>
      </c>
      <c r="U294" s="99"/>
      <c r="W294" s="20" t="s">
        <v>20</v>
      </c>
      <c r="X294" s="27">
        <f>X293-X292</f>
        <v>0</v>
      </c>
      <c r="Y294" s="37"/>
      <c r="Z294" s="64">
        <f>Z284+X294</f>
        <v>0</v>
      </c>
    </row>
    <row r="295" spans="1:32" x14ac:dyDescent="0.3">
      <c r="B295" s="34" t="str">
        <f>TEXT(Tabelle12173030297208427[[#This Row],[Datum]],"tttt")</f>
        <v>Donnerstag</v>
      </c>
      <c r="C295" s="54">
        <f t="shared" si="261"/>
        <v>44379</v>
      </c>
      <c r="D295" s="31"/>
      <c r="E295" s="31"/>
      <c r="F295" s="31"/>
      <c r="G295" s="31"/>
      <c r="H295" s="31"/>
      <c r="I295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4" t="str">
        <f>TEXT(Tabelle1217303029720842781[[#This Row],[Datum]],"tttt")</f>
        <v>Donnerstag</v>
      </c>
      <c r="L295" s="54">
        <f t="shared" si="262"/>
        <v>44379</v>
      </c>
      <c r="M295" s="31">
        <f t="shared" si="257"/>
        <v>0</v>
      </c>
      <c r="N295" s="31">
        <f t="shared" si="258"/>
        <v>0</v>
      </c>
      <c r="O295" s="31"/>
      <c r="P295" s="31">
        <f t="shared" si="259"/>
        <v>0</v>
      </c>
      <c r="Q295" s="31">
        <f t="shared" si="260"/>
        <v>0</v>
      </c>
      <c r="R295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99">
        <f>R295-I295</f>
        <v>0</v>
      </c>
      <c r="U295" s="99"/>
      <c r="Y295" s="37"/>
    </row>
    <row r="296" spans="1:32" x14ac:dyDescent="0.3">
      <c r="B296" s="36" t="str">
        <f>TEXT(Tabelle12173030297208427[[#This Row],[Datum]],"tttt")</f>
        <v>Freitag</v>
      </c>
      <c r="C296" s="54">
        <f t="shared" si="261"/>
        <v>44380</v>
      </c>
      <c r="D296" s="32"/>
      <c r="E296" s="32"/>
      <c r="F296" s="32"/>
      <c r="G296" s="32"/>
      <c r="H296" s="32"/>
      <c r="I296" s="52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6" t="str">
        <f>TEXT(Tabelle1217303029720842781[[#This Row],[Datum]],"tttt")</f>
        <v>Freitag</v>
      </c>
      <c r="L296" s="54">
        <f t="shared" si="262"/>
        <v>44380</v>
      </c>
      <c r="M296" s="31">
        <f t="shared" si="257"/>
        <v>0</v>
      </c>
      <c r="N296" s="31">
        <f t="shared" si="258"/>
        <v>0</v>
      </c>
      <c r="O296" s="32"/>
      <c r="P296" s="31">
        <f t="shared" si="259"/>
        <v>0</v>
      </c>
      <c r="Q296" s="31">
        <f t="shared" si="260"/>
        <v>0</v>
      </c>
      <c r="R296" s="52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99">
        <f>R296-I296</f>
        <v>0</v>
      </c>
      <c r="U296" s="99"/>
      <c r="Y296" s="37"/>
    </row>
    <row r="297" spans="1:32" x14ac:dyDescent="0.3">
      <c r="B297" s="34" t="str">
        <f>TEXT(Tabelle12173030297208427[[#This Row],[Datum]],"tttt")</f>
        <v>Samstag</v>
      </c>
      <c r="C297" s="54">
        <f t="shared" si="261"/>
        <v>44381</v>
      </c>
      <c r="D297" s="31"/>
      <c r="E297" s="31"/>
      <c r="F297" s="31"/>
      <c r="G297" s="31"/>
      <c r="H297" s="31"/>
      <c r="I297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4" t="str">
        <f>TEXT(Tabelle1217303029720842781[[#This Row],[Datum]],"tttt")</f>
        <v>Samstag</v>
      </c>
      <c r="L297" s="54">
        <f t="shared" si="262"/>
        <v>44381</v>
      </c>
      <c r="M297" s="31">
        <f t="shared" si="257"/>
        <v>0</v>
      </c>
      <c r="N297" s="31">
        <f t="shared" si="258"/>
        <v>0</v>
      </c>
      <c r="O297" s="31"/>
      <c r="P297" s="31">
        <f t="shared" si="259"/>
        <v>0</v>
      </c>
      <c r="Q297" s="31">
        <f t="shared" si="260"/>
        <v>0</v>
      </c>
      <c r="R297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99">
        <f t="shared" ref="T297:T298" si="263">R297-I297</f>
        <v>0</v>
      </c>
      <c r="U297" s="99"/>
      <c r="Y297" s="37"/>
    </row>
    <row r="298" spans="1:32" s="40" customFormat="1" x14ac:dyDescent="0.3">
      <c r="B298" s="36" t="str">
        <f>TEXT(Tabelle12173030297208427[[#This Row],[Datum]],"tttt")</f>
        <v>Sonntag</v>
      </c>
      <c r="C298" s="55">
        <f t="shared" si="261"/>
        <v>44382</v>
      </c>
      <c r="D298" s="32"/>
      <c r="E298" s="32"/>
      <c r="F298" s="32"/>
      <c r="G298" s="32"/>
      <c r="H298" s="32"/>
      <c r="I298" s="53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6" t="str">
        <f>TEXT(Tabelle1217303029720842781[[#This Row],[Datum]],"tttt")</f>
        <v>Sonntag</v>
      </c>
      <c r="L298" s="55">
        <f t="shared" si="262"/>
        <v>44382</v>
      </c>
      <c r="M298" s="31">
        <f t="shared" si="257"/>
        <v>0</v>
      </c>
      <c r="N298" s="31">
        <f t="shared" si="258"/>
        <v>0</v>
      </c>
      <c r="O298" s="32"/>
      <c r="P298" s="31">
        <f t="shared" si="259"/>
        <v>0</v>
      </c>
      <c r="Q298" s="31">
        <f t="shared" si="260"/>
        <v>0</v>
      </c>
      <c r="R298" s="53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99">
        <f t="shared" si="263"/>
        <v>0</v>
      </c>
      <c r="U298" s="99"/>
      <c r="V298" s="42"/>
      <c r="W298" s="42"/>
      <c r="X298" s="45"/>
      <c r="Y298" s="37"/>
      <c r="AB298" s="41"/>
      <c r="AD298" s="29"/>
      <c r="AE298" s="29"/>
      <c r="AF298" s="29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7"/>
    </row>
    <row r="300" spans="1:32" x14ac:dyDescent="0.3">
      <c r="A300" s="37"/>
      <c r="B300" s="38"/>
      <c r="C300" s="37"/>
      <c r="D300" s="37"/>
      <c r="E300" s="37"/>
      <c r="F300" s="37"/>
      <c r="G300" s="37"/>
      <c r="H300" s="37"/>
      <c r="I300" s="38"/>
      <c r="J300" s="37"/>
      <c r="K300" s="38"/>
      <c r="L300" s="37"/>
      <c r="M300" s="37"/>
      <c r="N300" s="37"/>
      <c r="O300" s="37"/>
      <c r="P300" s="37"/>
      <c r="Q300" s="37"/>
      <c r="R300" s="38"/>
      <c r="S300" s="37"/>
      <c r="T300" s="100"/>
      <c r="U300" s="100"/>
      <c r="V300" s="37"/>
      <c r="W300" s="37"/>
      <c r="X300" s="39"/>
      <c r="Y300" s="37"/>
    </row>
    <row r="301" spans="1:32" x14ac:dyDescent="0.3">
      <c r="A301" s="44" t="s">
        <v>33</v>
      </c>
      <c r="B301" s="6" t="s">
        <v>2</v>
      </c>
      <c r="C301" s="7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4" t="s">
        <v>33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99" t="s">
        <v>11</v>
      </c>
      <c r="U301" s="99"/>
      <c r="W301" s="13" t="s">
        <v>21</v>
      </c>
      <c r="X301" s="15" t="s">
        <v>17</v>
      </c>
      <c r="Y301" s="37"/>
    </row>
    <row r="302" spans="1:32" x14ac:dyDescent="0.3">
      <c r="A302" s="44">
        <f>A292+1</f>
        <v>28</v>
      </c>
      <c r="B302" s="34" t="str">
        <f>TEXT(Tabelle1217303029720828[[#This Row],[Datum]],"tttt")</f>
        <v>Montag</v>
      </c>
      <c r="C302" s="56">
        <f>C298+1</f>
        <v>44383</v>
      </c>
      <c r="D302" s="31"/>
      <c r="E302" s="31"/>
      <c r="F302" s="31"/>
      <c r="G302" s="31"/>
      <c r="H302" s="31"/>
      <c r="I302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4">
        <f>J292+1</f>
        <v>28</v>
      </c>
      <c r="K302" s="34" t="str">
        <f>TEXT(Tabelle121730302972082882[[#This Row],[Datum]],"tttt")</f>
        <v>Montag</v>
      </c>
      <c r="L302" s="56">
        <f>L298+1</f>
        <v>44383</v>
      </c>
      <c r="M302" s="31">
        <f>IF(O302="F",0,D302)</f>
        <v>0</v>
      </c>
      <c r="N302" s="31">
        <f>IF(O302="F",0,E302)</f>
        <v>0</v>
      </c>
      <c r="O302" s="32"/>
      <c r="P302" s="31">
        <f>IF(O302="F",0,G302)</f>
        <v>0</v>
      </c>
      <c r="Q302" s="31">
        <f>IF(O302="F",I302,0)</f>
        <v>0</v>
      </c>
      <c r="R302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99">
        <f t="shared" ref="T302:T303" si="266">R302-I302</f>
        <v>0</v>
      </c>
      <c r="U302" s="99"/>
      <c r="W302" s="17" t="s">
        <v>18</v>
      </c>
      <c r="X302" s="26">
        <f>I309</f>
        <v>0</v>
      </c>
      <c r="Y302" s="37"/>
    </row>
    <row r="303" spans="1:32" x14ac:dyDescent="0.3">
      <c r="B303" s="34" t="str">
        <f>TEXT(Tabelle1217303029720828[[#This Row],[Datum]],"tttt")</f>
        <v>Dienstag</v>
      </c>
      <c r="C303" s="54">
        <f>C302+1</f>
        <v>44384</v>
      </c>
      <c r="D303" s="31"/>
      <c r="E303" s="31"/>
      <c r="F303" s="31"/>
      <c r="G303" s="31"/>
      <c r="H303" s="31"/>
      <c r="I303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4" t="str">
        <f>TEXT(Tabelle121730302972082882[[#This Row],[Datum]],"tttt")</f>
        <v>Dienstag</v>
      </c>
      <c r="L303" s="54">
        <f>L302+1</f>
        <v>44384</v>
      </c>
      <c r="M303" s="31">
        <f t="shared" ref="M303:M308" si="267">IF(O303="F",0,D303)</f>
        <v>0</v>
      </c>
      <c r="N303" s="31">
        <f t="shared" ref="N303:N308" si="268">IF(O303="F",0,E303)</f>
        <v>0</v>
      </c>
      <c r="O303" s="31"/>
      <c r="P303" s="31">
        <f t="shared" ref="P303:P308" si="269">IF(O303="F",0,G303)</f>
        <v>0</v>
      </c>
      <c r="Q303" s="31">
        <f t="shared" ref="Q303:Q308" si="270">IF(O303="F",I303,0)</f>
        <v>0</v>
      </c>
      <c r="R303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99">
        <f t="shared" si="266"/>
        <v>0</v>
      </c>
      <c r="U303" s="99"/>
      <c r="W303" s="17" t="s">
        <v>19</v>
      </c>
      <c r="X303" s="26">
        <f>R309</f>
        <v>0</v>
      </c>
      <c r="Y303" s="37"/>
    </row>
    <row r="304" spans="1:32" x14ac:dyDescent="0.3">
      <c r="B304" s="35" t="str">
        <f>TEXT(Tabelle1217303029720828[[#This Row],[Datum]],"tttt")</f>
        <v>Mittwoch</v>
      </c>
      <c r="C304" s="54">
        <f t="shared" ref="C304:C308" si="271">C303+1</f>
        <v>44385</v>
      </c>
      <c r="D304" s="32"/>
      <c r="E304" s="32"/>
      <c r="F304" s="32"/>
      <c r="G304" s="32"/>
      <c r="H304" s="32"/>
      <c r="I304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5" t="str">
        <f>TEXT(Tabelle121730302972082882[[#This Row],[Datum]],"tttt")</f>
        <v>Mittwoch</v>
      </c>
      <c r="L304" s="54">
        <f t="shared" ref="L304:L308" si="272">L303+1</f>
        <v>44385</v>
      </c>
      <c r="M304" s="31">
        <f t="shared" si="267"/>
        <v>0</v>
      </c>
      <c r="N304" s="31">
        <f t="shared" si="268"/>
        <v>0</v>
      </c>
      <c r="O304" s="32"/>
      <c r="P304" s="31">
        <f t="shared" si="269"/>
        <v>0</v>
      </c>
      <c r="Q304" s="31">
        <f t="shared" si="270"/>
        <v>0</v>
      </c>
      <c r="R304" s="51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99">
        <f>R304-I304</f>
        <v>0</v>
      </c>
      <c r="U304" s="99"/>
      <c r="W304" s="20" t="s">
        <v>20</v>
      </c>
      <c r="X304" s="27">
        <f>X303-X302</f>
        <v>0</v>
      </c>
      <c r="Y304" s="37"/>
      <c r="Z304" s="64">
        <f>Z294+X304</f>
        <v>0</v>
      </c>
    </row>
    <row r="305" spans="1:32" x14ac:dyDescent="0.3">
      <c r="B305" s="34" t="str">
        <f>TEXT(Tabelle1217303029720828[[#This Row],[Datum]],"tttt")</f>
        <v>Donnerstag</v>
      </c>
      <c r="C305" s="54">
        <f t="shared" si="271"/>
        <v>44386</v>
      </c>
      <c r="D305" s="31"/>
      <c r="E305" s="31"/>
      <c r="F305" s="31"/>
      <c r="G305" s="31"/>
      <c r="H305" s="31"/>
      <c r="I305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4" t="str">
        <f>TEXT(Tabelle121730302972082882[[#This Row],[Datum]],"tttt")</f>
        <v>Donnerstag</v>
      </c>
      <c r="L305" s="54">
        <f t="shared" si="272"/>
        <v>44386</v>
      </c>
      <c r="M305" s="31">
        <f t="shared" si="267"/>
        <v>0</v>
      </c>
      <c r="N305" s="31">
        <f t="shared" si="268"/>
        <v>0</v>
      </c>
      <c r="O305" s="31"/>
      <c r="P305" s="31">
        <f t="shared" si="269"/>
        <v>0</v>
      </c>
      <c r="Q305" s="31">
        <f t="shared" si="270"/>
        <v>0</v>
      </c>
      <c r="R305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99">
        <f>R305-I305</f>
        <v>0</v>
      </c>
      <c r="U305" s="99"/>
      <c r="Y305" s="37"/>
    </row>
    <row r="306" spans="1:32" x14ac:dyDescent="0.3">
      <c r="B306" s="36" t="str">
        <f>TEXT(Tabelle1217303029720828[[#This Row],[Datum]],"tttt")</f>
        <v>Freitag</v>
      </c>
      <c r="C306" s="54">
        <f t="shared" si="271"/>
        <v>44387</v>
      </c>
      <c r="D306" s="32"/>
      <c r="E306" s="32"/>
      <c r="F306" s="32"/>
      <c r="G306" s="32"/>
      <c r="H306" s="32"/>
      <c r="I306" s="52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6" t="str">
        <f>TEXT(Tabelle121730302972082882[[#This Row],[Datum]],"tttt")</f>
        <v>Freitag</v>
      </c>
      <c r="L306" s="54">
        <f t="shared" si="272"/>
        <v>44387</v>
      </c>
      <c r="M306" s="31">
        <f t="shared" si="267"/>
        <v>0</v>
      </c>
      <c r="N306" s="31">
        <f t="shared" si="268"/>
        <v>0</v>
      </c>
      <c r="O306" s="32"/>
      <c r="P306" s="31">
        <f t="shared" si="269"/>
        <v>0</v>
      </c>
      <c r="Q306" s="31">
        <f t="shared" si="270"/>
        <v>0</v>
      </c>
      <c r="R306" s="52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99">
        <f>R306-I306</f>
        <v>0</v>
      </c>
      <c r="U306" s="99"/>
      <c r="Y306" s="37"/>
    </row>
    <row r="307" spans="1:32" x14ac:dyDescent="0.3">
      <c r="B307" s="34" t="str">
        <f>TEXT(Tabelle1217303029720828[[#This Row],[Datum]],"tttt")</f>
        <v>Samstag</v>
      </c>
      <c r="C307" s="54">
        <f t="shared" si="271"/>
        <v>44388</v>
      </c>
      <c r="D307" s="31"/>
      <c r="E307" s="31"/>
      <c r="F307" s="31"/>
      <c r="G307" s="31"/>
      <c r="H307" s="31"/>
      <c r="I307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4" t="str">
        <f>TEXT(Tabelle121730302972082882[[#This Row],[Datum]],"tttt")</f>
        <v>Samstag</v>
      </c>
      <c r="L307" s="54">
        <f t="shared" si="272"/>
        <v>44388</v>
      </c>
      <c r="M307" s="31">
        <f t="shared" si="267"/>
        <v>0</v>
      </c>
      <c r="N307" s="31">
        <f t="shared" si="268"/>
        <v>0</v>
      </c>
      <c r="O307" s="31"/>
      <c r="P307" s="31">
        <f t="shared" si="269"/>
        <v>0</v>
      </c>
      <c r="Q307" s="31">
        <f t="shared" si="270"/>
        <v>0</v>
      </c>
      <c r="R307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99">
        <f t="shared" ref="T307:T308" si="273">R307-I307</f>
        <v>0</v>
      </c>
      <c r="U307" s="99"/>
      <c r="Y307" s="37"/>
    </row>
    <row r="308" spans="1:32" s="40" customFormat="1" x14ac:dyDescent="0.3">
      <c r="B308" s="36" t="str">
        <f>TEXT(Tabelle1217303029720828[[#This Row],[Datum]],"tttt")</f>
        <v>Sonntag</v>
      </c>
      <c r="C308" s="55">
        <f t="shared" si="271"/>
        <v>44389</v>
      </c>
      <c r="D308" s="32"/>
      <c r="E308" s="32"/>
      <c r="F308" s="32"/>
      <c r="G308" s="32"/>
      <c r="H308" s="32"/>
      <c r="I308" s="53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6" t="str">
        <f>TEXT(Tabelle121730302972082882[[#This Row],[Datum]],"tttt")</f>
        <v>Sonntag</v>
      </c>
      <c r="L308" s="55">
        <f t="shared" si="272"/>
        <v>44389</v>
      </c>
      <c r="M308" s="31">
        <f t="shared" si="267"/>
        <v>0</v>
      </c>
      <c r="N308" s="31">
        <f t="shared" si="268"/>
        <v>0</v>
      </c>
      <c r="O308" s="32"/>
      <c r="P308" s="31">
        <f t="shared" si="269"/>
        <v>0</v>
      </c>
      <c r="Q308" s="31">
        <f t="shared" si="270"/>
        <v>0</v>
      </c>
      <c r="R308" s="53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99">
        <f t="shared" si="273"/>
        <v>0</v>
      </c>
      <c r="U308" s="99"/>
      <c r="V308" s="42"/>
      <c r="W308" s="42"/>
      <c r="X308" s="45"/>
      <c r="Y308" s="37"/>
      <c r="AB308" s="41"/>
      <c r="AD308" s="29"/>
      <c r="AE308" s="29"/>
      <c r="AF308" s="29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7"/>
    </row>
    <row r="310" spans="1:32" x14ac:dyDescent="0.3">
      <c r="A310" s="37"/>
      <c r="B310" s="38"/>
      <c r="C310" s="37"/>
      <c r="D310" s="37"/>
      <c r="E310" s="37"/>
      <c r="F310" s="37"/>
      <c r="G310" s="37"/>
      <c r="H310" s="37"/>
      <c r="I310" s="38"/>
      <c r="J310" s="37"/>
      <c r="K310" s="38"/>
      <c r="L310" s="37"/>
      <c r="M310" s="37"/>
      <c r="N310" s="37"/>
      <c r="O310" s="37"/>
      <c r="P310" s="37"/>
      <c r="Q310" s="37"/>
      <c r="R310" s="38"/>
      <c r="S310" s="37"/>
      <c r="T310" s="100"/>
      <c r="U310" s="100"/>
      <c r="V310" s="37"/>
      <c r="W310" s="37"/>
      <c r="X310" s="39"/>
      <c r="Y310" s="37"/>
    </row>
    <row r="311" spans="1:32" x14ac:dyDescent="0.3">
      <c r="A311" s="44" t="s">
        <v>33</v>
      </c>
      <c r="B311" s="6" t="s">
        <v>2</v>
      </c>
      <c r="C311" s="7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4" t="s">
        <v>33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99" t="s">
        <v>11</v>
      </c>
      <c r="U311" s="99"/>
      <c r="W311" s="13" t="s">
        <v>21</v>
      </c>
      <c r="X311" s="15" t="s">
        <v>17</v>
      </c>
      <c r="Y311" s="37"/>
    </row>
    <row r="312" spans="1:32" x14ac:dyDescent="0.3">
      <c r="A312" s="44">
        <f>A302+1</f>
        <v>29</v>
      </c>
      <c r="B312" s="34" t="str">
        <f>TEXT(Tabelle12173030297208329[[#This Row],[Datum]],"tttt")</f>
        <v>Montag</v>
      </c>
      <c r="C312" s="56">
        <f>C308+1</f>
        <v>44390</v>
      </c>
      <c r="D312" s="31"/>
      <c r="E312" s="31"/>
      <c r="F312" s="31"/>
      <c r="G312" s="31"/>
      <c r="H312" s="31"/>
      <c r="I312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4">
        <f>J302+1</f>
        <v>29</v>
      </c>
      <c r="K312" s="34" t="str">
        <f>TEXT(Tabelle1217303029720832983[[#This Row],[Datum]],"tttt")</f>
        <v>Montag</v>
      </c>
      <c r="L312" s="56">
        <f>L308+1</f>
        <v>44390</v>
      </c>
      <c r="M312" s="31">
        <f>IF(O312="F",0,D312)</f>
        <v>0</v>
      </c>
      <c r="N312" s="31">
        <f>IF(O312="F",0,E312)</f>
        <v>0</v>
      </c>
      <c r="O312" s="32"/>
      <c r="P312" s="31">
        <f>IF(O312="F",0,G312)</f>
        <v>0</v>
      </c>
      <c r="Q312" s="31">
        <f>IF(O312="F",I312,0)</f>
        <v>0</v>
      </c>
      <c r="R312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99">
        <f t="shared" ref="T312:T313" si="276">R312-I312</f>
        <v>0</v>
      </c>
      <c r="U312" s="99"/>
      <c r="W312" s="17" t="s">
        <v>18</v>
      </c>
      <c r="X312" s="26">
        <f>I319</f>
        <v>0</v>
      </c>
      <c r="Y312" s="37"/>
    </row>
    <row r="313" spans="1:32" x14ac:dyDescent="0.3">
      <c r="B313" s="34" t="str">
        <f>TEXT(Tabelle12173030297208329[[#This Row],[Datum]],"tttt")</f>
        <v>Dienstag</v>
      </c>
      <c r="C313" s="54">
        <f>C312+1</f>
        <v>44391</v>
      </c>
      <c r="D313" s="31"/>
      <c r="E313" s="31"/>
      <c r="F313" s="31"/>
      <c r="G313" s="31"/>
      <c r="H313" s="31"/>
      <c r="I313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4" t="str">
        <f>TEXT(Tabelle1217303029720832983[[#This Row],[Datum]],"tttt")</f>
        <v>Dienstag</v>
      </c>
      <c r="L313" s="54">
        <f>L312+1</f>
        <v>44391</v>
      </c>
      <c r="M313" s="31">
        <f t="shared" ref="M313:M318" si="277">IF(O313="F",0,D313)</f>
        <v>0</v>
      </c>
      <c r="N313" s="31">
        <f t="shared" ref="N313:N318" si="278">IF(O313="F",0,E313)</f>
        <v>0</v>
      </c>
      <c r="O313" s="31"/>
      <c r="P313" s="31">
        <f t="shared" ref="P313:P318" si="279">IF(O313="F",0,G313)</f>
        <v>0</v>
      </c>
      <c r="Q313" s="31">
        <f t="shared" ref="Q313:Q318" si="280">IF(O313="F",I313,0)</f>
        <v>0</v>
      </c>
      <c r="R313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99">
        <f t="shared" si="276"/>
        <v>0</v>
      </c>
      <c r="U313" s="99"/>
      <c r="W313" s="17" t="s">
        <v>19</v>
      </c>
      <c r="X313" s="26">
        <f>R319</f>
        <v>0</v>
      </c>
      <c r="Y313" s="37"/>
    </row>
    <row r="314" spans="1:32" x14ac:dyDescent="0.3">
      <c r="B314" s="35" t="str">
        <f>TEXT(Tabelle12173030297208329[[#This Row],[Datum]],"tttt")</f>
        <v>Mittwoch</v>
      </c>
      <c r="C314" s="54">
        <f t="shared" ref="C314:C318" si="281">C313+1</f>
        <v>44392</v>
      </c>
      <c r="D314" s="32"/>
      <c r="E314" s="32"/>
      <c r="F314" s="32"/>
      <c r="G314" s="32"/>
      <c r="H314" s="32"/>
      <c r="I314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5" t="str">
        <f>TEXT(Tabelle1217303029720832983[[#This Row],[Datum]],"tttt")</f>
        <v>Mittwoch</v>
      </c>
      <c r="L314" s="54">
        <f t="shared" ref="L314:L318" si="282">L313+1</f>
        <v>44392</v>
      </c>
      <c r="M314" s="31">
        <f t="shared" si="277"/>
        <v>0</v>
      </c>
      <c r="N314" s="31">
        <f t="shared" si="278"/>
        <v>0</v>
      </c>
      <c r="O314" s="32"/>
      <c r="P314" s="31">
        <f t="shared" si="279"/>
        <v>0</v>
      </c>
      <c r="Q314" s="31">
        <f t="shared" si="280"/>
        <v>0</v>
      </c>
      <c r="R314" s="51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99">
        <f>R314-I314</f>
        <v>0</v>
      </c>
      <c r="U314" s="99"/>
      <c r="W314" s="20" t="s">
        <v>20</v>
      </c>
      <c r="X314" s="27">
        <f>X313-X312</f>
        <v>0</v>
      </c>
      <c r="Y314" s="37"/>
      <c r="Z314" s="64">
        <f>Z304+X314</f>
        <v>0</v>
      </c>
    </row>
    <row r="315" spans="1:32" x14ac:dyDescent="0.3">
      <c r="B315" s="34" t="str">
        <f>TEXT(Tabelle12173030297208329[[#This Row],[Datum]],"tttt")</f>
        <v>Donnerstag</v>
      </c>
      <c r="C315" s="54">
        <f t="shared" si="281"/>
        <v>44393</v>
      </c>
      <c r="D315" s="31"/>
      <c r="E315" s="31"/>
      <c r="F315" s="31"/>
      <c r="G315" s="31"/>
      <c r="H315" s="31"/>
      <c r="I315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4" t="str">
        <f>TEXT(Tabelle1217303029720832983[[#This Row],[Datum]],"tttt")</f>
        <v>Donnerstag</v>
      </c>
      <c r="L315" s="54">
        <f t="shared" si="282"/>
        <v>44393</v>
      </c>
      <c r="M315" s="31">
        <f t="shared" si="277"/>
        <v>0</v>
      </c>
      <c r="N315" s="31">
        <f t="shared" si="278"/>
        <v>0</v>
      </c>
      <c r="O315" s="31"/>
      <c r="P315" s="31">
        <f t="shared" si="279"/>
        <v>0</v>
      </c>
      <c r="Q315" s="31">
        <f t="shared" si="280"/>
        <v>0</v>
      </c>
      <c r="R315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99">
        <f>R315-I315</f>
        <v>0</v>
      </c>
      <c r="U315" s="99"/>
      <c r="Y315" s="37"/>
    </row>
    <row r="316" spans="1:32" x14ac:dyDescent="0.3">
      <c r="B316" s="36" t="str">
        <f>TEXT(Tabelle12173030297208329[[#This Row],[Datum]],"tttt")</f>
        <v>Freitag</v>
      </c>
      <c r="C316" s="54">
        <f t="shared" si="281"/>
        <v>44394</v>
      </c>
      <c r="D316" s="32"/>
      <c r="E316" s="32"/>
      <c r="F316" s="32"/>
      <c r="G316" s="32"/>
      <c r="H316" s="32"/>
      <c r="I316" s="52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6" t="str">
        <f>TEXT(Tabelle1217303029720832983[[#This Row],[Datum]],"tttt")</f>
        <v>Freitag</v>
      </c>
      <c r="L316" s="54">
        <f t="shared" si="282"/>
        <v>44394</v>
      </c>
      <c r="M316" s="31">
        <f t="shared" si="277"/>
        <v>0</v>
      </c>
      <c r="N316" s="31">
        <f t="shared" si="278"/>
        <v>0</v>
      </c>
      <c r="O316" s="32"/>
      <c r="P316" s="31">
        <f t="shared" si="279"/>
        <v>0</v>
      </c>
      <c r="Q316" s="31">
        <f t="shared" si="280"/>
        <v>0</v>
      </c>
      <c r="R316" s="52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99">
        <f>R316-I316</f>
        <v>0</v>
      </c>
      <c r="U316" s="99"/>
      <c r="Y316" s="37"/>
    </row>
    <row r="317" spans="1:32" x14ac:dyDescent="0.3">
      <c r="B317" s="34" t="str">
        <f>TEXT(Tabelle12173030297208329[[#This Row],[Datum]],"tttt")</f>
        <v>Samstag</v>
      </c>
      <c r="C317" s="54">
        <f t="shared" si="281"/>
        <v>44395</v>
      </c>
      <c r="D317" s="31"/>
      <c r="E317" s="31"/>
      <c r="F317" s="31"/>
      <c r="G317" s="31"/>
      <c r="H317" s="31"/>
      <c r="I317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4" t="str">
        <f>TEXT(Tabelle1217303029720832983[[#This Row],[Datum]],"tttt")</f>
        <v>Samstag</v>
      </c>
      <c r="L317" s="54">
        <f t="shared" si="282"/>
        <v>44395</v>
      </c>
      <c r="M317" s="31">
        <f t="shared" si="277"/>
        <v>0</v>
      </c>
      <c r="N317" s="31">
        <f t="shared" si="278"/>
        <v>0</v>
      </c>
      <c r="O317" s="31"/>
      <c r="P317" s="31">
        <f t="shared" si="279"/>
        <v>0</v>
      </c>
      <c r="Q317" s="31">
        <f t="shared" si="280"/>
        <v>0</v>
      </c>
      <c r="R317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99">
        <f t="shared" ref="T317:T318" si="283">R317-I317</f>
        <v>0</v>
      </c>
      <c r="U317" s="99"/>
      <c r="Y317" s="37"/>
    </row>
    <row r="318" spans="1:32" s="40" customFormat="1" x14ac:dyDescent="0.3">
      <c r="B318" s="36" t="str">
        <f>TEXT(Tabelle12173030297208329[[#This Row],[Datum]],"tttt")</f>
        <v>Sonntag</v>
      </c>
      <c r="C318" s="55">
        <f t="shared" si="281"/>
        <v>44396</v>
      </c>
      <c r="D318" s="32"/>
      <c r="E318" s="32"/>
      <c r="F318" s="32"/>
      <c r="G318" s="32"/>
      <c r="H318" s="32"/>
      <c r="I318" s="53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6" t="str">
        <f>TEXT(Tabelle1217303029720832983[[#This Row],[Datum]],"tttt")</f>
        <v>Sonntag</v>
      </c>
      <c r="L318" s="55">
        <f t="shared" si="282"/>
        <v>44396</v>
      </c>
      <c r="M318" s="31">
        <f t="shared" si="277"/>
        <v>0</v>
      </c>
      <c r="N318" s="31">
        <f t="shared" si="278"/>
        <v>0</v>
      </c>
      <c r="O318" s="32"/>
      <c r="P318" s="31">
        <f t="shared" si="279"/>
        <v>0</v>
      </c>
      <c r="Q318" s="31">
        <f t="shared" si="280"/>
        <v>0</v>
      </c>
      <c r="R318" s="53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99">
        <f t="shared" si="283"/>
        <v>0</v>
      </c>
      <c r="U318" s="99"/>
      <c r="V318" s="42"/>
      <c r="W318" s="42"/>
      <c r="X318" s="45"/>
      <c r="Y318" s="37"/>
      <c r="AB318" s="41"/>
      <c r="AD318" s="29"/>
      <c r="AE318" s="29"/>
      <c r="AF318" s="29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7"/>
    </row>
    <row r="320" spans="1:32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100"/>
      <c r="U320" s="100"/>
      <c r="V320" s="37"/>
      <c r="W320" s="37"/>
      <c r="X320" s="39"/>
      <c r="Y320" s="37"/>
    </row>
    <row r="321" spans="1:32" x14ac:dyDescent="0.3">
      <c r="A321" s="44" t="s">
        <v>33</v>
      </c>
      <c r="B321" s="6" t="s">
        <v>2</v>
      </c>
      <c r="C321" s="7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  <c r="J321" s="44" t="s">
        <v>33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99" t="s">
        <v>11</v>
      </c>
      <c r="U321" s="99"/>
      <c r="W321" s="13" t="s">
        <v>21</v>
      </c>
      <c r="X321" s="15" t="s">
        <v>17</v>
      </c>
      <c r="Y321" s="37"/>
    </row>
    <row r="322" spans="1:32" x14ac:dyDescent="0.3">
      <c r="A322" s="44">
        <f>A312+1</f>
        <v>30</v>
      </c>
      <c r="B322" s="34" t="str">
        <f>TEXT(Tabelle12173030297208431[[#This Row],[Datum]],"tttt")</f>
        <v>Montag</v>
      </c>
      <c r="C322" s="56">
        <f>C318+1</f>
        <v>44397</v>
      </c>
      <c r="D322" s="31"/>
      <c r="E322" s="31"/>
      <c r="F322" s="31"/>
      <c r="G322" s="31"/>
      <c r="H322" s="31"/>
      <c r="I322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4">
        <f>J312+1</f>
        <v>30</v>
      </c>
      <c r="K322" s="34" t="str">
        <f>TEXT(Tabelle1217303029720843184[[#This Row],[Datum]],"tttt")</f>
        <v>Montag</v>
      </c>
      <c r="L322" s="56">
        <f>L318+1</f>
        <v>44397</v>
      </c>
      <c r="M322" s="31">
        <f>IF(O322="F",0,D322)</f>
        <v>0</v>
      </c>
      <c r="N322" s="31">
        <f>IF(O322="F",0,E322)</f>
        <v>0</v>
      </c>
      <c r="O322" s="32"/>
      <c r="P322" s="31">
        <f>IF(O322="F",0,G322)</f>
        <v>0</v>
      </c>
      <c r="Q322" s="31">
        <f>IF(O322="F",I322,0)</f>
        <v>0</v>
      </c>
      <c r="R322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99">
        <f t="shared" ref="T322:T323" si="286">R322-I322</f>
        <v>0</v>
      </c>
      <c r="U322" s="99"/>
      <c r="W322" s="17" t="s">
        <v>18</v>
      </c>
      <c r="X322" s="26">
        <f>I329</f>
        <v>0</v>
      </c>
      <c r="Y322" s="37"/>
    </row>
    <row r="323" spans="1:32" x14ac:dyDescent="0.3">
      <c r="B323" s="34" t="str">
        <f>TEXT(Tabelle12173030297208431[[#This Row],[Datum]],"tttt")</f>
        <v>Dienstag</v>
      </c>
      <c r="C323" s="54">
        <f>C322+1</f>
        <v>44398</v>
      </c>
      <c r="D323" s="31"/>
      <c r="E323" s="31"/>
      <c r="F323" s="31"/>
      <c r="G323" s="31"/>
      <c r="H323" s="31"/>
      <c r="I323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4" t="str">
        <f>TEXT(Tabelle1217303029720843184[[#This Row],[Datum]],"tttt")</f>
        <v>Dienstag</v>
      </c>
      <c r="L323" s="54">
        <f>L322+1</f>
        <v>44398</v>
      </c>
      <c r="M323" s="31">
        <f t="shared" ref="M323:M328" si="287">IF(O323="F",0,D323)</f>
        <v>0</v>
      </c>
      <c r="N323" s="31">
        <f t="shared" ref="N323:N328" si="288">IF(O323="F",0,E323)</f>
        <v>0</v>
      </c>
      <c r="O323" s="31"/>
      <c r="P323" s="31">
        <f t="shared" ref="P323:P328" si="289">IF(O323="F",0,G323)</f>
        <v>0</v>
      </c>
      <c r="Q323" s="31">
        <f t="shared" ref="Q323:Q328" si="290">IF(O323="F",I323,0)</f>
        <v>0</v>
      </c>
      <c r="R323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99">
        <f t="shared" si="286"/>
        <v>0</v>
      </c>
      <c r="U323" s="99"/>
      <c r="W323" s="17" t="s">
        <v>19</v>
      </c>
      <c r="X323" s="26">
        <f>R329</f>
        <v>0</v>
      </c>
      <c r="Y323" s="37"/>
    </row>
    <row r="324" spans="1:32" x14ac:dyDescent="0.3">
      <c r="B324" s="35" t="str">
        <f>TEXT(Tabelle12173030297208431[[#This Row],[Datum]],"tttt")</f>
        <v>Mittwoch</v>
      </c>
      <c r="C324" s="54">
        <f t="shared" ref="C324:C328" si="291">C323+1</f>
        <v>44399</v>
      </c>
      <c r="D324" s="32"/>
      <c r="E324" s="32"/>
      <c r="F324" s="32"/>
      <c r="G324" s="32"/>
      <c r="H324" s="32"/>
      <c r="I324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5" t="str">
        <f>TEXT(Tabelle1217303029720843184[[#This Row],[Datum]],"tttt")</f>
        <v>Mittwoch</v>
      </c>
      <c r="L324" s="54">
        <f t="shared" ref="L324:L328" si="292">L323+1</f>
        <v>44399</v>
      </c>
      <c r="M324" s="31">
        <f t="shared" si="287"/>
        <v>0</v>
      </c>
      <c r="N324" s="31">
        <f t="shared" si="288"/>
        <v>0</v>
      </c>
      <c r="O324" s="32"/>
      <c r="P324" s="31">
        <f t="shared" si="289"/>
        <v>0</v>
      </c>
      <c r="Q324" s="31">
        <f t="shared" si="290"/>
        <v>0</v>
      </c>
      <c r="R324" s="51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99">
        <f>R324-I324</f>
        <v>0</v>
      </c>
      <c r="U324" s="99"/>
      <c r="W324" s="20" t="s">
        <v>20</v>
      </c>
      <c r="X324" s="27">
        <f>X323-X322</f>
        <v>0</v>
      </c>
      <c r="Y324" s="37"/>
      <c r="Z324" s="64">
        <f>Z314+X324</f>
        <v>0</v>
      </c>
    </row>
    <row r="325" spans="1:32" x14ac:dyDescent="0.3">
      <c r="B325" s="34" t="str">
        <f>TEXT(Tabelle12173030297208431[[#This Row],[Datum]],"tttt")</f>
        <v>Donnerstag</v>
      </c>
      <c r="C325" s="54">
        <f t="shared" si="291"/>
        <v>44400</v>
      </c>
      <c r="D325" s="31"/>
      <c r="E325" s="31"/>
      <c r="F325" s="31"/>
      <c r="G325" s="31"/>
      <c r="H325" s="31"/>
      <c r="I325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4" t="str">
        <f>TEXT(Tabelle1217303029720843184[[#This Row],[Datum]],"tttt")</f>
        <v>Donnerstag</v>
      </c>
      <c r="L325" s="54">
        <f t="shared" si="292"/>
        <v>44400</v>
      </c>
      <c r="M325" s="31">
        <f t="shared" si="287"/>
        <v>0</v>
      </c>
      <c r="N325" s="31">
        <f t="shared" si="288"/>
        <v>0</v>
      </c>
      <c r="O325" s="31"/>
      <c r="P325" s="31">
        <f t="shared" si="289"/>
        <v>0</v>
      </c>
      <c r="Q325" s="31">
        <f t="shared" si="290"/>
        <v>0</v>
      </c>
      <c r="R325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99">
        <f>R325-I325</f>
        <v>0</v>
      </c>
      <c r="U325" s="99"/>
      <c r="Y325" s="37"/>
    </row>
    <row r="326" spans="1:32" x14ac:dyDescent="0.3">
      <c r="B326" s="36" t="str">
        <f>TEXT(Tabelle12173030297208431[[#This Row],[Datum]],"tttt")</f>
        <v>Freitag</v>
      </c>
      <c r="C326" s="54">
        <f t="shared" si="291"/>
        <v>44401</v>
      </c>
      <c r="D326" s="32"/>
      <c r="E326" s="32"/>
      <c r="F326" s="32"/>
      <c r="G326" s="32"/>
      <c r="H326" s="32"/>
      <c r="I326" s="52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6" t="str">
        <f>TEXT(Tabelle1217303029720843184[[#This Row],[Datum]],"tttt")</f>
        <v>Freitag</v>
      </c>
      <c r="L326" s="54">
        <f t="shared" si="292"/>
        <v>44401</v>
      </c>
      <c r="M326" s="31">
        <f t="shared" si="287"/>
        <v>0</v>
      </c>
      <c r="N326" s="31">
        <f t="shared" si="288"/>
        <v>0</v>
      </c>
      <c r="O326" s="32"/>
      <c r="P326" s="31">
        <f t="shared" si="289"/>
        <v>0</v>
      </c>
      <c r="Q326" s="31">
        <f t="shared" si="290"/>
        <v>0</v>
      </c>
      <c r="R326" s="52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99">
        <f>R326-I326</f>
        <v>0</v>
      </c>
      <c r="U326" s="99"/>
      <c r="Y326" s="37"/>
    </row>
    <row r="327" spans="1:32" x14ac:dyDescent="0.3">
      <c r="B327" s="34" t="str">
        <f>TEXT(Tabelle12173030297208431[[#This Row],[Datum]],"tttt")</f>
        <v>Samstag</v>
      </c>
      <c r="C327" s="54">
        <f t="shared" si="291"/>
        <v>44402</v>
      </c>
      <c r="D327" s="31"/>
      <c r="E327" s="31"/>
      <c r="F327" s="31"/>
      <c r="G327" s="31"/>
      <c r="H327" s="31"/>
      <c r="I327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4" t="str">
        <f>TEXT(Tabelle1217303029720843184[[#This Row],[Datum]],"tttt")</f>
        <v>Samstag</v>
      </c>
      <c r="L327" s="54">
        <f t="shared" si="292"/>
        <v>44402</v>
      </c>
      <c r="M327" s="31">
        <f t="shared" si="287"/>
        <v>0</v>
      </c>
      <c r="N327" s="31">
        <f t="shared" si="288"/>
        <v>0</v>
      </c>
      <c r="O327" s="31"/>
      <c r="P327" s="31">
        <f t="shared" si="289"/>
        <v>0</v>
      </c>
      <c r="Q327" s="31">
        <f t="shared" si="290"/>
        <v>0</v>
      </c>
      <c r="R327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99">
        <f t="shared" ref="T327:T328" si="293">R327-I327</f>
        <v>0</v>
      </c>
      <c r="U327" s="99"/>
      <c r="Y327" s="37"/>
    </row>
    <row r="328" spans="1:32" s="40" customFormat="1" x14ac:dyDescent="0.3">
      <c r="B328" s="36" t="str">
        <f>TEXT(Tabelle12173030297208431[[#This Row],[Datum]],"tttt")</f>
        <v>Sonntag</v>
      </c>
      <c r="C328" s="55">
        <f t="shared" si="291"/>
        <v>44403</v>
      </c>
      <c r="D328" s="32"/>
      <c r="E328" s="32"/>
      <c r="F328" s="32"/>
      <c r="G328" s="32"/>
      <c r="H328" s="32"/>
      <c r="I328" s="53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6" t="str">
        <f>TEXT(Tabelle1217303029720843184[[#This Row],[Datum]],"tttt")</f>
        <v>Sonntag</v>
      </c>
      <c r="L328" s="55">
        <f t="shared" si="292"/>
        <v>44403</v>
      </c>
      <c r="M328" s="31">
        <f t="shared" si="287"/>
        <v>0</v>
      </c>
      <c r="N328" s="31">
        <f t="shared" si="288"/>
        <v>0</v>
      </c>
      <c r="O328" s="32"/>
      <c r="P328" s="31">
        <f t="shared" si="289"/>
        <v>0</v>
      </c>
      <c r="Q328" s="31">
        <f t="shared" si="290"/>
        <v>0</v>
      </c>
      <c r="R328" s="53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99">
        <f t="shared" si="293"/>
        <v>0</v>
      </c>
      <c r="U328" s="99"/>
      <c r="V328" s="42"/>
      <c r="W328" s="42"/>
      <c r="X328" s="45"/>
      <c r="Y328" s="37"/>
      <c r="AB328" s="41"/>
      <c r="AD328" s="29"/>
      <c r="AE328" s="29"/>
      <c r="AF328" s="29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7"/>
    </row>
    <row r="330" spans="1:32" x14ac:dyDescent="0.3">
      <c r="A330" s="37"/>
      <c r="B330" s="38"/>
      <c r="C330" s="37"/>
      <c r="D330" s="37"/>
      <c r="E330" s="37"/>
      <c r="F330" s="37"/>
      <c r="G330" s="37"/>
      <c r="H330" s="37"/>
      <c r="I330" s="38"/>
      <c r="J330" s="37"/>
      <c r="K330" s="38"/>
      <c r="L330" s="37"/>
      <c r="M330" s="37"/>
      <c r="N330" s="37"/>
      <c r="O330" s="37"/>
      <c r="P330" s="37"/>
      <c r="Q330" s="37"/>
      <c r="R330" s="38"/>
      <c r="S330" s="37"/>
      <c r="T330" s="100"/>
      <c r="U330" s="100"/>
      <c r="V330" s="37"/>
      <c r="W330" s="37"/>
      <c r="X330" s="39"/>
      <c r="Y330" s="37"/>
    </row>
    <row r="331" spans="1:32" x14ac:dyDescent="0.3">
      <c r="A331" s="44" t="s">
        <v>33</v>
      </c>
      <c r="B331" s="6" t="s">
        <v>2</v>
      </c>
      <c r="C331" s="7" t="s">
        <v>3</v>
      </c>
      <c r="D331" s="4" t="s">
        <v>4</v>
      </c>
      <c r="E331" s="4" t="s">
        <v>5</v>
      </c>
      <c r="F331" s="4" t="s">
        <v>6</v>
      </c>
      <c r="G331" s="4" t="s">
        <v>7</v>
      </c>
      <c r="H331" s="4" t="s">
        <v>8</v>
      </c>
      <c r="I331" s="4" t="s">
        <v>9</v>
      </c>
      <c r="J331" s="44" t="s">
        <v>33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99" t="s">
        <v>11</v>
      </c>
      <c r="U331" s="99"/>
      <c r="W331" s="13" t="s">
        <v>21</v>
      </c>
      <c r="X331" s="15" t="s">
        <v>17</v>
      </c>
      <c r="Y331" s="37"/>
    </row>
    <row r="332" spans="1:32" x14ac:dyDescent="0.3">
      <c r="A332" s="44">
        <f>A322+1</f>
        <v>31</v>
      </c>
      <c r="B332" s="34" t="str">
        <f>TEXT(Tabelle1217303029720832[[#This Row],[Datum]],"tttt")</f>
        <v>Montag</v>
      </c>
      <c r="C332" s="56">
        <f>C328+1</f>
        <v>44404</v>
      </c>
      <c r="D332" s="31"/>
      <c r="E332" s="31"/>
      <c r="F332" s="31"/>
      <c r="G332" s="31"/>
      <c r="H332" s="31"/>
      <c r="I332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4">
        <f>J322+1</f>
        <v>31</v>
      </c>
      <c r="K332" s="34" t="str">
        <f>TEXT(Tabelle121730302972083285[[#This Row],[Datum]],"tttt")</f>
        <v>Montag</v>
      </c>
      <c r="L332" s="56">
        <f>L328+1</f>
        <v>44404</v>
      </c>
      <c r="M332" s="31">
        <f>IF(O332="F",0,D332)</f>
        <v>0</v>
      </c>
      <c r="N332" s="31">
        <f>IF(O332="F",0,E332)</f>
        <v>0</v>
      </c>
      <c r="O332" s="32"/>
      <c r="P332" s="31">
        <f>IF(O332="F",0,G332)</f>
        <v>0</v>
      </c>
      <c r="Q332" s="31">
        <f>IF(O332="F",I332,0)</f>
        <v>0</v>
      </c>
      <c r="R332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99">
        <f t="shared" ref="T332:T333" si="296">R332-I332</f>
        <v>0</v>
      </c>
      <c r="U332" s="99"/>
      <c r="W332" s="17" t="s">
        <v>18</v>
      </c>
      <c r="X332" s="26">
        <f>I339</f>
        <v>0</v>
      </c>
      <c r="Y332" s="37"/>
    </row>
    <row r="333" spans="1:32" x14ac:dyDescent="0.3">
      <c r="B333" s="34" t="str">
        <f>TEXT(Tabelle1217303029720832[[#This Row],[Datum]],"tttt")</f>
        <v>Dienstag</v>
      </c>
      <c r="C333" s="54">
        <f>C332+1</f>
        <v>44405</v>
      </c>
      <c r="D333" s="31"/>
      <c r="E333" s="31"/>
      <c r="F333" s="31"/>
      <c r="G333" s="31"/>
      <c r="H333" s="31"/>
      <c r="I333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4" t="str">
        <f>TEXT(Tabelle121730302972083285[[#This Row],[Datum]],"tttt")</f>
        <v>Dienstag</v>
      </c>
      <c r="L333" s="54">
        <f>L332+1</f>
        <v>44405</v>
      </c>
      <c r="M333" s="31">
        <f t="shared" ref="M333:M338" si="297">IF(O333="F",0,D333)</f>
        <v>0</v>
      </c>
      <c r="N333" s="31">
        <f t="shared" ref="N333:N338" si="298">IF(O333="F",0,E333)</f>
        <v>0</v>
      </c>
      <c r="O333" s="31"/>
      <c r="P333" s="31">
        <f t="shared" ref="P333:P338" si="299">IF(O333="F",0,G333)</f>
        <v>0</v>
      </c>
      <c r="Q333" s="31">
        <f t="shared" ref="Q333:Q338" si="300">IF(O333="F",I333,0)</f>
        <v>0</v>
      </c>
      <c r="R333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99">
        <f t="shared" si="296"/>
        <v>0</v>
      </c>
      <c r="U333" s="99"/>
      <c r="W333" s="17" t="s">
        <v>19</v>
      </c>
      <c r="X333" s="26">
        <f>R339</f>
        <v>0</v>
      </c>
      <c r="Y333" s="37"/>
    </row>
    <row r="334" spans="1:32" x14ac:dyDescent="0.3">
      <c r="B334" s="35" t="str">
        <f>TEXT(Tabelle1217303029720832[[#This Row],[Datum]],"tttt")</f>
        <v>Mittwoch</v>
      </c>
      <c r="C334" s="54">
        <f t="shared" ref="C334:C338" si="301">C333+1</f>
        <v>44406</v>
      </c>
      <c r="D334" s="32"/>
      <c r="E334" s="32"/>
      <c r="F334" s="32"/>
      <c r="G334" s="32"/>
      <c r="H334" s="32"/>
      <c r="I334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5" t="str">
        <f>TEXT(Tabelle121730302972083285[[#This Row],[Datum]],"tttt")</f>
        <v>Mittwoch</v>
      </c>
      <c r="L334" s="54">
        <f t="shared" ref="L334:L338" si="302">L333+1</f>
        <v>44406</v>
      </c>
      <c r="M334" s="31">
        <f t="shared" si="297"/>
        <v>0</v>
      </c>
      <c r="N334" s="31">
        <f t="shared" si="298"/>
        <v>0</v>
      </c>
      <c r="O334" s="32"/>
      <c r="P334" s="31">
        <f t="shared" si="299"/>
        <v>0</v>
      </c>
      <c r="Q334" s="31">
        <f t="shared" si="300"/>
        <v>0</v>
      </c>
      <c r="R334" s="51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99">
        <f>R334-I334</f>
        <v>0</v>
      </c>
      <c r="U334" s="99"/>
      <c r="W334" s="20" t="s">
        <v>20</v>
      </c>
      <c r="X334" s="27">
        <f>X333-X332</f>
        <v>0</v>
      </c>
      <c r="Y334" s="37"/>
      <c r="Z334" s="64">
        <f>Z324+X334</f>
        <v>0</v>
      </c>
    </row>
    <row r="335" spans="1:32" x14ac:dyDescent="0.3">
      <c r="B335" s="34" t="str">
        <f>TEXT(Tabelle1217303029720832[[#This Row],[Datum]],"tttt")</f>
        <v>Donnerstag</v>
      </c>
      <c r="C335" s="54">
        <f t="shared" si="301"/>
        <v>44407</v>
      </c>
      <c r="D335" s="31"/>
      <c r="E335" s="31"/>
      <c r="F335" s="31"/>
      <c r="G335" s="31"/>
      <c r="H335" s="31"/>
      <c r="I335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4" t="str">
        <f>TEXT(Tabelle121730302972083285[[#This Row],[Datum]],"tttt")</f>
        <v>Donnerstag</v>
      </c>
      <c r="L335" s="54">
        <f t="shared" si="302"/>
        <v>44407</v>
      </c>
      <c r="M335" s="31">
        <f t="shared" si="297"/>
        <v>0</v>
      </c>
      <c r="N335" s="31">
        <f t="shared" si="298"/>
        <v>0</v>
      </c>
      <c r="O335" s="31"/>
      <c r="P335" s="31">
        <f t="shared" si="299"/>
        <v>0</v>
      </c>
      <c r="Q335" s="31">
        <f t="shared" si="300"/>
        <v>0</v>
      </c>
      <c r="R335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99">
        <f>R335-I335</f>
        <v>0</v>
      </c>
      <c r="U335" s="99"/>
      <c r="Y335" s="37"/>
    </row>
    <row r="336" spans="1:32" x14ac:dyDescent="0.3">
      <c r="B336" s="36" t="str">
        <f>TEXT(Tabelle1217303029720832[[#This Row],[Datum]],"tttt")</f>
        <v>Freitag</v>
      </c>
      <c r="C336" s="54">
        <f t="shared" si="301"/>
        <v>44408</v>
      </c>
      <c r="D336" s="32"/>
      <c r="E336" s="32"/>
      <c r="F336" s="32"/>
      <c r="G336" s="32"/>
      <c r="H336" s="32"/>
      <c r="I336" s="52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6" t="str">
        <f>TEXT(Tabelle121730302972083285[[#This Row],[Datum]],"tttt")</f>
        <v>Freitag</v>
      </c>
      <c r="L336" s="54">
        <f t="shared" si="302"/>
        <v>44408</v>
      </c>
      <c r="M336" s="31">
        <f t="shared" si="297"/>
        <v>0</v>
      </c>
      <c r="N336" s="31">
        <f t="shared" si="298"/>
        <v>0</v>
      </c>
      <c r="O336" s="32"/>
      <c r="P336" s="31">
        <f t="shared" si="299"/>
        <v>0</v>
      </c>
      <c r="Q336" s="31">
        <f t="shared" si="300"/>
        <v>0</v>
      </c>
      <c r="R336" s="52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99">
        <f>R336-I336</f>
        <v>0</v>
      </c>
      <c r="U336" s="99"/>
      <c r="Y336" s="37"/>
    </row>
    <row r="337" spans="1:32" x14ac:dyDescent="0.3">
      <c r="B337" s="34" t="str">
        <f>TEXT(Tabelle1217303029720832[[#This Row],[Datum]],"tttt")</f>
        <v>Samstag</v>
      </c>
      <c r="C337" s="54">
        <f t="shared" si="301"/>
        <v>44409</v>
      </c>
      <c r="D337" s="31"/>
      <c r="E337" s="31"/>
      <c r="F337" s="31"/>
      <c r="G337" s="31"/>
      <c r="H337" s="31"/>
      <c r="I337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4" t="str">
        <f>TEXT(Tabelle121730302972083285[[#This Row],[Datum]],"tttt")</f>
        <v>Samstag</v>
      </c>
      <c r="L337" s="54">
        <f t="shared" si="302"/>
        <v>44409</v>
      </c>
      <c r="M337" s="31">
        <f t="shared" si="297"/>
        <v>0</v>
      </c>
      <c r="N337" s="31">
        <f t="shared" si="298"/>
        <v>0</v>
      </c>
      <c r="O337" s="31"/>
      <c r="P337" s="31">
        <f t="shared" si="299"/>
        <v>0</v>
      </c>
      <c r="Q337" s="31">
        <f t="shared" si="300"/>
        <v>0</v>
      </c>
      <c r="R337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99">
        <f t="shared" ref="T337:T338" si="303">R337-I337</f>
        <v>0</v>
      </c>
      <c r="U337" s="99"/>
      <c r="Y337" s="37"/>
    </row>
    <row r="338" spans="1:32" s="40" customFormat="1" x14ac:dyDescent="0.3">
      <c r="B338" s="36" t="str">
        <f>TEXT(Tabelle1217303029720832[[#This Row],[Datum]],"tttt")</f>
        <v>Sonntag</v>
      </c>
      <c r="C338" s="55">
        <f t="shared" si="301"/>
        <v>44410</v>
      </c>
      <c r="D338" s="32"/>
      <c r="E338" s="32"/>
      <c r="F338" s="32"/>
      <c r="G338" s="32"/>
      <c r="H338" s="32"/>
      <c r="I338" s="53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6" t="str">
        <f>TEXT(Tabelle121730302972083285[[#This Row],[Datum]],"tttt")</f>
        <v>Sonntag</v>
      </c>
      <c r="L338" s="55">
        <f t="shared" si="302"/>
        <v>44410</v>
      </c>
      <c r="M338" s="31">
        <f t="shared" si="297"/>
        <v>0</v>
      </c>
      <c r="N338" s="31">
        <f t="shared" si="298"/>
        <v>0</v>
      </c>
      <c r="O338" s="32"/>
      <c r="P338" s="31">
        <f t="shared" si="299"/>
        <v>0</v>
      </c>
      <c r="Q338" s="31">
        <f t="shared" si="300"/>
        <v>0</v>
      </c>
      <c r="R338" s="53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99">
        <f t="shared" si="303"/>
        <v>0</v>
      </c>
      <c r="U338" s="99"/>
      <c r="V338" s="42"/>
      <c r="W338" s="42"/>
      <c r="X338" s="45"/>
      <c r="Y338" s="37"/>
      <c r="AB338" s="41"/>
      <c r="AD338" s="29"/>
      <c r="AE338" s="29"/>
      <c r="AF338" s="29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7"/>
    </row>
    <row r="340" spans="1:32" x14ac:dyDescent="0.3">
      <c r="A340" s="37"/>
      <c r="B340" s="38"/>
      <c r="C340" s="37"/>
      <c r="D340" s="37"/>
      <c r="E340" s="37"/>
      <c r="F340" s="37"/>
      <c r="G340" s="37"/>
      <c r="H340" s="37"/>
      <c r="I340" s="38"/>
      <c r="J340" s="37"/>
      <c r="K340" s="38"/>
      <c r="L340" s="37"/>
      <c r="M340" s="37"/>
      <c r="N340" s="37"/>
      <c r="O340" s="37"/>
      <c r="P340" s="37"/>
      <c r="Q340" s="37"/>
      <c r="R340" s="38"/>
      <c r="S340" s="37"/>
      <c r="T340" s="100"/>
      <c r="U340" s="100"/>
      <c r="V340" s="37"/>
      <c r="W340" s="37"/>
      <c r="X340" s="39"/>
      <c r="Y340" s="37"/>
    </row>
    <row r="341" spans="1:32" x14ac:dyDescent="0.3">
      <c r="A341" s="44" t="s">
        <v>33</v>
      </c>
      <c r="B341" s="6" t="s">
        <v>2</v>
      </c>
      <c r="C341" s="7" t="s">
        <v>3</v>
      </c>
      <c r="D341" s="4" t="s">
        <v>4</v>
      </c>
      <c r="E341" s="4" t="s">
        <v>5</v>
      </c>
      <c r="F341" s="4" t="s">
        <v>6</v>
      </c>
      <c r="G341" s="4" t="s">
        <v>7</v>
      </c>
      <c r="H341" s="4" t="s">
        <v>8</v>
      </c>
      <c r="I341" s="4" t="s">
        <v>9</v>
      </c>
      <c r="J341" s="44" t="s">
        <v>33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99" t="s">
        <v>11</v>
      </c>
      <c r="U341" s="99"/>
      <c r="W341" s="13" t="s">
        <v>21</v>
      </c>
      <c r="X341" s="15" t="s">
        <v>17</v>
      </c>
      <c r="Y341" s="37"/>
    </row>
    <row r="342" spans="1:32" x14ac:dyDescent="0.3">
      <c r="A342" s="44">
        <f>A332+1</f>
        <v>32</v>
      </c>
      <c r="B342" s="34" t="str">
        <f>TEXT(Tabelle12173030297208333[[#This Row],[Datum]],"tttt")</f>
        <v>Montag</v>
      </c>
      <c r="C342" s="56">
        <f>C338+1</f>
        <v>44411</v>
      </c>
      <c r="D342" s="31"/>
      <c r="E342" s="31"/>
      <c r="F342" s="31"/>
      <c r="G342" s="31"/>
      <c r="H342" s="31"/>
      <c r="I342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4">
        <f>J332+1</f>
        <v>32</v>
      </c>
      <c r="K342" s="34" t="str">
        <f>TEXT(Tabelle1217303029720833386[[#This Row],[Datum]],"tttt")</f>
        <v>Montag</v>
      </c>
      <c r="L342" s="56">
        <f>L338+1</f>
        <v>44411</v>
      </c>
      <c r="M342" s="31">
        <f>IF(O342="F",0,D342)</f>
        <v>0</v>
      </c>
      <c r="N342" s="31">
        <f>IF(O342="F",0,E342)</f>
        <v>0</v>
      </c>
      <c r="O342" s="32"/>
      <c r="P342" s="31">
        <f>IF(O342="F",0,G342)</f>
        <v>0</v>
      </c>
      <c r="Q342" s="31">
        <f>IF(O342="F",I342,0)</f>
        <v>0</v>
      </c>
      <c r="R342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99">
        <f t="shared" ref="T342:T343" si="306">R342-I342</f>
        <v>0</v>
      </c>
      <c r="U342" s="99"/>
      <c r="W342" s="17" t="s">
        <v>18</v>
      </c>
      <c r="X342" s="26">
        <f>I349</f>
        <v>0</v>
      </c>
      <c r="Y342" s="37"/>
    </row>
    <row r="343" spans="1:32" x14ac:dyDescent="0.3">
      <c r="B343" s="34" t="str">
        <f>TEXT(Tabelle12173030297208333[[#This Row],[Datum]],"tttt")</f>
        <v>Dienstag</v>
      </c>
      <c r="C343" s="54">
        <f>C342+1</f>
        <v>44412</v>
      </c>
      <c r="D343" s="31"/>
      <c r="E343" s="31"/>
      <c r="F343" s="31"/>
      <c r="G343" s="31"/>
      <c r="H343" s="31"/>
      <c r="I343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4" t="str">
        <f>TEXT(Tabelle1217303029720833386[[#This Row],[Datum]],"tttt")</f>
        <v>Dienstag</v>
      </c>
      <c r="L343" s="54">
        <f>L342+1</f>
        <v>44412</v>
      </c>
      <c r="M343" s="31">
        <f t="shared" ref="M343:M348" si="307">IF(O343="F",0,D343)</f>
        <v>0</v>
      </c>
      <c r="N343" s="31">
        <f t="shared" ref="N343:N348" si="308">IF(O343="F",0,E343)</f>
        <v>0</v>
      </c>
      <c r="O343" s="31"/>
      <c r="P343" s="31">
        <f t="shared" ref="P343:P348" si="309">IF(O343="F",0,G343)</f>
        <v>0</v>
      </c>
      <c r="Q343" s="31">
        <f t="shared" ref="Q343:Q348" si="310">IF(O343="F",I343,0)</f>
        <v>0</v>
      </c>
      <c r="R343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99">
        <f t="shared" si="306"/>
        <v>0</v>
      </c>
      <c r="U343" s="99"/>
      <c r="W343" s="17" t="s">
        <v>19</v>
      </c>
      <c r="X343" s="26">
        <f>R349</f>
        <v>0</v>
      </c>
      <c r="Y343" s="37"/>
    </row>
    <row r="344" spans="1:32" x14ac:dyDescent="0.3">
      <c r="B344" s="35" t="str">
        <f>TEXT(Tabelle12173030297208333[[#This Row],[Datum]],"tttt")</f>
        <v>Mittwoch</v>
      </c>
      <c r="C344" s="54">
        <f t="shared" ref="C344:C348" si="311">C343+1</f>
        <v>44413</v>
      </c>
      <c r="D344" s="32"/>
      <c r="E344" s="32"/>
      <c r="F344" s="32"/>
      <c r="G344" s="32"/>
      <c r="H344" s="32"/>
      <c r="I344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5" t="str">
        <f>TEXT(Tabelle1217303029720833386[[#This Row],[Datum]],"tttt")</f>
        <v>Mittwoch</v>
      </c>
      <c r="L344" s="54">
        <f t="shared" ref="L344:L348" si="312">L343+1</f>
        <v>44413</v>
      </c>
      <c r="M344" s="31">
        <f t="shared" si="307"/>
        <v>0</v>
      </c>
      <c r="N344" s="31">
        <f t="shared" si="308"/>
        <v>0</v>
      </c>
      <c r="O344" s="32"/>
      <c r="P344" s="31">
        <f t="shared" si="309"/>
        <v>0</v>
      </c>
      <c r="Q344" s="31">
        <f t="shared" si="310"/>
        <v>0</v>
      </c>
      <c r="R344" s="51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99">
        <f>R344-I344</f>
        <v>0</v>
      </c>
      <c r="U344" s="99"/>
      <c r="W344" s="20" t="s">
        <v>20</v>
      </c>
      <c r="X344" s="27">
        <f>X343-X342</f>
        <v>0</v>
      </c>
      <c r="Y344" s="37"/>
      <c r="Z344" s="64">
        <f>Z334+X344</f>
        <v>0</v>
      </c>
    </row>
    <row r="345" spans="1:32" x14ac:dyDescent="0.3">
      <c r="B345" s="34" t="str">
        <f>TEXT(Tabelle12173030297208333[[#This Row],[Datum]],"tttt")</f>
        <v>Donnerstag</v>
      </c>
      <c r="C345" s="54">
        <f t="shared" si="311"/>
        <v>44414</v>
      </c>
      <c r="D345" s="31"/>
      <c r="E345" s="31"/>
      <c r="F345" s="31"/>
      <c r="G345" s="31"/>
      <c r="H345" s="31"/>
      <c r="I345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4" t="str">
        <f>TEXT(Tabelle1217303029720833386[[#This Row],[Datum]],"tttt")</f>
        <v>Donnerstag</v>
      </c>
      <c r="L345" s="54">
        <f t="shared" si="312"/>
        <v>44414</v>
      </c>
      <c r="M345" s="31">
        <f t="shared" si="307"/>
        <v>0</v>
      </c>
      <c r="N345" s="31">
        <f t="shared" si="308"/>
        <v>0</v>
      </c>
      <c r="O345" s="31"/>
      <c r="P345" s="31">
        <f t="shared" si="309"/>
        <v>0</v>
      </c>
      <c r="Q345" s="31">
        <f t="shared" si="310"/>
        <v>0</v>
      </c>
      <c r="R345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99">
        <f>R345-I345</f>
        <v>0</v>
      </c>
      <c r="U345" s="99"/>
      <c r="Y345" s="37"/>
    </row>
    <row r="346" spans="1:32" x14ac:dyDescent="0.3">
      <c r="B346" s="36" t="str">
        <f>TEXT(Tabelle12173030297208333[[#This Row],[Datum]],"tttt")</f>
        <v>Freitag</v>
      </c>
      <c r="C346" s="54">
        <f t="shared" si="311"/>
        <v>44415</v>
      </c>
      <c r="D346" s="32"/>
      <c r="E346" s="32"/>
      <c r="F346" s="32"/>
      <c r="G346" s="32"/>
      <c r="H346" s="32"/>
      <c r="I346" s="52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6" t="str">
        <f>TEXT(Tabelle1217303029720833386[[#This Row],[Datum]],"tttt")</f>
        <v>Freitag</v>
      </c>
      <c r="L346" s="54">
        <f t="shared" si="312"/>
        <v>44415</v>
      </c>
      <c r="M346" s="31">
        <f t="shared" si="307"/>
        <v>0</v>
      </c>
      <c r="N346" s="31">
        <f t="shared" si="308"/>
        <v>0</v>
      </c>
      <c r="O346" s="32"/>
      <c r="P346" s="31">
        <f t="shared" si="309"/>
        <v>0</v>
      </c>
      <c r="Q346" s="31">
        <f t="shared" si="310"/>
        <v>0</v>
      </c>
      <c r="R346" s="52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99">
        <f>R346-I346</f>
        <v>0</v>
      </c>
      <c r="U346" s="99"/>
      <c r="Y346" s="37"/>
    </row>
    <row r="347" spans="1:32" x14ac:dyDescent="0.3">
      <c r="B347" s="34" t="str">
        <f>TEXT(Tabelle12173030297208333[[#This Row],[Datum]],"tttt")</f>
        <v>Samstag</v>
      </c>
      <c r="C347" s="54">
        <f t="shared" si="311"/>
        <v>44416</v>
      </c>
      <c r="D347" s="31"/>
      <c r="E347" s="31"/>
      <c r="F347" s="31"/>
      <c r="G347" s="31"/>
      <c r="H347" s="31"/>
      <c r="I347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4" t="str">
        <f>TEXT(Tabelle1217303029720833386[[#This Row],[Datum]],"tttt")</f>
        <v>Samstag</v>
      </c>
      <c r="L347" s="54">
        <f t="shared" si="312"/>
        <v>44416</v>
      </c>
      <c r="M347" s="31">
        <f t="shared" si="307"/>
        <v>0</v>
      </c>
      <c r="N347" s="31">
        <f t="shared" si="308"/>
        <v>0</v>
      </c>
      <c r="O347" s="31"/>
      <c r="P347" s="31">
        <f t="shared" si="309"/>
        <v>0</v>
      </c>
      <c r="Q347" s="31">
        <f t="shared" si="310"/>
        <v>0</v>
      </c>
      <c r="R347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99">
        <f t="shared" ref="T347:T348" si="313">R347-I347</f>
        <v>0</v>
      </c>
      <c r="U347" s="99"/>
      <c r="Y347" s="37"/>
    </row>
    <row r="348" spans="1:32" s="40" customFormat="1" x14ac:dyDescent="0.3">
      <c r="B348" s="36" t="str">
        <f>TEXT(Tabelle12173030297208333[[#This Row],[Datum]],"tttt")</f>
        <v>Sonntag</v>
      </c>
      <c r="C348" s="55">
        <f t="shared" si="311"/>
        <v>44417</v>
      </c>
      <c r="D348" s="32"/>
      <c r="E348" s="32"/>
      <c r="F348" s="32"/>
      <c r="G348" s="32"/>
      <c r="H348" s="32"/>
      <c r="I348" s="53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6" t="str">
        <f>TEXT(Tabelle1217303029720833386[[#This Row],[Datum]],"tttt")</f>
        <v>Sonntag</v>
      </c>
      <c r="L348" s="55">
        <f t="shared" si="312"/>
        <v>44417</v>
      </c>
      <c r="M348" s="31">
        <f t="shared" si="307"/>
        <v>0</v>
      </c>
      <c r="N348" s="31">
        <f t="shared" si="308"/>
        <v>0</v>
      </c>
      <c r="O348" s="32"/>
      <c r="P348" s="31">
        <f t="shared" si="309"/>
        <v>0</v>
      </c>
      <c r="Q348" s="31">
        <f t="shared" si="310"/>
        <v>0</v>
      </c>
      <c r="R348" s="53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99">
        <f t="shared" si="313"/>
        <v>0</v>
      </c>
      <c r="U348" s="99"/>
      <c r="V348" s="42"/>
      <c r="W348" s="42"/>
      <c r="X348" s="45"/>
      <c r="Y348" s="37"/>
      <c r="AB348" s="41"/>
      <c r="AD348" s="29"/>
      <c r="AE348" s="29"/>
      <c r="AF348" s="29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7"/>
    </row>
    <row r="350" spans="1:32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100"/>
      <c r="U350" s="100"/>
      <c r="V350" s="37"/>
      <c r="W350" s="37"/>
      <c r="X350" s="39"/>
      <c r="Y350" s="37"/>
    </row>
    <row r="351" spans="1:32" x14ac:dyDescent="0.3">
      <c r="A351" s="44" t="s">
        <v>33</v>
      </c>
      <c r="B351" s="6" t="s">
        <v>2</v>
      </c>
      <c r="C351" s="7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4" t="s">
        <v>33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99" t="s">
        <v>11</v>
      </c>
      <c r="U351" s="99"/>
      <c r="W351" s="13" t="s">
        <v>21</v>
      </c>
      <c r="X351" s="15" t="s">
        <v>17</v>
      </c>
      <c r="Y351" s="37"/>
    </row>
    <row r="352" spans="1:32" x14ac:dyDescent="0.3">
      <c r="A352" s="44">
        <f>A342+1</f>
        <v>33</v>
      </c>
      <c r="B352" s="34" t="str">
        <f>TEXT(Tabelle12173030297208434[[#This Row],[Datum]],"tttt")</f>
        <v>Montag</v>
      </c>
      <c r="C352" s="56">
        <f>C348+1</f>
        <v>44418</v>
      </c>
      <c r="D352" s="31"/>
      <c r="E352" s="31"/>
      <c r="F352" s="31"/>
      <c r="G352" s="31"/>
      <c r="H352" s="31"/>
      <c r="I352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4">
        <f>J342+1</f>
        <v>33</v>
      </c>
      <c r="K352" s="34" t="str">
        <f>TEXT(Tabelle1217303029720843487[[#This Row],[Datum]],"tttt")</f>
        <v>Montag</v>
      </c>
      <c r="L352" s="56">
        <f>L348+1</f>
        <v>44418</v>
      </c>
      <c r="M352" s="31">
        <f>IF(O352="F",0,D352)</f>
        <v>0</v>
      </c>
      <c r="N352" s="31">
        <f>IF(O352="F",0,E352)</f>
        <v>0</v>
      </c>
      <c r="O352" s="32"/>
      <c r="P352" s="31">
        <f>IF(O352="F",0,G352)</f>
        <v>0</v>
      </c>
      <c r="Q352" s="31">
        <f>IF(O352="F",I352,0)</f>
        <v>0</v>
      </c>
      <c r="R352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99">
        <f t="shared" ref="T352:T353" si="316">R352-I352</f>
        <v>0</v>
      </c>
      <c r="U352" s="99"/>
      <c r="W352" s="17" t="s">
        <v>18</v>
      </c>
      <c r="X352" s="26">
        <f>I359</f>
        <v>0</v>
      </c>
      <c r="Y352" s="37"/>
    </row>
    <row r="353" spans="1:32" x14ac:dyDescent="0.3">
      <c r="B353" s="34" t="str">
        <f>TEXT(Tabelle12173030297208434[[#This Row],[Datum]],"tttt")</f>
        <v>Dienstag</v>
      </c>
      <c r="C353" s="54">
        <f>C352+1</f>
        <v>44419</v>
      </c>
      <c r="D353" s="31"/>
      <c r="E353" s="31"/>
      <c r="F353" s="31"/>
      <c r="G353" s="31"/>
      <c r="H353" s="31"/>
      <c r="I353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4" t="str">
        <f>TEXT(Tabelle1217303029720843487[[#This Row],[Datum]],"tttt")</f>
        <v>Dienstag</v>
      </c>
      <c r="L353" s="54">
        <f>L352+1</f>
        <v>44419</v>
      </c>
      <c r="M353" s="31">
        <f t="shared" ref="M353:M358" si="317">IF(O353="F",0,D353)</f>
        <v>0</v>
      </c>
      <c r="N353" s="31">
        <f t="shared" ref="N353:N358" si="318">IF(O353="F",0,E353)</f>
        <v>0</v>
      </c>
      <c r="O353" s="31"/>
      <c r="P353" s="31">
        <f t="shared" ref="P353:P358" si="319">IF(O353="F",0,G353)</f>
        <v>0</v>
      </c>
      <c r="Q353" s="31">
        <f t="shared" ref="Q353:Q358" si="320">IF(O353="F",I353,0)</f>
        <v>0</v>
      </c>
      <c r="R353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99">
        <f t="shared" si="316"/>
        <v>0</v>
      </c>
      <c r="U353" s="99"/>
      <c r="W353" s="17" t="s">
        <v>19</v>
      </c>
      <c r="X353" s="26">
        <f>R359</f>
        <v>0</v>
      </c>
      <c r="Y353" s="37"/>
    </row>
    <row r="354" spans="1:32" x14ac:dyDescent="0.3">
      <c r="B354" s="35" t="str">
        <f>TEXT(Tabelle12173030297208434[[#This Row],[Datum]],"tttt")</f>
        <v>Mittwoch</v>
      </c>
      <c r="C354" s="54">
        <f t="shared" ref="C354:C358" si="321">C353+1</f>
        <v>44420</v>
      </c>
      <c r="D354" s="32"/>
      <c r="E354" s="32"/>
      <c r="F354" s="32"/>
      <c r="G354" s="32"/>
      <c r="H354" s="32"/>
      <c r="I354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5" t="str">
        <f>TEXT(Tabelle1217303029720843487[[#This Row],[Datum]],"tttt")</f>
        <v>Mittwoch</v>
      </c>
      <c r="L354" s="54">
        <f t="shared" ref="L354:L358" si="322">L353+1</f>
        <v>44420</v>
      </c>
      <c r="M354" s="31">
        <f t="shared" si="317"/>
        <v>0</v>
      </c>
      <c r="N354" s="31">
        <f t="shared" si="318"/>
        <v>0</v>
      </c>
      <c r="O354" s="32"/>
      <c r="P354" s="31">
        <f t="shared" si="319"/>
        <v>0</v>
      </c>
      <c r="Q354" s="31">
        <f t="shared" si="320"/>
        <v>0</v>
      </c>
      <c r="R354" s="51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99">
        <f>R354-I354</f>
        <v>0</v>
      </c>
      <c r="U354" s="99"/>
      <c r="W354" s="20" t="s">
        <v>20</v>
      </c>
      <c r="X354" s="27">
        <f>X353-X352</f>
        <v>0</v>
      </c>
      <c r="Y354" s="37"/>
      <c r="Z354" s="64">
        <f>Z344+X354</f>
        <v>0</v>
      </c>
    </row>
    <row r="355" spans="1:32" x14ac:dyDescent="0.3">
      <c r="B355" s="34" t="str">
        <f>TEXT(Tabelle12173030297208434[[#This Row],[Datum]],"tttt")</f>
        <v>Donnerstag</v>
      </c>
      <c r="C355" s="54">
        <f t="shared" si="321"/>
        <v>44421</v>
      </c>
      <c r="D355" s="31"/>
      <c r="E355" s="31"/>
      <c r="F355" s="31"/>
      <c r="G355" s="31"/>
      <c r="H355" s="31"/>
      <c r="I355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4" t="str">
        <f>TEXT(Tabelle1217303029720843487[[#This Row],[Datum]],"tttt")</f>
        <v>Donnerstag</v>
      </c>
      <c r="L355" s="54">
        <f t="shared" si="322"/>
        <v>44421</v>
      </c>
      <c r="M355" s="31">
        <f t="shared" si="317"/>
        <v>0</v>
      </c>
      <c r="N355" s="31">
        <f t="shared" si="318"/>
        <v>0</v>
      </c>
      <c r="O355" s="31"/>
      <c r="P355" s="31">
        <f t="shared" si="319"/>
        <v>0</v>
      </c>
      <c r="Q355" s="31">
        <f t="shared" si="320"/>
        <v>0</v>
      </c>
      <c r="R355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99">
        <f>R355-I355</f>
        <v>0</v>
      </c>
      <c r="U355" s="99"/>
      <c r="Y355" s="37"/>
    </row>
    <row r="356" spans="1:32" x14ac:dyDescent="0.3">
      <c r="B356" s="36" t="str">
        <f>TEXT(Tabelle12173030297208434[[#This Row],[Datum]],"tttt")</f>
        <v>Freitag</v>
      </c>
      <c r="C356" s="54">
        <f t="shared" si="321"/>
        <v>44422</v>
      </c>
      <c r="D356" s="32"/>
      <c r="E356" s="32"/>
      <c r="F356" s="32"/>
      <c r="G356" s="32"/>
      <c r="H356" s="32"/>
      <c r="I356" s="52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6" t="str">
        <f>TEXT(Tabelle1217303029720843487[[#This Row],[Datum]],"tttt")</f>
        <v>Freitag</v>
      </c>
      <c r="L356" s="54">
        <f t="shared" si="322"/>
        <v>44422</v>
      </c>
      <c r="M356" s="31">
        <f t="shared" si="317"/>
        <v>0</v>
      </c>
      <c r="N356" s="31">
        <f t="shared" si="318"/>
        <v>0</v>
      </c>
      <c r="O356" s="32"/>
      <c r="P356" s="31">
        <f t="shared" si="319"/>
        <v>0</v>
      </c>
      <c r="Q356" s="31">
        <f t="shared" si="320"/>
        <v>0</v>
      </c>
      <c r="R356" s="52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99">
        <f>R356-I356</f>
        <v>0</v>
      </c>
      <c r="U356" s="99"/>
      <c r="Y356" s="37"/>
    </row>
    <row r="357" spans="1:32" x14ac:dyDescent="0.3">
      <c r="B357" s="34" t="str">
        <f>TEXT(Tabelle12173030297208434[[#This Row],[Datum]],"tttt")</f>
        <v>Samstag</v>
      </c>
      <c r="C357" s="54">
        <f t="shared" si="321"/>
        <v>44423</v>
      </c>
      <c r="D357" s="31"/>
      <c r="E357" s="31"/>
      <c r="F357" s="31"/>
      <c r="G357" s="31"/>
      <c r="H357" s="31"/>
      <c r="I357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4" t="str">
        <f>TEXT(Tabelle1217303029720843487[[#This Row],[Datum]],"tttt")</f>
        <v>Samstag</v>
      </c>
      <c r="L357" s="54">
        <f t="shared" si="322"/>
        <v>44423</v>
      </c>
      <c r="M357" s="31">
        <f t="shared" si="317"/>
        <v>0</v>
      </c>
      <c r="N357" s="31">
        <f t="shared" si="318"/>
        <v>0</v>
      </c>
      <c r="O357" s="31"/>
      <c r="P357" s="31">
        <f t="shared" si="319"/>
        <v>0</v>
      </c>
      <c r="Q357" s="31">
        <f t="shared" si="320"/>
        <v>0</v>
      </c>
      <c r="R357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99">
        <f t="shared" ref="T357:T358" si="323">R357-I357</f>
        <v>0</v>
      </c>
      <c r="U357" s="99"/>
      <c r="Y357" s="37"/>
    </row>
    <row r="358" spans="1:32" s="40" customFormat="1" x14ac:dyDescent="0.3">
      <c r="B358" s="36" t="str">
        <f>TEXT(Tabelle12173030297208434[[#This Row],[Datum]],"tttt")</f>
        <v>Sonntag</v>
      </c>
      <c r="C358" s="55">
        <f t="shared" si="321"/>
        <v>44424</v>
      </c>
      <c r="D358" s="32"/>
      <c r="E358" s="32"/>
      <c r="F358" s="32"/>
      <c r="G358" s="32"/>
      <c r="H358" s="32"/>
      <c r="I358" s="53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6" t="str">
        <f>TEXT(Tabelle1217303029720843487[[#This Row],[Datum]],"tttt")</f>
        <v>Sonntag</v>
      </c>
      <c r="L358" s="55">
        <f t="shared" si="322"/>
        <v>44424</v>
      </c>
      <c r="M358" s="31">
        <f t="shared" si="317"/>
        <v>0</v>
      </c>
      <c r="N358" s="31">
        <f t="shared" si="318"/>
        <v>0</v>
      </c>
      <c r="O358" s="32"/>
      <c r="P358" s="31">
        <f t="shared" si="319"/>
        <v>0</v>
      </c>
      <c r="Q358" s="31">
        <f t="shared" si="320"/>
        <v>0</v>
      </c>
      <c r="R358" s="53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99">
        <f t="shared" si="323"/>
        <v>0</v>
      </c>
      <c r="U358" s="99"/>
      <c r="V358" s="42"/>
      <c r="W358" s="42"/>
      <c r="X358" s="45"/>
      <c r="Y358" s="37"/>
      <c r="AB358" s="41"/>
      <c r="AD358" s="29"/>
      <c r="AE358" s="29"/>
      <c r="AF358" s="29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7"/>
    </row>
    <row r="360" spans="1:32" x14ac:dyDescent="0.3">
      <c r="A360" s="37"/>
      <c r="B360" s="38"/>
      <c r="C360" s="37"/>
      <c r="D360" s="37"/>
      <c r="E360" s="37"/>
      <c r="F360" s="37"/>
      <c r="G360" s="37"/>
      <c r="H360" s="37"/>
      <c r="I360" s="38"/>
      <c r="J360" s="37"/>
      <c r="K360" s="38"/>
      <c r="L360" s="37"/>
      <c r="M360" s="37"/>
      <c r="N360" s="37"/>
      <c r="O360" s="37"/>
      <c r="P360" s="37"/>
      <c r="Q360" s="37"/>
      <c r="R360" s="38"/>
      <c r="S360" s="37"/>
      <c r="T360" s="100"/>
      <c r="U360" s="100"/>
      <c r="V360" s="37"/>
      <c r="W360" s="37"/>
      <c r="X360" s="39"/>
      <c r="Y360" s="37"/>
    </row>
    <row r="361" spans="1:32" x14ac:dyDescent="0.3">
      <c r="A361" s="44" t="s">
        <v>33</v>
      </c>
      <c r="B361" s="6" t="s">
        <v>2</v>
      </c>
      <c r="C361" s="7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4" t="s">
        <v>33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99" t="s">
        <v>11</v>
      </c>
      <c r="U361" s="99"/>
      <c r="W361" s="13" t="s">
        <v>21</v>
      </c>
      <c r="X361" s="15" t="s">
        <v>17</v>
      </c>
      <c r="Y361" s="37"/>
    </row>
    <row r="362" spans="1:32" x14ac:dyDescent="0.3">
      <c r="A362" s="44">
        <f>A352+1</f>
        <v>34</v>
      </c>
      <c r="B362" s="34" t="str">
        <f>TEXT(Tabelle1217303029720835[[#This Row],[Datum]],"tttt")</f>
        <v>Montag</v>
      </c>
      <c r="C362" s="56">
        <f>C358+1</f>
        <v>44425</v>
      </c>
      <c r="D362" s="31"/>
      <c r="E362" s="31"/>
      <c r="F362" s="31"/>
      <c r="G362" s="31"/>
      <c r="H362" s="31"/>
      <c r="I362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4">
        <f>J352+1</f>
        <v>34</v>
      </c>
      <c r="K362" s="34" t="str">
        <f>TEXT(Tabelle121730302972083588[[#This Row],[Datum]],"tttt")</f>
        <v>Montag</v>
      </c>
      <c r="L362" s="56">
        <f>L358+1</f>
        <v>44425</v>
      </c>
      <c r="M362" s="31">
        <f>IF(O362="F",0,D362)</f>
        <v>0</v>
      </c>
      <c r="N362" s="31">
        <f>IF(O362="F",0,E362)</f>
        <v>0</v>
      </c>
      <c r="O362" s="32"/>
      <c r="P362" s="31">
        <f>IF(O362="F",0,G362)</f>
        <v>0</v>
      </c>
      <c r="Q362" s="31">
        <f>IF(O362="F",I362,0)</f>
        <v>0</v>
      </c>
      <c r="R362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99">
        <f t="shared" ref="T362:T363" si="326">R362-I362</f>
        <v>0</v>
      </c>
      <c r="U362" s="99"/>
      <c r="W362" s="17" t="s">
        <v>18</v>
      </c>
      <c r="X362" s="26">
        <f>I369</f>
        <v>0</v>
      </c>
      <c r="Y362" s="37"/>
    </row>
    <row r="363" spans="1:32" x14ac:dyDescent="0.3">
      <c r="B363" s="34" t="str">
        <f>TEXT(Tabelle1217303029720835[[#This Row],[Datum]],"tttt")</f>
        <v>Dienstag</v>
      </c>
      <c r="C363" s="54">
        <f>C362+1</f>
        <v>44426</v>
      </c>
      <c r="D363" s="31"/>
      <c r="E363" s="31"/>
      <c r="F363" s="31"/>
      <c r="G363" s="31"/>
      <c r="H363" s="31"/>
      <c r="I363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4" t="str">
        <f>TEXT(Tabelle121730302972083588[[#This Row],[Datum]],"tttt")</f>
        <v>Dienstag</v>
      </c>
      <c r="L363" s="54">
        <f>L362+1</f>
        <v>44426</v>
      </c>
      <c r="M363" s="31">
        <f t="shared" ref="M363:M368" si="327">IF(O363="F",0,D363)</f>
        <v>0</v>
      </c>
      <c r="N363" s="31">
        <f t="shared" ref="N363:N368" si="328">IF(O363="F",0,E363)</f>
        <v>0</v>
      </c>
      <c r="O363" s="31"/>
      <c r="P363" s="31">
        <f t="shared" ref="P363:P368" si="329">IF(O363="F",0,G363)</f>
        <v>0</v>
      </c>
      <c r="Q363" s="31">
        <f t="shared" ref="Q363:Q368" si="330">IF(O363="F",I363,0)</f>
        <v>0</v>
      </c>
      <c r="R363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99">
        <f t="shared" si="326"/>
        <v>0</v>
      </c>
      <c r="U363" s="99"/>
      <c r="W363" s="17" t="s">
        <v>19</v>
      </c>
      <c r="X363" s="26">
        <f>R369</f>
        <v>0</v>
      </c>
      <c r="Y363" s="37"/>
    </row>
    <row r="364" spans="1:32" x14ac:dyDescent="0.3">
      <c r="B364" s="35" t="str">
        <f>TEXT(Tabelle1217303029720835[[#This Row],[Datum]],"tttt")</f>
        <v>Mittwoch</v>
      </c>
      <c r="C364" s="54">
        <f t="shared" ref="C364:C368" si="331">C363+1</f>
        <v>44427</v>
      </c>
      <c r="D364" s="32"/>
      <c r="E364" s="32"/>
      <c r="F364" s="32"/>
      <c r="G364" s="32"/>
      <c r="H364" s="32"/>
      <c r="I364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5" t="str">
        <f>TEXT(Tabelle121730302972083588[[#This Row],[Datum]],"tttt")</f>
        <v>Mittwoch</v>
      </c>
      <c r="L364" s="54">
        <f t="shared" ref="L364:L368" si="332">L363+1</f>
        <v>44427</v>
      </c>
      <c r="M364" s="31">
        <f t="shared" si="327"/>
        <v>0</v>
      </c>
      <c r="N364" s="31">
        <f t="shared" si="328"/>
        <v>0</v>
      </c>
      <c r="O364" s="32"/>
      <c r="P364" s="31">
        <f t="shared" si="329"/>
        <v>0</v>
      </c>
      <c r="Q364" s="31">
        <f t="shared" si="330"/>
        <v>0</v>
      </c>
      <c r="R364" s="51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99">
        <f>R364-I364</f>
        <v>0</v>
      </c>
      <c r="U364" s="99"/>
      <c r="W364" s="20" t="s">
        <v>20</v>
      </c>
      <c r="X364" s="27">
        <f>X363-X362</f>
        <v>0</v>
      </c>
      <c r="Y364" s="37"/>
      <c r="Z364" s="64">
        <f>Z354+X364</f>
        <v>0</v>
      </c>
    </row>
    <row r="365" spans="1:32" x14ac:dyDescent="0.3">
      <c r="B365" s="34" t="str">
        <f>TEXT(Tabelle1217303029720835[[#This Row],[Datum]],"tttt")</f>
        <v>Donnerstag</v>
      </c>
      <c r="C365" s="54">
        <f t="shared" si="331"/>
        <v>44428</v>
      </c>
      <c r="D365" s="31"/>
      <c r="E365" s="31"/>
      <c r="F365" s="31"/>
      <c r="G365" s="31"/>
      <c r="H365" s="31"/>
      <c r="I365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4" t="str">
        <f>TEXT(Tabelle121730302972083588[[#This Row],[Datum]],"tttt")</f>
        <v>Donnerstag</v>
      </c>
      <c r="L365" s="54">
        <f t="shared" si="332"/>
        <v>44428</v>
      </c>
      <c r="M365" s="31">
        <f t="shared" si="327"/>
        <v>0</v>
      </c>
      <c r="N365" s="31">
        <f t="shared" si="328"/>
        <v>0</v>
      </c>
      <c r="O365" s="31"/>
      <c r="P365" s="31">
        <f t="shared" si="329"/>
        <v>0</v>
      </c>
      <c r="Q365" s="31">
        <f t="shared" si="330"/>
        <v>0</v>
      </c>
      <c r="R365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99">
        <f>R365-I365</f>
        <v>0</v>
      </c>
      <c r="U365" s="99"/>
      <c r="Y365" s="37"/>
    </row>
    <row r="366" spans="1:32" x14ac:dyDescent="0.3">
      <c r="B366" s="36" t="str">
        <f>TEXT(Tabelle1217303029720835[[#This Row],[Datum]],"tttt")</f>
        <v>Freitag</v>
      </c>
      <c r="C366" s="54">
        <f t="shared" si="331"/>
        <v>44429</v>
      </c>
      <c r="D366" s="32"/>
      <c r="E366" s="32"/>
      <c r="F366" s="32"/>
      <c r="G366" s="32"/>
      <c r="H366" s="32"/>
      <c r="I366" s="52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6" t="str">
        <f>TEXT(Tabelle121730302972083588[[#This Row],[Datum]],"tttt")</f>
        <v>Freitag</v>
      </c>
      <c r="L366" s="54">
        <f t="shared" si="332"/>
        <v>44429</v>
      </c>
      <c r="M366" s="31">
        <f t="shared" si="327"/>
        <v>0</v>
      </c>
      <c r="N366" s="31">
        <f t="shared" si="328"/>
        <v>0</v>
      </c>
      <c r="O366" s="32"/>
      <c r="P366" s="31">
        <f t="shared" si="329"/>
        <v>0</v>
      </c>
      <c r="Q366" s="31">
        <f t="shared" si="330"/>
        <v>0</v>
      </c>
      <c r="R366" s="52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99">
        <f>R366-I366</f>
        <v>0</v>
      </c>
      <c r="U366" s="99"/>
      <c r="Y366" s="37"/>
    </row>
    <row r="367" spans="1:32" x14ac:dyDescent="0.3">
      <c r="B367" s="34" t="str">
        <f>TEXT(Tabelle1217303029720835[[#This Row],[Datum]],"tttt")</f>
        <v>Samstag</v>
      </c>
      <c r="C367" s="54">
        <f t="shared" si="331"/>
        <v>44430</v>
      </c>
      <c r="D367" s="31"/>
      <c r="E367" s="31"/>
      <c r="F367" s="31"/>
      <c r="G367" s="31"/>
      <c r="H367" s="31"/>
      <c r="I367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4" t="str">
        <f>TEXT(Tabelle121730302972083588[[#This Row],[Datum]],"tttt")</f>
        <v>Samstag</v>
      </c>
      <c r="L367" s="54">
        <f t="shared" si="332"/>
        <v>44430</v>
      </c>
      <c r="M367" s="31">
        <f t="shared" si="327"/>
        <v>0</v>
      </c>
      <c r="N367" s="31">
        <f t="shared" si="328"/>
        <v>0</v>
      </c>
      <c r="O367" s="31"/>
      <c r="P367" s="31">
        <f t="shared" si="329"/>
        <v>0</v>
      </c>
      <c r="Q367" s="31">
        <f t="shared" si="330"/>
        <v>0</v>
      </c>
      <c r="R367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99">
        <f t="shared" ref="T367:T368" si="333">R367-I367</f>
        <v>0</v>
      </c>
      <c r="U367" s="99"/>
      <c r="Y367" s="37"/>
    </row>
    <row r="368" spans="1:32" s="40" customFormat="1" x14ac:dyDescent="0.3">
      <c r="B368" s="36" t="str">
        <f>TEXT(Tabelle1217303029720835[[#This Row],[Datum]],"tttt")</f>
        <v>Sonntag</v>
      </c>
      <c r="C368" s="55">
        <f t="shared" si="331"/>
        <v>44431</v>
      </c>
      <c r="D368" s="32"/>
      <c r="E368" s="32"/>
      <c r="F368" s="32"/>
      <c r="G368" s="32"/>
      <c r="H368" s="32"/>
      <c r="I368" s="53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6" t="str">
        <f>TEXT(Tabelle121730302972083588[[#This Row],[Datum]],"tttt")</f>
        <v>Sonntag</v>
      </c>
      <c r="L368" s="55">
        <f t="shared" si="332"/>
        <v>44431</v>
      </c>
      <c r="M368" s="31">
        <f t="shared" si="327"/>
        <v>0</v>
      </c>
      <c r="N368" s="31">
        <f t="shared" si="328"/>
        <v>0</v>
      </c>
      <c r="O368" s="32"/>
      <c r="P368" s="31">
        <f t="shared" si="329"/>
        <v>0</v>
      </c>
      <c r="Q368" s="31">
        <f t="shared" si="330"/>
        <v>0</v>
      </c>
      <c r="R368" s="53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99">
        <f t="shared" si="333"/>
        <v>0</v>
      </c>
      <c r="U368" s="99"/>
      <c r="V368" s="42"/>
      <c r="W368" s="42"/>
      <c r="X368" s="45"/>
      <c r="Y368" s="37"/>
      <c r="AB368" s="41"/>
      <c r="AD368" s="29"/>
      <c r="AE368" s="29"/>
      <c r="AF368" s="29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7"/>
    </row>
    <row r="370" spans="1:32" x14ac:dyDescent="0.3">
      <c r="A370" s="37"/>
      <c r="B370" s="38"/>
      <c r="C370" s="37"/>
      <c r="D370" s="37"/>
      <c r="E370" s="37"/>
      <c r="F370" s="37"/>
      <c r="G370" s="37"/>
      <c r="H370" s="37"/>
      <c r="I370" s="38"/>
      <c r="J370" s="37"/>
      <c r="K370" s="38"/>
      <c r="L370" s="37"/>
      <c r="M370" s="37"/>
      <c r="N370" s="37"/>
      <c r="O370" s="37"/>
      <c r="P370" s="37"/>
      <c r="Q370" s="37"/>
      <c r="R370" s="38"/>
      <c r="S370" s="37"/>
      <c r="T370" s="100"/>
      <c r="U370" s="100"/>
      <c r="V370" s="37"/>
      <c r="W370" s="37"/>
      <c r="X370" s="39"/>
      <c r="Y370" s="37"/>
    </row>
    <row r="371" spans="1:32" x14ac:dyDescent="0.3">
      <c r="A371" s="44" t="s">
        <v>33</v>
      </c>
      <c r="B371" s="6" t="s">
        <v>2</v>
      </c>
      <c r="C371" s="7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4" t="s">
        <v>33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99" t="s">
        <v>11</v>
      </c>
      <c r="U371" s="99"/>
      <c r="W371" s="13" t="s">
        <v>21</v>
      </c>
      <c r="X371" s="15" t="s">
        <v>17</v>
      </c>
      <c r="Y371" s="37"/>
    </row>
    <row r="372" spans="1:32" x14ac:dyDescent="0.3">
      <c r="A372" s="44">
        <f>A362+1</f>
        <v>35</v>
      </c>
      <c r="B372" s="34" t="str">
        <f>TEXT(Tabelle12173030297208336[[#This Row],[Datum]],"tttt")</f>
        <v>Montag</v>
      </c>
      <c r="C372" s="56">
        <f>C368+1</f>
        <v>44432</v>
      </c>
      <c r="D372" s="31"/>
      <c r="E372" s="31"/>
      <c r="F372" s="31"/>
      <c r="G372" s="31"/>
      <c r="H372" s="31"/>
      <c r="I372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4">
        <f>J362+1</f>
        <v>35</v>
      </c>
      <c r="K372" s="34" t="str">
        <f>TEXT(Tabelle1217303029720833689[[#This Row],[Datum]],"tttt")</f>
        <v>Montag</v>
      </c>
      <c r="L372" s="56">
        <f>L368+1</f>
        <v>44432</v>
      </c>
      <c r="M372" s="31">
        <f>IF(O372="F",0,D372)</f>
        <v>0</v>
      </c>
      <c r="N372" s="31">
        <f>IF(O372="F",0,E372)</f>
        <v>0</v>
      </c>
      <c r="O372" s="32"/>
      <c r="P372" s="31">
        <f>IF(O372="F",0,G372)</f>
        <v>0</v>
      </c>
      <c r="Q372" s="31">
        <f>IF(O372="F",I372,0)</f>
        <v>0</v>
      </c>
      <c r="R372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99">
        <f t="shared" ref="T372:T373" si="336">R372-I372</f>
        <v>0</v>
      </c>
      <c r="U372" s="99"/>
      <c r="W372" s="17" t="s">
        <v>18</v>
      </c>
      <c r="X372" s="26">
        <f>I379</f>
        <v>0</v>
      </c>
      <c r="Y372" s="37"/>
    </row>
    <row r="373" spans="1:32" x14ac:dyDescent="0.3">
      <c r="B373" s="34" t="str">
        <f>TEXT(Tabelle12173030297208336[[#This Row],[Datum]],"tttt")</f>
        <v>Dienstag</v>
      </c>
      <c r="C373" s="54">
        <f>C372+1</f>
        <v>44433</v>
      </c>
      <c r="D373" s="31"/>
      <c r="E373" s="31"/>
      <c r="F373" s="31"/>
      <c r="G373" s="31"/>
      <c r="H373" s="31"/>
      <c r="I373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4" t="str">
        <f>TEXT(Tabelle1217303029720833689[[#This Row],[Datum]],"tttt")</f>
        <v>Dienstag</v>
      </c>
      <c r="L373" s="54">
        <f>L372+1</f>
        <v>44433</v>
      </c>
      <c r="M373" s="31">
        <f t="shared" ref="M373:M378" si="337">IF(O373="F",0,D373)</f>
        <v>0</v>
      </c>
      <c r="N373" s="31">
        <f t="shared" ref="N373:N378" si="338">IF(O373="F",0,E373)</f>
        <v>0</v>
      </c>
      <c r="O373" s="31"/>
      <c r="P373" s="31">
        <f t="shared" ref="P373:P378" si="339">IF(O373="F",0,G373)</f>
        <v>0</v>
      </c>
      <c r="Q373" s="31">
        <f t="shared" ref="Q373:Q378" si="340">IF(O373="F",I373,0)</f>
        <v>0</v>
      </c>
      <c r="R373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99">
        <f t="shared" si="336"/>
        <v>0</v>
      </c>
      <c r="U373" s="99"/>
      <c r="W373" s="17" t="s">
        <v>19</v>
      </c>
      <c r="X373" s="26">
        <f>R379</f>
        <v>0</v>
      </c>
      <c r="Y373" s="37"/>
    </row>
    <row r="374" spans="1:32" x14ac:dyDescent="0.3">
      <c r="B374" s="35" t="str">
        <f>TEXT(Tabelle12173030297208336[[#This Row],[Datum]],"tttt")</f>
        <v>Mittwoch</v>
      </c>
      <c r="C374" s="54">
        <f t="shared" ref="C374:C378" si="341">C373+1</f>
        <v>44434</v>
      </c>
      <c r="D374" s="32"/>
      <c r="E374" s="32"/>
      <c r="F374" s="32"/>
      <c r="G374" s="32"/>
      <c r="H374" s="32"/>
      <c r="I374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5" t="str">
        <f>TEXT(Tabelle1217303029720833689[[#This Row],[Datum]],"tttt")</f>
        <v>Mittwoch</v>
      </c>
      <c r="L374" s="54">
        <f t="shared" ref="L374:L378" si="342">L373+1</f>
        <v>44434</v>
      </c>
      <c r="M374" s="31">
        <f t="shared" si="337"/>
        <v>0</v>
      </c>
      <c r="N374" s="31">
        <f t="shared" si="338"/>
        <v>0</v>
      </c>
      <c r="O374" s="32"/>
      <c r="P374" s="31">
        <f t="shared" si="339"/>
        <v>0</v>
      </c>
      <c r="Q374" s="31">
        <f t="shared" si="340"/>
        <v>0</v>
      </c>
      <c r="R374" s="51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99">
        <f>R374-I374</f>
        <v>0</v>
      </c>
      <c r="U374" s="99"/>
      <c r="W374" s="20" t="s">
        <v>20</v>
      </c>
      <c r="X374" s="27">
        <f>X373-X372</f>
        <v>0</v>
      </c>
      <c r="Y374" s="37"/>
      <c r="Z374" s="64">
        <f>Z364+X374</f>
        <v>0</v>
      </c>
    </row>
    <row r="375" spans="1:32" x14ac:dyDescent="0.3">
      <c r="B375" s="34" t="str">
        <f>TEXT(Tabelle12173030297208336[[#This Row],[Datum]],"tttt")</f>
        <v>Donnerstag</v>
      </c>
      <c r="C375" s="54">
        <f t="shared" si="341"/>
        <v>44435</v>
      </c>
      <c r="D375" s="31"/>
      <c r="E375" s="31"/>
      <c r="F375" s="31"/>
      <c r="G375" s="31"/>
      <c r="H375" s="31"/>
      <c r="I375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4" t="str">
        <f>TEXT(Tabelle1217303029720833689[[#This Row],[Datum]],"tttt")</f>
        <v>Donnerstag</v>
      </c>
      <c r="L375" s="54">
        <f t="shared" si="342"/>
        <v>44435</v>
      </c>
      <c r="M375" s="31">
        <f t="shared" si="337"/>
        <v>0</v>
      </c>
      <c r="N375" s="31">
        <f t="shared" si="338"/>
        <v>0</v>
      </c>
      <c r="O375" s="31"/>
      <c r="P375" s="31">
        <f t="shared" si="339"/>
        <v>0</v>
      </c>
      <c r="Q375" s="31">
        <f t="shared" si="340"/>
        <v>0</v>
      </c>
      <c r="R375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99">
        <f>R375-I375</f>
        <v>0</v>
      </c>
      <c r="U375" s="99"/>
      <c r="Y375" s="37"/>
    </row>
    <row r="376" spans="1:32" x14ac:dyDescent="0.3">
      <c r="B376" s="36" t="str">
        <f>TEXT(Tabelle12173030297208336[[#This Row],[Datum]],"tttt")</f>
        <v>Freitag</v>
      </c>
      <c r="C376" s="54">
        <f t="shared" si="341"/>
        <v>44436</v>
      </c>
      <c r="D376" s="32"/>
      <c r="E376" s="32"/>
      <c r="F376" s="32"/>
      <c r="G376" s="32"/>
      <c r="H376" s="32"/>
      <c r="I376" s="52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6" t="str">
        <f>TEXT(Tabelle1217303029720833689[[#This Row],[Datum]],"tttt")</f>
        <v>Freitag</v>
      </c>
      <c r="L376" s="54">
        <f t="shared" si="342"/>
        <v>44436</v>
      </c>
      <c r="M376" s="31">
        <f t="shared" si="337"/>
        <v>0</v>
      </c>
      <c r="N376" s="31">
        <f t="shared" si="338"/>
        <v>0</v>
      </c>
      <c r="O376" s="32"/>
      <c r="P376" s="31">
        <f t="shared" si="339"/>
        <v>0</v>
      </c>
      <c r="Q376" s="31">
        <f t="shared" si="340"/>
        <v>0</v>
      </c>
      <c r="R376" s="52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99">
        <f>R376-I376</f>
        <v>0</v>
      </c>
      <c r="U376" s="99"/>
      <c r="Y376" s="37"/>
    </row>
    <row r="377" spans="1:32" x14ac:dyDescent="0.3">
      <c r="B377" s="34" t="str">
        <f>TEXT(Tabelle12173030297208336[[#This Row],[Datum]],"tttt")</f>
        <v>Samstag</v>
      </c>
      <c r="C377" s="54">
        <f t="shared" si="341"/>
        <v>44437</v>
      </c>
      <c r="D377" s="31"/>
      <c r="E377" s="31"/>
      <c r="F377" s="31"/>
      <c r="G377" s="31"/>
      <c r="H377" s="31"/>
      <c r="I377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4" t="str">
        <f>TEXT(Tabelle1217303029720833689[[#This Row],[Datum]],"tttt")</f>
        <v>Samstag</v>
      </c>
      <c r="L377" s="54">
        <f t="shared" si="342"/>
        <v>44437</v>
      </c>
      <c r="M377" s="31">
        <f t="shared" si="337"/>
        <v>0</v>
      </c>
      <c r="N377" s="31">
        <f t="shared" si="338"/>
        <v>0</v>
      </c>
      <c r="O377" s="31"/>
      <c r="P377" s="31">
        <f t="shared" si="339"/>
        <v>0</v>
      </c>
      <c r="Q377" s="31">
        <f t="shared" si="340"/>
        <v>0</v>
      </c>
      <c r="R377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99">
        <f t="shared" ref="T377:T378" si="343">R377-I377</f>
        <v>0</v>
      </c>
      <c r="U377" s="99"/>
      <c r="Y377" s="37"/>
    </row>
    <row r="378" spans="1:32" s="40" customFormat="1" x14ac:dyDescent="0.3">
      <c r="B378" s="36" t="str">
        <f>TEXT(Tabelle12173030297208336[[#This Row],[Datum]],"tttt")</f>
        <v>Sonntag</v>
      </c>
      <c r="C378" s="55">
        <f t="shared" si="341"/>
        <v>44438</v>
      </c>
      <c r="D378" s="32"/>
      <c r="E378" s="32"/>
      <c r="F378" s="32"/>
      <c r="G378" s="32"/>
      <c r="H378" s="32"/>
      <c r="I378" s="53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6" t="str">
        <f>TEXT(Tabelle1217303029720833689[[#This Row],[Datum]],"tttt")</f>
        <v>Sonntag</v>
      </c>
      <c r="L378" s="55">
        <f t="shared" si="342"/>
        <v>44438</v>
      </c>
      <c r="M378" s="31">
        <f t="shared" si="337"/>
        <v>0</v>
      </c>
      <c r="N378" s="31">
        <f t="shared" si="338"/>
        <v>0</v>
      </c>
      <c r="O378" s="32"/>
      <c r="P378" s="31">
        <f t="shared" si="339"/>
        <v>0</v>
      </c>
      <c r="Q378" s="31">
        <f t="shared" si="340"/>
        <v>0</v>
      </c>
      <c r="R378" s="53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99">
        <f t="shared" si="343"/>
        <v>0</v>
      </c>
      <c r="U378" s="99"/>
      <c r="V378" s="42"/>
      <c r="W378" s="42"/>
      <c r="X378" s="45"/>
      <c r="Y378" s="37"/>
      <c r="AB378" s="41"/>
      <c r="AD378" s="29"/>
      <c r="AE378" s="29"/>
      <c r="AF378" s="29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7"/>
    </row>
    <row r="380" spans="1:32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100"/>
      <c r="U380" s="100"/>
      <c r="V380" s="37"/>
      <c r="W380" s="37"/>
      <c r="X380" s="39"/>
      <c r="Y380" s="37"/>
    </row>
    <row r="381" spans="1:32" x14ac:dyDescent="0.3">
      <c r="A381" s="44" t="s">
        <v>33</v>
      </c>
      <c r="B381" s="6" t="s">
        <v>2</v>
      </c>
      <c r="C381" s="7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4" t="s">
        <v>33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99" t="s">
        <v>11</v>
      </c>
      <c r="U381" s="99"/>
      <c r="W381" s="13" t="s">
        <v>21</v>
      </c>
      <c r="X381" s="15" t="s">
        <v>17</v>
      </c>
      <c r="Y381" s="37"/>
    </row>
    <row r="382" spans="1:32" x14ac:dyDescent="0.3">
      <c r="A382" s="44">
        <f>A372+1</f>
        <v>36</v>
      </c>
      <c r="B382" s="34" t="str">
        <f>TEXT(Tabelle12173030297208437[[#This Row],[Datum]],"tttt")</f>
        <v>Montag</v>
      </c>
      <c r="C382" s="56">
        <f>C378+1</f>
        <v>44439</v>
      </c>
      <c r="D382" s="31"/>
      <c r="E382" s="31"/>
      <c r="F382" s="31"/>
      <c r="G382" s="31"/>
      <c r="H382" s="31"/>
      <c r="I382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4">
        <f>J372+1</f>
        <v>36</v>
      </c>
      <c r="K382" s="34" t="str">
        <f>TEXT(Tabelle1217303029720843790[[#This Row],[Datum]],"tttt")</f>
        <v>Montag</v>
      </c>
      <c r="L382" s="56">
        <f>L378+1</f>
        <v>44439</v>
      </c>
      <c r="M382" s="31">
        <f>IF(O382="F",0,D382)</f>
        <v>0</v>
      </c>
      <c r="N382" s="31">
        <f>IF(O382="F",0,E382)</f>
        <v>0</v>
      </c>
      <c r="O382" s="32"/>
      <c r="P382" s="31">
        <f>IF(O382="F",0,G382)</f>
        <v>0</v>
      </c>
      <c r="Q382" s="31">
        <f>IF(O382="F",I382,0)</f>
        <v>0</v>
      </c>
      <c r="R382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99">
        <f t="shared" ref="T382:T383" si="346">R382-I382</f>
        <v>0</v>
      </c>
      <c r="U382" s="99"/>
      <c r="W382" s="17" t="s">
        <v>18</v>
      </c>
      <c r="X382" s="26">
        <f>I389</f>
        <v>0</v>
      </c>
      <c r="Y382" s="37"/>
    </row>
    <row r="383" spans="1:32" x14ac:dyDescent="0.3">
      <c r="B383" s="34" t="str">
        <f>TEXT(Tabelle12173030297208437[[#This Row],[Datum]],"tttt")</f>
        <v>Dienstag</v>
      </c>
      <c r="C383" s="54">
        <f>C382+1</f>
        <v>44440</v>
      </c>
      <c r="D383" s="31"/>
      <c r="E383" s="31"/>
      <c r="F383" s="31"/>
      <c r="G383" s="31"/>
      <c r="H383" s="31"/>
      <c r="I383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4" t="str">
        <f>TEXT(Tabelle1217303029720843790[[#This Row],[Datum]],"tttt")</f>
        <v>Dienstag</v>
      </c>
      <c r="L383" s="54">
        <f>L382+1</f>
        <v>44440</v>
      </c>
      <c r="M383" s="31">
        <f t="shared" ref="M383:M388" si="347">IF(O383="F",0,D383)</f>
        <v>0</v>
      </c>
      <c r="N383" s="31">
        <f t="shared" ref="N383:N388" si="348">IF(O383="F",0,E383)</f>
        <v>0</v>
      </c>
      <c r="O383" s="31"/>
      <c r="P383" s="31">
        <f t="shared" ref="P383:P388" si="349">IF(O383="F",0,G383)</f>
        <v>0</v>
      </c>
      <c r="Q383" s="31">
        <f t="shared" ref="Q383:Q388" si="350">IF(O383="F",I383,0)</f>
        <v>0</v>
      </c>
      <c r="R383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99">
        <f t="shared" si="346"/>
        <v>0</v>
      </c>
      <c r="U383" s="99"/>
      <c r="W383" s="17" t="s">
        <v>19</v>
      </c>
      <c r="X383" s="26">
        <f>R389</f>
        <v>0</v>
      </c>
      <c r="Y383" s="37"/>
    </row>
    <row r="384" spans="1:32" x14ac:dyDescent="0.3">
      <c r="B384" s="35" t="str">
        <f>TEXT(Tabelle12173030297208437[[#This Row],[Datum]],"tttt")</f>
        <v>Mittwoch</v>
      </c>
      <c r="C384" s="54">
        <f t="shared" ref="C384:C388" si="351">C383+1</f>
        <v>44441</v>
      </c>
      <c r="D384" s="32"/>
      <c r="E384" s="32"/>
      <c r="F384" s="32"/>
      <c r="G384" s="32"/>
      <c r="H384" s="32"/>
      <c r="I384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5" t="str">
        <f>TEXT(Tabelle1217303029720843790[[#This Row],[Datum]],"tttt")</f>
        <v>Mittwoch</v>
      </c>
      <c r="L384" s="54">
        <f t="shared" ref="L384:L388" si="352">L383+1</f>
        <v>44441</v>
      </c>
      <c r="M384" s="31">
        <f t="shared" si="347"/>
        <v>0</v>
      </c>
      <c r="N384" s="31">
        <f t="shared" si="348"/>
        <v>0</v>
      </c>
      <c r="O384" s="32"/>
      <c r="P384" s="31">
        <f t="shared" si="349"/>
        <v>0</v>
      </c>
      <c r="Q384" s="31">
        <f t="shared" si="350"/>
        <v>0</v>
      </c>
      <c r="R384" s="51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99">
        <f>R384-I384</f>
        <v>0</v>
      </c>
      <c r="U384" s="99"/>
      <c r="W384" s="20" t="s">
        <v>20</v>
      </c>
      <c r="X384" s="27">
        <f>X383-X382</f>
        <v>0</v>
      </c>
      <c r="Y384" s="37"/>
      <c r="Z384" s="64">
        <f>Z374+X384</f>
        <v>0</v>
      </c>
    </row>
    <row r="385" spans="1:32" x14ac:dyDescent="0.3">
      <c r="B385" s="34" t="str">
        <f>TEXT(Tabelle12173030297208437[[#This Row],[Datum]],"tttt")</f>
        <v>Donnerstag</v>
      </c>
      <c r="C385" s="54">
        <f t="shared" si="351"/>
        <v>44442</v>
      </c>
      <c r="D385" s="31"/>
      <c r="E385" s="31"/>
      <c r="F385" s="31"/>
      <c r="G385" s="31"/>
      <c r="H385" s="31"/>
      <c r="I385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4" t="str">
        <f>TEXT(Tabelle1217303029720843790[[#This Row],[Datum]],"tttt")</f>
        <v>Donnerstag</v>
      </c>
      <c r="L385" s="54">
        <f t="shared" si="352"/>
        <v>44442</v>
      </c>
      <c r="M385" s="31">
        <f t="shared" si="347"/>
        <v>0</v>
      </c>
      <c r="N385" s="31">
        <f t="shared" si="348"/>
        <v>0</v>
      </c>
      <c r="O385" s="31"/>
      <c r="P385" s="31">
        <f t="shared" si="349"/>
        <v>0</v>
      </c>
      <c r="Q385" s="31">
        <f t="shared" si="350"/>
        <v>0</v>
      </c>
      <c r="R385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99">
        <f>R385-I385</f>
        <v>0</v>
      </c>
      <c r="U385" s="99"/>
      <c r="Y385" s="37"/>
    </row>
    <row r="386" spans="1:32" x14ac:dyDescent="0.3">
      <c r="B386" s="36" t="str">
        <f>TEXT(Tabelle12173030297208437[[#This Row],[Datum]],"tttt")</f>
        <v>Freitag</v>
      </c>
      <c r="C386" s="54">
        <f t="shared" si="351"/>
        <v>44443</v>
      </c>
      <c r="D386" s="32"/>
      <c r="E386" s="32"/>
      <c r="F386" s="32"/>
      <c r="G386" s="32"/>
      <c r="H386" s="32"/>
      <c r="I386" s="52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6" t="str">
        <f>TEXT(Tabelle1217303029720843790[[#This Row],[Datum]],"tttt")</f>
        <v>Freitag</v>
      </c>
      <c r="L386" s="54">
        <f t="shared" si="352"/>
        <v>44443</v>
      </c>
      <c r="M386" s="31">
        <f t="shared" si="347"/>
        <v>0</v>
      </c>
      <c r="N386" s="31">
        <f t="shared" si="348"/>
        <v>0</v>
      </c>
      <c r="O386" s="32"/>
      <c r="P386" s="31">
        <f t="shared" si="349"/>
        <v>0</v>
      </c>
      <c r="Q386" s="31">
        <f t="shared" si="350"/>
        <v>0</v>
      </c>
      <c r="R386" s="52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99">
        <f>R386-I386</f>
        <v>0</v>
      </c>
      <c r="U386" s="99"/>
      <c r="Y386" s="37"/>
    </row>
    <row r="387" spans="1:32" x14ac:dyDescent="0.3">
      <c r="B387" s="34" t="str">
        <f>TEXT(Tabelle12173030297208437[[#This Row],[Datum]],"tttt")</f>
        <v>Samstag</v>
      </c>
      <c r="C387" s="54">
        <f t="shared" si="351"/>
        <v>44444</v>
      </c>
      <c r="D387" s="31"/>
      <c r="E387" s="31"/>
      <c r="F387" s="31"/>
      <c r="G387" s="31"/>
      <c r="H387" s="31"/>
      <c r="I387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4" t="str">
        <f>TEXT(Tabelle1217303029720843790[[#This Row],[Datum]],"tttt")</f>
        <v>Samstag</v>
      </c>
      <c r="L387" s="54">
        <f t="shared" si="352"/>
        <v>44444</v>
      </c>
      <c r="M387" s="31">
        <f t="shared" si="347"/>
        <v>0</v>
      </c>
      <c r="N387" s="31">
        <f t="shared" si="348"/>
        <v>0</v>
      </c>
      <c r="O387" s="31"/>
      <c r="P387" s="31">
        <f t="shared" si="349"/>
        <v>0</v>
      </c>
      <c r="Q387" s="31">
        <f t="shared" si="350"/>
        <v>0</v>
      </c>
      <c r="R387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99">
        <f t="shared" ref="T387:T388" si="353">R387-I387</f>
        <v>0</v>
      </c>
      <c r="U387" s="99"/>
      <c r="Y387" s="37"/>
    </row>
    <row r="388" spans="1:32" s="40" customFormat="1" x14ac:dyDescent="0.3">
      <c r="B388" s="36" t="str">
        <f>TEXT(Tabelle12173030297208437[[#This Row],[Datum]],"tttt")</f>
        <v>Sonntag</v>
      </c>
      <c r="C388" s="55">
        <f t="shared" si="351"/>
        <v>44445</v>
      </c>
      <c r="D388" s="32"/>
      <c r="E388" s="32"/>
      <c r="F388" s="32"/>
      <c r="G388" s="32"/>
      <c r="H388" s="32"/>
      <c r="I388" s="53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6" t="str">
        <f>TEXT(Tabelle1217303029720843790[[#This Row],[Datum]],"tttt")</f>
        <v>Sonntag</v>
      </c>
      <c r="L388" s="55">
        <f t="shared" si="352"/>
        <v>44445</v>
      </c>
      <c r="M388" s="31">
        <f t="shared" si="347"/>
        <v>0</v>
      </c>
      <c r="N388" s="31">
        <f t="shared" si="348"/>
        <v>0</v>
      </c>
      <c r="O388" s="32"/>
      <c r="P388" s="31">
        <f t="shared" si="349"/>
        <v>0</v>
      </c>
      <c r="Q388" s="31">
        <f t="shared" si="350"/>
        <v>0</v>
      </c>
      <c r="R388" s="53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99">
        <f t="shared" si="353"/>
        <v>0</v>
      </c>
      <c r="U388" s="99"/>
      <c r="V388" s="42"/>
      <c r="W388" s="42"/>
      <c r="X388" s="45"/>
      <c r="Y388" s="37"/>
      <c r="AB388" s="41"/>
      <c r="AD388" s="29"/>
      <c r="AE388" s="29"/>
      <c r="AF388" s="29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7"/>
    </row>
    <row r="390" spans="1:32" x14ac:dyDescent="0.3">
      <c r="A390" s="37"/>
      <c r="B390" s="38"/>
      <c r="C390" s="37"/>
      <c r="D390" s="37"/>
      <c r="E390" s="37"/>
      <c r="F390" s="37"/>
      <c r="G390" s="37"/>
      <c r="H390" s="37"/>
      <c r="I390" s="38"/>
      <c r="J390" s="37"/>
      <c r="K390" s="38"/>
      <c r="L390" s="37"/>
      <c r="M390" s="37"/>
      <c r="N390" s="37"/>
      <c r="O390" s="37"/>
      <c r="P390" s="37"/>
      <c r="Q390" s="37"/>
      <c r="R390" s="38"/>
      <c r="S390" s="37"/>
      <c r="T390" s="100"/>
      <c r="U390" s="100"/>
      <c r="V390" s="37"/>
      <c r="W390" s="37"/>
      <c r="X390" s="39"/>
      <c r="Y390" s="37"/>
    </row>
    <row r="391" spans="1:32" x14ac:dyDescent="0.3">
      <c r="A391" s="44" t="s">
        <v>33</v>
      </c>
      <c r="B391" s="6" t="s">
        <v>2</v>
      </c>
      <c r="C391" s="7" t="s">
        <v>3</v>
      </c>
      <c r="D391" s="4" t="s">
        <v>4</v>
      </c>
      <c r="E391" s="4" t="s">
        <v>5</v>
      </c>
      <c r="F391" s="4" t="s">
        <v>6</v>
      </c>
      <c r="G391" s="4" t="s">
        <v>7</v>
      </c>
      <c r="H391" s="4" t="s">
        <v>8</v>
      </c>
      <c r="I391" s="4" t="s">
        <v>9</v>
      </c>
      <c r="J391" s="44" t="s">
        <v>33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99" t="s">
        <v>11</v>
      </c>
      <c r="U391" s="99"/>
      <c r="W391" s="13" t="s">
        <v>21</v>
      </c>
      <c r="X391" s="15" t="s">
        <v>17</v>
      </c>
      <c r="Y391" s="37"/>
    </row>
    <row r="392" spans="1:32" x14ac:dyDescent="0.3">
      <c r="A392" s="44">
        <f>A382+1</f>
        <v>37</v>
      </c>
      <c r="B392" s="34" t="str">
        <f>TEXT(Tabelle1217303029720839[[#This Row],[Datum]],"tttt")</f>
        <v>Montag</v>
      </c>
      <c r="C392" s="56">
        <f>C388+1</f>
        <v>44446</v>
      </c>
      <c r="D392" s="31"/>
      <c r="E392" s="31"/>
      <c r="F392" s="31"/>
      <c r="G392" s="31"/>
      <c r="H392" s="31"/>
      <c r="I392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4">
        <f>J382+1</f>
        <v>37</v>
      </c>
      <c r="K392" s="34" t="str">
        <f>TEXT(Tabelle121730302972083991[[#This Row],[Datum]],"tttt")</f>
        <v>Montag</v>
      </c>
      <c r="L392" s="56">
        <f>L388+1</f>
        <v>44446</v>
      </c>
      <c r="M392" s="31">
        <f>IF(O392="F",0,D392)</f>
        <v>0</v>
      </c>
      <c r="N392" s="31">
        <f>IF(O392="F",0,E392)</f>
        <v>0</v>
      </c>
      <c r="O392" s="32"/>
      <c r="P392" s="31">
        <f>IF(O392="F",0,G392)</f>
        <v>0</v>
      </c>
      <c r="Q392" s="31">
        <f>IF(O392="F",I392,0)</f>
        <v>0</v>
      </c>
      <c r="R392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99">
        <f t="shared" ref="T392:T393" si="356">R392-I392</f>
        <v>0</v>
      </c>
      <c r="U392" s="99"/>
      <c r="W392" s="17" t="s">
        <v>18</v>
      </c>
      <c r="X392" s="26">
        <f>I399</f>
        <v>0</v>
      </c>
      <c r="Y392" s="37"/>
    </row>
    <row r="393" spans="1:32" x14ac:dyDescent="0.3">
      <c r="B393" s="34" t="str">
        <f>TEXT(Tabelle1217303029720839[[#This Row],[Datum]],"tttt")</f>
        <v>Dienstag</v>
      </c>
      <c r="C393" s="54">
        <f>C392+1</f>
        <v>44447</v>
      </c>
      <c r="D393" s="31"/>
      <c r="E393" s="31"/>
      <c r="F393" s="31"/>
      <c r="G393" s="31"/>
      <c r="H393" s="31"/>
      <c r="I393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4" t="str">
        <f>TEXT(Tabelle121730302972083991[[#This Row],[Datum]],"tttt")</f>
        <v>Dienstag</v>
      </c>
      <c r="L393" s="54">
        <f>L392+1</f>
        <v>44447</v>
      </c>
      <c r="M393" s="31">
        <f t="shared" ref="M393:M398" si="357">IF(O393="F",0,D393)</f>
        <v>0</v>
      </c>
      <c r="N393" s="31">
        <f t="shared" ref="N393:N398" si="358">IF(O393="F",0,E393)</f>
        <v>0</v>
      </c>
      <c r="O393" s="31"/>
      <c r="P393" s="31">
        <f t="shared" ref="P393:P398" si="359">IF(O393="F",0,G393)</f>
        <v>0</v>
      </c>
      <c r="Q393" s="31">
        <f t="shared" ref="Q393:Q398" si="360">IF(O393="F",I393,0)</f>
        <v>0</v>
      </c>
      <c r="R393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99">
        <f t="shared" si="356"/>
        <v>0</v>
      </c>
      <c r="U393" s="99"/>
      <c r="W393" s="17" t="s">
        <v>19</v>
      </c>
      <c r="X393" s="26">
        <f>R399</f>
        <v>0</v>
      </c>
      <c r="Y393" s="37"/>
    </row>
    <row r="394" spans="1:32" x14ac:dyDescent="0.3">
      <c r="B394" s="35" t="str">
        <f>TEXT(Tabelle1217303029720839[[#This Row],[Datum]],"tttt")</f>
        <v>Mittwoch</v>
      </c>
      <c r="C394" s="54">
        <f t="shared" ref="C394:C398" si="361">C393+1</f>
        <v>44448</v>
      </c>
      <c r="D394" s="32"/>
      <c r="E394" s="32"/>
      <c r="F394" s="32"/>
      <c r="G394" s="32"/>
      <c r="H394" s="32"/>
      <c r="I394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5" t="str">
        <f>TEXT(Tabelle121730302972083991[[#This Row],[Datum]],"tttt")</f>
        <v>Mittwoch</v>
      </c>
      <c r="L394" s="54">
        <f t="shared" ref="L394:L398" si="362">L393+1</f>
        <v>44448</v>
      </c>
      <c r="M394" s="31">
        <f t="shared" si="357"/>
        <v>0</v>
      </c>
      <c r="N394" s="31">
        <f t="shared" si="358"/>
        <v>0</v>
      </c>
      <c r="O394" s="32"/>
      <c r="P394" s="31">
        <f t="shared" si="359"/>
        <v>0</v>
      </c>
      <c r="Q394" s="31">
        <f t="shared" si="360"/>
        <v>0</v>
      </c>
      <c r="R394" s="51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99">
        <f>R394-I394</f>
        <v>0</v>
      </c>
      <c r="U394" s="99"/>
      <c r="W394" s="20" t="s">
        <v>20</v>
      </c>
      <c r="X394" s="27">
        <f>X393-X392</f>
        <v>0</v>
      </c>
      <c r="Y394" s="37"/>
      <c r="Z394" s="64">
        <f>Z384+X394</f>
        <v>0</v>
      </c>
    </row>
    <row r="395" spans="1:32" x14ac:dyDescent="0.3">
      <c r="B395" s="34" t="str">
        <f>TEXT(Tabelle1217303029720839[[#This Row],[Datum]],"tttt")</f>
        <v>Donnerstag</v>
      </c>
      <c r="C395" s="54">
        <f t="shared" si="361"/>
        <v>44449</v>
      </c>
      <c r="D395" s="31"/>
      <c r="E395" s="31"/>
      <c r="F395" s="31"/>
      <c r="G395" s="31"/>
      <c r="H395" s="31"/>
      <c r="I395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4" t="str">
        <f>TEXT(Tabelle121730302972083991[[#This Row],[Datum]],"tttt")</f>
        <v>Donnerstag</v>
      </c>
      <c r="L395" s="54">
        <f t="shared" si="362"/>
        <v>44449</v>
      </c>
      <c r="M395" s="31">
        <f t="shared" si="357"/>
        <v>0</v>
      </c>
      <c r="N395" s="31">
        <f t="shared" si="358"/>
        <v>0</v>
      </c>
      <c r="O395" s="31"/>
      <c r="P395" s="31">
        <f t="shared" si="359"/>
        <v>0</v>
      </c>
      <c r="Q395" s="31">
        <f t="shared" si="360"/>
        <v>0</v>
      </c>
      <c r="R395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99">
        <f>R395-I395</f>
        <v>0</v>
      </c>
      <c r="U395" s="99"/>
      <c r="Y395" s="37"/>
    </row>
    <row r="396" spans="1:32" x14ac:dyDescent="0.3">
      <c r="B396" s="36" t="str">
        <f>TEXT(Tabelle1217303029720839[[#This Row],[Datum]],"tttt")</f>
        <v>Freitag</v>
      </c>
      <c r="C396" s="54">
        <f t="shared" si="361"/>
        <v>44450</v>
      </c>
      <c r="D396" s="32"/>
      <c r="E396" s="32"/>
      <c r="F396" s="32"/>
      <c r="G396" s="32"/>
      <c r="H396" s="32"/>
      <c r="I396" s="52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6" t="str">
        <f>TEXT(Tabelle121730302972083991[[#This Row],[Datum]],"tttt")</f>
        <v>Freitag</v>
      </c>
      <c r="L396" s="54">
        <f t="shared" si="362"/>
        <v>44450</v>
      </c>
      <c r="M396" s="31">
        <f t="shared" si="357"/>
        <v>0</v>
      </c>
      <c r="N396" s="31">
        <f t="shared" si="358"/>
        <v>0</v>
      </c>
      <c r="O396" s="32"/>
      <c r="P396" s="31">
        <f t="shared" si="359"/>
        <v>0</v>
      </c>
      <c r="Q396" s="31">
        <f t="shared" si="360"/>
        <v>0</v>
      </c>
      <c r="R396" s="52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99">
        <f>R396-I396</f>
        <v>0</v>
      </c>
      <c r="U396" s="99"/>
      <c r="Y396" s="37"/>
    </row>
    <row r="397" spans="1:32" x14ac:dyDescent="0.3">
      <c r="B397" s="34" t="str">
        <f>TEXT(Tabelle1217303029720839[[#This Row],[Datum]],"tttt")</f>
        <v>Samstag</v>
      </c>
      <c r="C397" s="54">
        <f t="shared" si="361"/>
        <v>44451</v>
      </c>
      <c r="D397" s="31"/>
      <c r="E397" s="31"/>
      <c r="F397" s="31"/>
      <c r="G397" s="31"/>
      <c r="H397" s="31"/>
      <c r="I397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4" t="str">
        <f>TEXT(Tabelle121730302972083991[[#This Row],[Datum]],"tttt")</f>
        <v>Samstag</v>
      </c>
      <c r="L397" s="54">
        <f t="shared" si="362"/>
        <v>44451</v>
      </c>
      <c r="M397" s="31">
        <f t="shared" si="357"/>
        <v>0</v>
      </c>
      <c r="N397" s="31">
        <f t="shared" si="358"/>
        <v>0</v>
      </c>
      <c r="O397" s="31"/>
      <c r="P397" s="31">
        <f t="shared" si="359"/>
        <v>0</v>
      </c>
      <c r="Q397" s="31">
        <f t="shared" si="360"/>
        <v>0</v>
      </c>
      <c r="R397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99">
        <f t="shared" ref="T397:T398" si="363">R397-I397</f>
        <v>0</v>
      </c>
      <c r="U397" s="99"/>
      <c r="Y397" s="37"/>
    </row>
    <row r="398" spans="1:32" s="40" customFormat="1" x14ac:dyDescent="0.3">
      <c r="B398" s="36" t="str">
        <f>TEXT(Tabelle1217303029720839[[#This Row],[Datum]],"tttt")</f>
        <v>Sonntag</v>
      </c>
      <c r="C398" s="55">
        <f t="shared" si="361"/>
        <v>44452</v>
      </c>
      <c r="D398" s="32"/>
      <c r="E398" s="32"/>
      <c r="F398" s="32"/>
      <c r="G398" s="32"/>
      <c r="H398" s="32"/>
      <c r="I398" s="53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6" t="str">
        <f>TEXT(Tabelle121730302972083991[[#This Row],[Datum]],"tttt")</f>
        <v>Sonntag</v>
      </c>
      <c r="L398" s="55">
        <f t="shared" si="362"/>
        <v>44452</v>
      </c>
      <c r="M398" s="31">
        <f t="shared" si="357"/>
        <v>0</v>
      </c>
      <c r="N398" s="31">
        <f t="shared" si="358"/>
        <v>0</v>
      </c>
      <c r="O398" s="32"/>
      <c r="P398" s="31">
        <f t="shared" si="359"/>
        <v>0</v>
      </c>
      <c r="Q398" s="31">
        <f t="shared" si="360"/>
        <v>0</v>
      </c>
      <c r="R398" s="53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99">
        <f t="shared" si="363"/>
        <v>0</v>
      </c>
      <c r="U398" s="99"/>
      <c r="V398" s="42"/>
      <c r="W398" s="42"/>
      <c r="X398" s="45"/>
      <c r="Y398" s="37"/>
      <c r="AB398" s="41"/>
      <c r="AD398" s="29"/>
      <c r="AE398" s="29"/>
      <c r="AF398" s="29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7"/>
    </row>
    <row r="400" spans="1:32" x14ac:dyDescent="0.3">
      <c r="A400" s="37"/>
      <c r="B400" s="38"/>
      <c r="C400" s="37"/>
      <c r="D400" s="37"/>
      <c r="E400" s="37"/>
      <c r="F400" s="37"/>
      <c r="G400" s="37"/>
      <c r="H400" s="37"/>
      <c r="I400" s="38"/>
      <c r="J400" s="37"/>
      <c r="K400" s="38"/>
      <c r="L400" s="37"/>
      <c r="M400" s="37"/>
      <c r="N400" s="37"/>
      <c r="O400" s="37"/>
      <c r="P400" s="37"/>
      <c r="Q400" s="37"/>
      <c r="R400" s="38"/>
      <c r="S400" s="37"/>
      <c r="T400" s="100"/>
      <c r="U400" s="100"/>
      <c r="V400" s="37"/>
      <c r="W400" s="37"/>
      <c r="X400" s="39"/>
      <c r="Y400" s="37"/>
    </row>
    <row r="401" spans="1:32" x14ac:dyDescent="0.3">
      <c r="A401" s="44" t="s">
        <v>33</v>
      </c>
      <c r="B401" s="6" t="s">
        <v>2</v>
      </c>
      <c r="C401" s="7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  <c r="J401" s="44" t="s">
        <v>33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99" t="s">
        <v>11</v>
      </c>
      <c r="U401" s="99"/>
      <c r="W401" s="13" t="s">
        <v>21</v>
      </c>
      <c r="X401" s="15" t="s">
        <v>17</v>
      </c>
      <c r="Y401" s="37"/>
    </row>
    <row r="402" spans="1:32" x14ac:dyDescent="0.3">
      <c r="A402" s="44">
        <f>A392+1</f>
        <v>38</v>
      </c>
      <c r="B402" s="34" t="str">
        <f>TEXT(Tabelle12173030297208339[[#This Row],[Datum]],"tttt")</f>
        <v>Montag</v>
      </c>
      <c r="C402" s="56">
        <f>C398+1</f>
        <v>44453</v>
      </c>
      <c r="D402" s="31"/>
      <c r="E402" s="31"/>
      <c r="F402" s="31"/>
      <c r="G402" s="31"/>
      <c r="H402" s="31"/>
      <c r="I402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4">
        <f>J392+1</f>
        <v>38</v>
      </c>
      <c r="K402" s="34" t="str">
        <f>TEXT(Tabelle1217303029720833992[[#This Row],[Datum]],"tttt")</f>
        <v>Montag</v>
      </c>
      <c r="L402" s="56">
        <f>L398+1</f>
        <v>44453</v>
      </c>
      <c r="M402" s="31">
        <f>IF(O402="F",0,D402)</f>
        <v>0</v>
      </c>
      <c r="N402" s="31">
        <f>IF(O402="F",0,E402)</f>
        <v>0</v>
      </c>
      <c r="O402" s="32"/>
      <c r="P402" s="31">
        <f>IF(O402="F",0,G402)</f>
        <v>0</v>
      </c>
      <c r="Q402" s="31">
        <f>IF(O402="F",I402,0)</f>
        <v>0</v>
      </c>
      <c r="R402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99">
        <f t="shared" ref="T402:T403" si="366">R402-I402</f>
        <v>0</v>
      </c>
      <c r="U402" s="99"/>
      <c r="W402" s="17" t="s">
        <v>18</v>
      </c>
      <c r="X402" s="26">
        <f>I409</f>
        <v>0</v>
      </c>
      <c r="Y402" s="37"/>
    </row>
    <row r="403" spans="1:32" x14ac:dyDescent="0.3">
      <c r="B403" s="34" t="str">
        <f>TEXT(Tabelle12173030297208339[[#This Row],[Datum]],"tttt")</f>
        <v>Dienstag</v>
      </c>
      <c r="C403" s="54">
        <f>C402+1</f>
        <v>44454</v>
      </c>
      <c r="D403" s="31"/>
      <c r="E403" s="31"/>
      <c r="F403" s="31"/>
      <c r="G403" s="31"/>
      <c r="H403" s="31"/>
      <c r="I403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4" t="str">
        <f>TEXT(Tabelle1217303029720833992[[#This Row],[Datum]],"tttt")</f>
        <v>Dienstag</v>
      </c>
      <c r="L403" s="54">
        <f>L402+1</f>
        <v>44454</v>
      </c>
      <c r="M403" s="31">
        <f t="shared" ref="M403:M408" si="367">IF(O403="F",0,D403)</f>
        <v>0</v>
      </c>
      <c r="N403" s="31">
        <f t="shared" ref="N403:N408" si="368">IF(O403="F",0,E403)</f>
        <v>0</v>
      </c>
      <c r="O403" s="31"/>
      <c r="P403" s="31">
        <f t="shared" ref="P403:P408" si="369">IF(O403="F",0,G403)</f>
        <v>0</v>
      </c>
      <c r="Q403" s="31">
        <f t="shared" ref="Q403:Q408" si="370">IF(O403="F",I403,0)</f>
        <v>0</v>
      </c>
      <c r="R403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99">
        <f t="shared" si="366"/>
        <v>0</v>
      </c>
      <c r="U403" s="99"/>
      <c r="W403" s="17" t="s">
        <v>19</v>
      </c>
      <c r="X403" s="26">
        <f>R409</f>
        <v>0</v>
      </c>
      <c r="Y403" s="37"/>
    </row>
    <row r="404" spans="1:32" x14ac:dyDescent="0.3">
      <c r="B404" s="35" t="str">
        <f>TEXT(Tabelle12173030297208339[[#This Row],[Datum]],"tttt")</f>
        <v>Mittwoch</v>
      </c>
      <c r="C404" s="54">
        <f t="shared" ref="C404:C408" si="371">C403+1</f>
        <v>44455</v>
      </c>
      <c r="D404" s="32"/>
      <c r="E404" s="32"/>
      <c r="F404" s="32"/>
      <c r="G404" s="32"/>
      <c r="H404" s="32"/>
      <c r="I404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5" t="str">
        <f>TEXT(Tabelle1217303029720833992[[#This Row],[Datum]],"tttt")</f>
        <v>Mittwoch</v>
      </c>
      <c r="L404" s="54">
        <f t="shared" ref="L404:L408" si="372">L403+1</f>
        <v>44455</v>
      </c>
      <c r="M404" s="31">
        <f t="shared" si="367"/>
        <v>0</v>
      </c>
      <c r="N404" s="31">
        <f t="shared" si="368"/>
        <v>0</v>
      </c>
      <c r="O404" s="32"/>
      <c r="P404" s="31">
        <f t="shared" si="369"/>
        <v>0</v>
      </c>
      <c r="Q404" s="31">
        <f t="shared" si="370"/>
        <v>0</v>
      </c>
      <c r="R404" s="51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99">
        <f>R404-I404</f>
        <v>0</v>
      </c>
      <c r="U404" s="99"/>
      <c r="W404" s="20" t="s">
        <v>20</v>
      </c>
      <c r="X404" s="27">
        <f>X403-X402</f>
        <v>0</v>
      </c>
      <c r="Y404" s="37"/>
      <c r="Z404" s="64">
        <f>Z394+X404</f>
        <v>0</v>
      </c>
    </row>
    <row r="405" spans="1:32" x14ac:dyDescent="0.3">
      <c r="B405" s="34" t="str">
        <f>TEXT(Tabelle12173030297208339[[#This Row],[Datum]],"tttt")</f>
        <v>Donnerstag</v>
      </c>
      <c r="C405" s="54">
        <f t="shared" si="371"/>
        <v>44456</v>
      </c>
      <c r="D405" s="31"/>
      <c r="E405" s="31"/>
      <c r="F405" s="31"/>
      <c r="G405" s="31"/>
      <c r="H405" s="31"/>
      <c r="I405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4" t="str">
        <f>TEXT(Tabelle1217303029720833992[[#This Row],[Datum]],"tttt")</f>
        <v>Donnerstag</v>
      </c>
      <c r="L405" s="54">
        <f t="shared" si="372"/>
        <v>44456</v>
      </c>
      <c r="M405" s="31">
        <f t="shared" si="367"/>
        <v>0</v>
      </c>
      <c r="N405" s="31">
        <f t="shared" si="368"/>
        <v>0</v>
      </c>
      <c r="O405" s="31"/>
      <c r="P405" s="31">
        <f t="shared" si="369"/>
        <v>0</v>
      </c>
      <c r="Q405" s="31">
        <f t="shared" si="370"/>
        <v>0</v>
      </c>
      <c r="R405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99">
        <f>R405-I405</f>
        <v>0</v>
      </c>
      <c r="U405" s="99"/>
      <c r="Y405" s="37"/>
    </row>
    <row r="406" spans="1:32" x14ac:dyDescent="0.3">
      <c r="B406" s="36" t="str">
        <f>TEXT(Tabelle12173030297208339[[#This Row],[Datum]],"tttt")</f>
        <v>Freitag</v>
      </c>
      <c r="C406" s="54">
        <f t="shared" si="371"/>
        <v>44457</v>
      </c>
      <c r="D406" s="32"/>
      <c r="E406" s="32"/>
      <c r="F406" s="32"/>
      <c r="G406" s="32"/>
      <c r="H406" s="32"/>
      <c r="I406" s="52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6" t="str">
        <f>TEXT(Tabelle1217303029720833992[[#This Row],[Datum]],"tttt")</f>
        <v>Freitag</v>
      </c>
      <c r="L406" s="54">
        <f t="shared" si="372"/>
        <v>44457</v>
      </c>
      <c r="M406" s="31">
        <f t="shared" si="367"/>
        <v>0</v>
      </c>
      <c r="N406" s="31">
        <f t="shared" si="368"/>
        <v>0</v>
      </c>
      <c r="O406" s="32"/>
      <c r="P406" s="31">
        <f t="shared" si="369"/>
        <v>0</v>
      </c>
      <c r="Q406" s="31">
        <f t="shared" si="370"/>
        <v>0</v>
      </c>
      <c r="R406" s="52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99">
        <f>R406-I406</f>
        <v>0</v>
      </c>
      <c r="U406" s="99"/>
      <c r="Y406" s="37"/>
    </row>
    <row r="407" spans="1:32" x14ac:dyDescent="0.3">
      <c r="B407" s="34" t="str">
        <f>TEXT(Tabelle12173030297208339[[#This Row],[Datum]],"tttt")</f>
        <v>Samstag</v>
      </c>
      <c r="C407" s="54">
        <f t="shared" si="371"/>
        <v>44458</v>
      </c>
      <c r="D407" s="31"/>
      <c r="E407" s="31"/>
      <c r="F407" s="31"/>
      <c r="G407" s="31"/>
      <c r="H407" s="31"/>
      <c r="I407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4" t="str">
        <f>TEXT(Tabelle1217303029720833992[[#This Row],[Datum]],"tttt")</f>
        <v>Samstag</v>
      </c>
      <c r="L407" s="54">
        <f t="shared" si="372"/>
        <v>44458</v>
      </c>
      <c r="M407" s="31">
        <f t="shared" si="367"/>
        <v>0</v>
      </c>
      <c r="N407" s="31">
        <f t="shared" si="368"/>
        <v>0</v>
      </c>
      <c r="O407" s="31"/>
      <c r="P407" s="31">
        <f t="shared" si="369"/>
        <v>0</v>
      </c>
      <c r="Q407" s="31">
        <f t="shared" si="370"/>
        <v>0</v>
      </c>
      <c r="R407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99">
        <f t="shared" ref="T407:T408" si="373">R407-I407</f>
        <v>0</v>
      </c>
      <c r="U407" s="99"/>
      <c r="Y407" s="37"/>
    </row>
    <row r="408" spans="1:32" s="40" customFormat="1" x14ac:dyDescent="0.3">
      <c r="B408" s="36" t="str">
        <f>TEXT(Tabelle12173030297208339[[#This Row],[Datum]],"tttt")</f>
        <v>Sonntag</v>
      </c>
      <c r="C408" s="55">
        <f t="shared" si="371"/>
        <v>44459</v>
      </c>
      <c r="D408" s="32"/>
      <c r="E408" s="32"/>
      <c r="F408" s="32"/>
      <c r="G408" s="32"/>
      <c r="H408" s="32"/>
      <c r="I408" s="53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6" t="str">
        <f>TEXT(Tabelle1217303029720833992[[#This Row],[Datum]],"tttt")</f>
        <v>Sonntag</v>
      </c>
      <c r="L408" s="55">
        <f t="shared" si="372"/>
        <v>44459</v>
      </c>
      <c r="M408" s="31">
        <f t="shared" si="367"/>
        <v>0</v>
      </c>
      <c r="N408" s="31">
        <f t="shared" si="368"/>
        <v>0</v>
      </c>
      <c r="O408" s="32"/>
      <c r="P408" s="31">
        <f t="shared" si="369"/>
        <v>0</v>
      </c>
      <c r="Q408" s="31">
        <f t="shared" si="370"/>
        <v>0</v>
      </c>
      <c r="R408" s="53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99">
        <f t="shared" si="373"/>
        <v>0</v>
      </c>
      <c r="U408" s="99"/>
      <c r="V408" s="42"/>
      <c r="W408" s="42"/>
      <c r="X408" s="45"/>
      <c r="Y408" s="37"/>
      <c r="AB408" s="41"/>
      <c r="AD408" s="29"/>
      <c r="AE408" s="29"/>
      <c r="AF408" s="29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7"/>
    </row>
    <row r="410" spans="1:32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100"/>
      <c r="U410" s="100"/>
      <c r="V410" s="37"/>
      <c r="W410" s="37"/>
      <c r="X410" s="39"/>
      <c r="Y410" s="37"/>
    </row>
    <row r="411" spans="1:32" x14ac:dyDescent="0.3">
      <c r="A411" s="44" t="s">
        <v>33</v>
      </c>
      <c r="B411" s="6" t="s">
        <v>2</v>
      </c>
      <c r="C411" s="7" t="s">
        <v>3</v>
      </c>
      <c r="D411" s="4" t="s">
        <v>4</v>
      </c>
      <c r="E411" s="4" t="s">
        <v>5</v>
      </c>
      <c r="F411" s="4" t="s">
        <v>6</v>
      </c>
      <c r="G411" s="4" t="s">
        <v>7</v>
      </c>
      <c r="H411" s="4" t="s">
        <v>8</v>
      </c>
      <c r="I411" s="4" t="s">
        <v>9</v>
      </c>
      <c r="J411" s="44" t="s">
        <v>33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99" t="s">
        <v>11</v>
      </c>
      <c r="U411" s="99"/>
      <c r="W411" s="13" t="s">
        <v>21</v>
      </c>
      <c r="X411" s="15" t="s">
        <v>17</v>
      </c>
      <c r="Y411" s="37"/>
    </row>
    <row r="412" spans="1:32" x14ac:dyDescent="0.3">
      <c r="A412" s="44">
        <f>A402+1</f>
        <v>39</v>
      </c>
      <c r="B412" s="34" t="str">
        <f>TEXT(Tabelle12173030297208440[[#This Row],[Datum]],"tttt")</f>
        <v>Montag</v>
      </c>
      <c r="C412" s="56">
        <f>C408+1</f>
        <v>44460</v>
      </c>
      <c r="D412" s="31"/>
      <c r="E412" s="31"/>
      <c r="F412" s="31"/>
      <c r="G412" s="31"/>
      <c r="H412" s="31"/>
      <c r="I412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4">
        <f>J402+1</f>
        <v>39</v>
      </c>
      <c r="K412" s="34" t="str">
        <f>TEXT(Tabelle1217303029720844093[[#This Row],[Datum]],"tttt")</f>
        <v>Montag</v>
      </c>
      <c r="L412" s="56">
        <f>L408+1</f>
        <v>44460</v>
      </c>
      <c r="M412" s="31">
        <f>IF(O412="F",0,D412)</f>
        <v>0</v>
      </c>
      <c r="N412" s="31">
        <f>IF(O412="F",0,E412)</f>
        <v>0</v>
      </c>
      <c r="O412" s="32"/>
      <c r="P412" s="31">
        <f>IF(O412="F",0,G412)</f>
        <v>0</v>
      </c>
      <c r="Q412" s="31">
        <f>IF(O412="F",I412,0)</f>
        <v>0</v>
      </c>
      <c r="R412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99">
        <f t="shared" ref="T412:T413" si="376">R412-I412</f>
        <v>0</v>
      </c>
      <c r="U412" s="99"/>
      <c r="W412" s="17" t="s">
        <v>18</v>
      </c>
      <c r="X412" s="26">
        <f>I419</f>
        <v>0</v>
      </c>
      <c r="Y412" s="37"/>
    </row>
    <row r="413" spans="1:32" x14ac:dyDescent="0.3">
      <c r="B413" s="34" t="str">
        <f>TEXT(Tabelle12173030297208440[[#This Row],[Datum]],"tttt")</f>
        <v>Dienstag</v>
      </c>
      <c r="C413" s="54">
        <f>C412+1</f>
        <v>44461</v>
      </c>
      <c r="D413" s="31"/>
      <c r="E413" s="31"/>
      <c r="F413" s="31"/>
      <c r="G413" s="31"/>
      <c r="H413" s="31"/>
      <c r="I413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4" t="str">
        <f>TEXT(Tabelle1217303029720844093[[#This Row],[Datum]],"tttt")</f>
        <v>Dienstag</v>
      </c>
      <c r="L413" s="54">
        <f>L412+1</f>
        <v>44461</v>
      </c>
      <c r="M413" s="31">
        <f t="shared" ref="M413:M418" si="377">IF(O413="F",0,D413)</f>
        <v>0</v>
      </c>
      <c r="N413" s="31">
        <f t="shared" ref="N413:N418" si="378">IF(O413="F",0,E413)</f>
        <v>0</v>
      </c>
      <c r="O413" s="31"/>
      <c r="P413" s="31">
        <f t="shared" ref="P413:P418" si="379">IF(O413="F",0,G413)</f>
        <v>0</v>
      </c>
      <c r="Q413" s="31">
        <f t="shared" ref="Q413:Q418" si="380">IF(O413="F",I413,0)</f>
        <v>0</v>
      </c>
      <c r="R413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99">
        <f t="shared" si="376"/>
        <v>0</v>
      </c>
      <c r="U413" s="99"/>
      <c r="W413" s="17" t="s">
        <v>19</v>
      </c>
      <c r="X413" s="26">
        <f>R419</f>
        <v>0</v>
      </c>
      <c r="Y413" s="37"/>
    </row>
    <row r="414" spans="1:32" x14ac:dyDescent="0.3">
      <c r="B414" s="35" t="str">
        <f>TEXT(Tabelle12173030297208440[[#This Row],[Datum]],"tttt")</f>
        <v>Mittwoch</v>
      </c>
      <c r="C414" s="54">
        <f t="shared" ref="C414:C418" si="381">C413+1</f>
        <v>44462</v>
      </c>
      <c r="D414" s="32"/>
      <c r="E414" s="32"/>
      <c r="F414" s="32"/>
      <c r="G414" s="32"/>
      <c r="H414" s="32"/>
      <c r="I414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5" t="str">
        <f>TEXT(Tabelle1217303029720844093[[#This Row],[Datum]],"tttt")</f>
        <v>Mittwoch</v>
      </c>
      <c r="L414" s="54">
        <f t="shared" ref="L414:L418" si="382">L413+1</f>
        <v>44462</v>
      </c>
      <c r="M414" s="31">
        <f t="shared" si="377"/>
        <v>0</v>
      </c>
      <c r="N414" s="31">
        <f t="shared" si="378"/>
        <v>0</v>
      </c>
      <c r="O414" s="32"/>
      <c r="P414" s="31">
        <f t="shared" si="379"/>
        <v>0</v>
      </c>
      <c r="Q414" s="31">
        <f t="shared" si="380"/>
        <v>0</v>
      </c>
      <c r="R414" s="51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99">
        <f>R414-I414</f>
        <v>0</v>
      </c>
      <c r="U414" s="99"/>
      <c r="W414" s="20" t="s">
        <v>20</v>
      </c>
      <c r="X414" s="27">
        <f>X413-X412</f>
        <v>0</v>
      </c>
      <c r="Y414" s="37"/>
      <c r="Z414" s="64">
        <f>Z404+X414</f>
        <v>0</v>
      </c>
    </row>
    <row r="415" spans="1:32" x14ac:dyDescent="0.3">
      <c r="B415" s="34" t="str">
        <f>TEXT(Tabelle12173030297208440[[#This Row],[Datum]],"tttt")</f>
        <v>Donnerstag</v>
      </c>
      <c r="C415" s="54">
        <f t="shared" si="381"/>
        <v>44463</v>
      </c>
      <c r="D415" s="31"/>
      <c r="E415" s="31"/>
      <c r="F415" s="31"/>
      <c r="G415" s="31"/>
      <c r="H415" s="31"/>
      <c r="I415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4" t="str">
        <f>TEXT(Tabelle1217303029720844093[[#This Row],[Datum]],"tttt")</f>
        <v>Donnerstag</v>
      </c>
      <c r="L415" s="54">
        <f t="shared" si="382"/>
        <v>44463</v>
      </c>
      <c r="M415" s="31">
        <f t="shared" si="377"/>
        <v>0</v>
      </c>
      <c r="N415" s="31">
        <f t="shared" si="378"/>
        <v>0</v>
      </c>
      <c r="O415" s="31"/>
      <c r="P415" s="31">
        <f t="shared" si="379"/>
        <v>0</v>
      </c>
      <c r="Q415" s="31">
        <f t="shared" si="380"/>
        <v>0</v>
      </c>
      <c r="R415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99">
        <f>R415-I415</f>
        <v>0</v>
      </c>
      <c r="U415" s="99"/>
      <c r="Y415" s="37"/>
    </row>
    <row r="416" spans="1:32" x14ac:dyDescent="0.3">
      <c r="B416" s="36" t="str">
        <f>TEXT(Tabelle12173030297208440[[#This Row],[Datum]],"tttt")</f>
        <v>Freitag</v>
      </c>
      <c r="C416" s="54">
        <f t="shared" si="381"/>
        <v>44464</v>
      </c>
      <c r="D416" s="32"/>
      <c r="E416" s="32"/>
      <c r="F416" s="32"/>
      <c r="G416" s="32"/>
      <c r="H416" s="32"/>
      <c r="I416" s="52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6" t="str">
        <f>TEXT(Tabelle1217303029720844093[[#This Row],[Datum]],"tttt")</f>
        <v>Freitag</v>
      </c>
      <c r="L416" s="54">
        <f t="shared" si="382"/>
        <v>44464</v>
      </c>
      <c r="M416" s="31">
        <f t="shared" si="377"/>
        <v>0</v>
      </c>
      <c r="N416" s="31">
        <f t="shared" si="378"/>
        <v>0</v>
      </c>
      <c r="O416" s="32"/>
      <c r="P416" s="31">
        <f t="shared" si="379"/>
        <v>0</v>
      </c>
      <c r="Q416" s="31">
        <f t="shared" si="380"/>
        <v>0</v>
      </c>
      <c r="R416" s="52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99">
        <f>R416-I416</f>
        <v>0</v>
      </c>
      <c r="U416" s="99"/>
      <c r="Y416" s="37"/>
    </row>
    <row r="417" spans="1:32" x14ac:dyDescent="0.3">
      <c r="B417" s="34" t="str">
        <f>TEXT(Tabelle12173030297208440[[#This Row],[Datum]],"tttt")</f>
        <v>Samstag</v>
      </c>
      <c r="C417" s="54">
        <f t="shared" si="381"/>
        <v>44465</v>
      </c>
      <c r="D417" s="31"/>
      <c r="E417" s="31"/>
      <c r="F417" s="31"/>
      <c r="G417" s="31"/>
      <c r="H417" s="31"/>
      <c r="I417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4" t="str">
        <f>TEXT(Tabelle1217303029720844093[[#This Row],[Datum]],"tttt")</f>
        <v>Samstag</v>
      </c>
      <c r="L417" s="54">
        <f t="shared" si="382"/>
        <v>44465</v>
      </c>
      <c r="M417" s="31">
        <f t="shared" si="377"/>
        <v>0</v>
      </c>
      <c r="N417" s="31">
        <f t="shared" si="378"/>
        <v>0</v>
      </c>
      <c r="O417" s="31"/>
      <c r="P417" s="31">
        <f t="shared" si="379"/>
        <v>0</v>
      </c>
      <c r="Q417" s="31">
        <f t="shared" si="380"/>
        <v>0</v>
      </c>
      <c r="R417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99">
        <f t="shared" ref="T417:T418" si="383">R417-I417</f>
        <v>0</v>
      </c>
      <c r="U417" s="99"/>
      <c r="Y417" s="37"/>
    </row>
    <row r="418" spans="1:32" s="40" customFormat="1" x14ac:dyDescent="0.3">
      <c r="B418" s="36" t="str">
        <f>TEXT(Tabelle12173030297208440[[#This Row],[Datum]],"tttt")</f>
        <v>Sonntag</v>
      </c>
      <c r="C418" s="55">
        <f t="shared" si="381"/>
        <v>44466</v>
      </c>
      <c r="D418" s="32"/>
      <c r="E418" s="32"/>
      <c r="F418" s="32"/>
      <c r="G418" s="32"/>
      <c r="H418" s="32"/>
      <c r="I418" s="53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6" t="str">
        <f>TEXT(Tabelle1217303029720844093[[#This Row],[Datum]],"tttt")</f>
        <v>Sonntag</v>
      </c>
      <c r="L418" s="55">
        <f t="shared" si="382"/>
        <v>44466</v>
      </c>
      <c r="M418" s="31">
        <f t="shared" si="377"/>
        <v>0</v>
      </c>
      <c r="N418" s="31">
        <f t="shared" si="378"/>
        <v>0</v>
      </c>
      <c r="O418" s="32"/>
      <c r="P418" s="31">
        <f t="shared" si="379"/>
        <v>0</v>
      </c>
      <c r="Q418" s="31">
        <f t="shared" si="380"/>
        <v>0</v>
      </c>
      <c r="R418" s="53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99">
        <f t="shared" si="383"/>
        <v>0</v>
      </c>
      <c r="U418" s="99"/>
      <c r="V418" s="42"/>
      <c r="W418" s="42"/>
      <c r="X418" s="45"/>
      <c r="Y418" s="37"/>
      <c r="AB418" s="41"/>
      <c r="AD418" s="29"/>
      <c r="AE418" s="29"/>
      <c r="AF418" s="29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7"/>
    </row>
    <row r="420" spans="1:32" x14ac:dyDescent="0.3">
      <c r="A420" s="37"/>
      <c r="B420" s="38"/>
      <c r="C420" s="37"/>
      <c r="D420" s="37"/>
      <c r="E420" s="37"/>
      <c r="F420" s="37"/>
      <c r="G420" s="37"/>
      <c r="H420" s="37"/>
      <c r="I420" s="38"/>
      <c r="J420" s="37"/>
      <c r="K420" s="38"/>
      <c r="L420" s="37"/>
      <c r="M420" s="37"/>
      <c r="N420" s="37"/>
      <c r="O420" s="37"/>
      <c r="P420" s="37"/>
      <c r="Q420" s="37"/>
      <c r="R420" s="38"/>
      <c r="S420" s="37"/>
      <c r="T420" s="100"/>
      <c r="U420" s="100"/>
      <c r="V420" s="37"/>
      <c r="W420" s="37"/>
      <c r="X420" s="39"/>
      <c r="Y420" s="37"/>
    </row>
    <row r="421" spans="1:32" x14ac:dyDescent="0.3">
      <c r="A421" s="44" t="s">
        <v>33</v>
      </c>
      <c r="B421" s="6" t="s">
        <v>2</v>
      </c>
      <c r="C421" s="7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4" t="s">
        <v>33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99" t="s">
        <v>11</v>
      </c>
      <c r="U421" s="99"/>
      <c r="W421" s="13" t="s">
        <v>21</v>
      </c>
      <c r="X421" s="15" t="s">
        <v>17</v>
      </c>
      <c r="Y421" s="37"/>
    </row>
    <row r="422" spans="1:32" x14ac:dyDescent="0.3">
      <c r="A422" s="44">
        <f>A412+1</f>
        <v>40</v>
      </c>
      <c r="B422" s="34" t="str">
        <f>TEXT(Tabelle1217303029720841[[#This Row],[Datum]],"tttt")</f>
        <v>Montag</v>
      </c>
      <c r="C422" s="56">
        <f>C418+1</f>
        <v>44467</v>
      </c>
      <c r="D422" s="31"/>
      <c r="E422" s="31"/>
      <c r="F422" s="31"/>
      <c r="G422" s="31"/>
      <c r="H422" s="31"/>
      <c r="I422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4">
        <f>J412+1</f>
        <v>40</v>
      </c>
      <c r="K422" s="34" t="str">
        <f>TEXT(Tabelle121730302972084194[[#This Row],[Datum]],"tttt")</f>
        <v>Montag</v>
      </c>
      <c r="L422" s="56">
        <f>L418+1</f>
        <v>44467</v>
      </c>
      <c r="M422" s="31">
        <f>IF(O422="F",0,D422)</f>
        <v>0</v>
      </c>
      <c r="N422" s="31">
        <f>IF(O422="F",0,E422)</f>
        <v>0</v>
      </c>
      <c r="O422" s="32"/>
      <c r="P422" s="31">
        <f>IF(O422="F",0,G422)</f>
        <v>0</v>
      </c>
      <c r="Q422" s="31">
        <f>IF(O422="F",I422,0)</f>
        <v>0</v>
      </c>
      <c r="R422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99">
        <f t="shared" ref="T422:T423" si="386">R422-I422</f>
        <v>0</v>
      </c>
      <c r="U422" s="99"/>
      <c r="W422" s="17" t="s">
        <v>18</v>
      </c>
      <c r="X422" s="26">
        <f>I429</f>
        <v>0</v>
      </c>
      <c r="Y422" s="37"/>
    </row>
    <row r="423" spans="1:32" x14ac:dyDescent="0.3">
      <c r="B423" s="34" t="str">
        <f>TEXT(Tabelle1217303029720841[[#This Row],[Datum]],"tttt")</f>
        <v>Dienstag</v>
      </c>
      <c r="C423" s="54">
        <f>C422+1</f>
        <v>44468</v>
      </c>
      <c r="D423" s="31"/>
      <c r="E423" s="31"/>
      <c r="F423" s="31"/>
      <c r="G423" s="31"/>
      <c r="H423" s="31"/>
      <c r="I423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4" t="str">
        <f>TEXT(Tabelle121730302972084194[[#This Row],[Datum]],"tttt")</f>
        <v>Dienstag</v>
      </c>
      <c r="L423" s="54">
        <f>L422+1</f>
        <v>44468</v>
      </c>
      <c r="M423" s="31">
        <f t="shared" ref="M423:M428" si="387">IF(O423="F",0,D423)</f>
        <v>0</v>
      </c>
      <c r="N423" s="31">
        <f t="shared" ref="N423:N428" si="388">IF(O423="F",0,E423)</f>
        <v>0</v>
      </c>
      <c r="O423" s="31"/>
      <c r="P423" s="31">
        <f t="shared" ref="P423:P428" si="389">IF(O423="F",0,G423)</f>
        <v>0</v>
      </c>
      <c r="Q423" s="31">
        <f t="shared" ref="Q423:Q428" si="390">IF(O423="F",I423,0)</f>
        <v>0</v>
      </c>
      <c r="R423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99">
        <f t="shared" si="386"/>
        <v>0</v>
      </c>
      <c r="U423" s="99"/>
      <c r="W423" s="17" t="s">
        <v>19</v>
      </c>
      <c r="X423" s="26">
        <f>R429</f>
        <v>0</v>
      </c>
      <c r="Y423" s="37"/>
    </row>
    <row r="424" spans="1:32" x14ac:dyDescent="0.3">
      <c r="B424" s="35" t="str">
        <f>TEXT(Tabelle1217303029720841[[#This Row],[Datum]],"tttt")</f>
        <v>Mittwoch</v>
      </c>
      <c r="C424" s="54">
        <f t="shared" ref="C424:C428" si="391">C423+1</f>
        <v>44469</v>
      </c>
      <c r="D424" s="32"/>
      <c r="E424" s="32"/>
      <c r="F424" s="32"/>
      <c r="G424" s="32"/>
      <c r="H424" s="32"/>
      <c r="I424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5" t="str">
        <f>TEXT(Tabelle121730302972084194[[#This Row],[Datum]],"tttt")</f>
        <v>Mittwoch</v>
      </c>
      <c r="L424" s="54">
        <f t="shared" ref="L424:L428" si="392">L423+1</f>
        <v>44469</v>
      </c>
      <c r="M424" s="31">
        <f t="shared" si="387"/>
        <v>0</v>
      </c>
      <c r="N424" s="31">
        <f t="shared" si="388"/>
        <v>0</v>
      </c>
      <c r="O424" s="32"/>
      <c r="P424" s="31">
        <f t="shared" si="389"/>
        <v>0</v>
      </c>
      <c r="Q424" s="31">
        <f t="shared" si="390"/>
        <v>0</v>
      </c>
      <c r="R424" s="51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99">
        <f>R424-I424</f>
        <v>0</v>
      </c>
      <c r="U424" s="99"/>
      <c r="W424" s="20" t="s">
        <v>20</v>
      </c>
      <c r="X424" s="27">
        <f>X423-X422</f>
        <v>0</v>
      </c>
      <c r="Y424" s="37"/>
      <c r="Z424" s="64">
        <f>Z414+X424</f>
        <v>0</v>
      </c>
    </row>
    <row r="425" spans="1:32" x14ac:dyDescent="0.3">
      <c r="B425" s="34" t="str">
        <f>TEXT(Tabelle1217303029720841[[#This Row],[Datum]],"tttt")</f>
        <v>Donnerstag</v>
      </c>
      <c r="C425" s="54">
        <f t="shared" si="391"/>
        <v>44470</v>
      </c>
      <c r="D425" s="31"/>
      <c r="E425" s="31"/>
      <c r="F425" s="31"/>
      <c r="G425" s="31"/>
      <c r="H425" s="31"/>
      <c r="I425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4" t="str">
        <f>TEXT(Tabelle121730302972084194[[#This Row],[Datum]],"tttt")</f>
        <v>Donnerstag</v>
      </c>
      <c r="L425" s="54">
        <f t="shared" si="392"/>
        <v>44470</v>
      </c>
      <c r="M425" s="31">
        <f t="shared" si="387"/>
        <v>0</v>
      </c>
      <c r="N425" s="31">
        <f t="shared" si="388"/>
        <v>0</v>
      </c>
      <c r="O425" s="31"/>
      <c r="P425" s="31">
        <f t="shared" si="389"/>
        <v>0</v>
      </c>
      <c r="Q425" s="31">
        <f t="shared" si="390"/>
        <v>0</v>
      </c>
      <c r="R425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99">
        <f>R425-I425</f>
        <v>0</v>
      </c>
      <c r="U425" s="99"/>
      <c r="Y425" s="37"/>
    </row>
    <row r="426" spans="1:32" x14ac:dyDescent="0.3">
      <c r="B426" s="36" t="str">
        <f>TEXT(Tabelle1217303029720841[[#This Row],[Datum]],"tttt")</f>
        <v>Freitag</v>
      </c>
      <c r="C426" s="54">
        <f t="shared" si="391"/>
        <v>44471</v>
      </c>
      <c r="D426" s="32"/>
      <c r="E426" s="32"/>
      <c r="F426" s="32"/>
      <c r="G426" s="32"/>
      <c r="H426" s="32"/>
      <c r="I426" s="52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6" t="str">
        <f>TEXT(Tabelle121730302972084194[[#This Row],[Datum]],"tttt")</f>
        <v>Freitag</v>
      </c>
      <c r="L426" s="54">
        <f t="shared" si="392"/>
        <v>44471</v>
      </c>
      <c r="M426" s="31">
        <f t="shared" si="387"/>
        <v>0</v>
      </c>
      <c r="N426" s="31">
        <f t="shared" si="388"/>
        <v>0</v>
      </c>
      <c r="O426" s="32"/>
      <c r="P426" s="31">
        <f t="shared" si="389"/>
        <v>0</v>
      </c>
      <c r="Q426" s="31">
        <f t="shared" si="390"/>
        <v>0</v>
      </c>
      <c r="R426" s="52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99">
        <f>R426-I426</f>
        <v>0</v>
      </c>
      <c r="U426" s="99"/>
      <c r="Y426" s="37"/>
    </row>
    <row r="427" spans="1:32" x14ac:dyDescent="0.3">
      <c r="B427" s="34" t="str">
        <f>TEXT(Tabelle1217303029720841[[#This Row],[Datum]],"tttt")</f>
        <v>Samstag</v>
      </c>
      <c r="C427" s="54">
        <f t="shared" si="391"/>
        <v>44472</v>
      </c>
      <c r="D427" s="31"/>
      <c r="E427" s="31"/>
      <c r="F427" s="31"/>
      <c r="G427" s="31"/>
      <c r="H427" s="31"/>
      <c r="I427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4" t="str">
        <f>TEXT(Tabelle121730302972084194[[#This Row],[Datum]],"tttt")</f>
        <v>Samstag</v>
      </c>
      <c r="L427" s="54">
        <f t="shared" si="392"/>
        <v>44472</v>
      </c>
      <c r="M427" s="31">
        <f t="shared" si="387"/>
        <v>0</v>
      </c>
      <c r="N427" s="31">
        <f t="shared" si="388"/>
        <v>0</v>
      </c>
      <c r="O427" s="31"/>
      <c r="P427" s="31">
        <f t="shared" si="389"/>
        <v>0</v>
      </c>
      <c r="Q427" s="31">
        <f t="shared" si="390"/>
        <v>0</v>
      </c>
      <c r="R427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99">
        <f t="shared" ref="T427:T428" si="393">R427-I427</f>
        <v>0</v>
      </c>
      <c r="U427" s="99"/>
      <c r="Y427" s="37"/>
    </row>
    <row r="428" spans="1:32" s="40" customFormat="1" x14ac:dyDescent="0.3">
      <c r="B428" s="36" t="str">
        <f>TEXT(Tabelle1217303029720841[[#This Row],[Datum]],"tttt")</f>
        <v>Sonntag</v>
      </c>
      <c r="C428" s="55">
        <f t="shared" si="391"/>
        <v>44473</v>
      </c>
      <c r="D428" s="32"/>
      <c r="E428" s="32"/>
      <c r="F428" s="32"/>
      <c r="G428" s="32"/>
      <c r="H428" s="32"/>
      <c r="I428" s="53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6" t="str">
        <f>TEXT(Tabelle121730302972084194[[#This Row],[Datum]],"tttt")</f>
        <v>Sonntag</v>
      </c>
      <c r="L428" s="55">
        <f t="shared" si="392"/>
        <v>44473</v>
      </c>
      <c r="M428" s="31">
        <f t="shared" si="387"/>
        <v>0</v>
      </c>
      <c r="N428" s="31">
        <f t="shared" si="388"/>
        <v>0</v>
      </c>
      <c r="O428" s="32"/>
      <c r="P428" s="31">
        <f t="shared" si="389"/>
        <v>0</v>
      </c>
      <c r="Q428" s="31">
        <f t="shared" si="390"/>
        <v>0</v>
      </c>
      <c r="R428" s="53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99">
        <f t="shared" si="393"/>
        <v>0</v>
      </c>
      <c r="U428" s="99"/>
      <c r="V428" s="42"/>
      <c r="W428" s="42"/>
      <c r="X428" s="45"/>
      <c r="Y428" s="37"/>
      <c r="AB428" s="41"/>
      <c r="AD428" s="29"/>
      <c r="AE428" s="29"/>
      <c r="AF428" s="29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7"/>
    </row>
    <row r="430" spans="1:32" x14ac:dyDescent="0.3">
      <c r="A430" s="37"/>
      <c r="B430" s="38"/>
      <c r="C430" s="37"/>
      <c r="D430" s="37"/>
      <c r="E430" s="37"/>
      <c r="F430" s="37"/>
      <c r="G430" s="37"/>
      <c r="H430" s="37"/>
      <c r="I430" s="38"/>
      <c r="J430" s="37"/>
      <c r="K430" s="38"/>
      <c r="L430" s="37"/>
      <c r="M430" s="37"/>
      <c r="N430" s="37"/>
      <c r="O430" s="37"/>
      <c r="P430" s="37"/>
      <c r="Q430" s="37"/>
      <c r="R430" s="38"/>
      <c r="S430" s="37"/>
      <c r="T430" s="100"/>
      <c r="U430" s="100"/>
      <c r="V430" s="37"/>
      <c r="W430" s="37"/>
      <c r="X430" s="39"/>
      <c r="Y430" s="37"/>
    </row>
    <row r="431" spans="1:32" x14ac:dyDescent="0.3">
      <c r="A431" s="44" t="s">
        <v>33</v>
      </c>
      <c r="B431" s="6" t="s">
        <v>2</v>
      </c>
      <c r="C431" s="7" t="s">
        <v>3</v>
      </c>
      <c r="D431" s="4" t="s">
        <v>4</v>
      </c>
      <c r="E431" s="4" t="s">
        <v>5</v>
      </c>
      <c r="F431" s="4" t="s">
        <v>6</v>
      </c>
      <c r="G431" s="4" t="s">
        <v>7</v>
      </c>
      <c r="H431" s="4" t="s">
        <v>8</v>
      </c>
      <c r="I431" s="4" t="s">
        <v>9</v>
      </c>
      <c r="J431" s="44" t="s">
        <v>33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99" t="s">
        <v>11</v>
      </c>
      <c r="U431" s="99"/>
      <c r="W431" s="13" t="s">
        <v>21</v>
      </c>
      <c r="X431" s="15" t="s">
        <v>17</v>
      </c>
      <c r="Y431" s="37"/>
    </row>
    <row r="432" spans="1:32" x14ac:dyDescent="0.3">
      <c r="A432" s="44">
        <f>A422+1</f>
        <v>41</v>
      </c>
      <c r="B432" s="34" t="str">
        <f>TEXT(Tabelle12173030297208342[[#This Row],[Datum]],"tttt")</f>
        <v>Montag</v>
      </c>
      <c r="C432" s="56">
        <f>C428+1</f>
        <v>44474</v>
      </c>
      <c r="D432" s="31"/>
      <c r="E432" s="31"/>
      <c r="F432" s="31"/>
      <c r="G432" s="31"/>
      <c r="H432" s="31"/>
      <c r="I432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4">
        <f>J422+1</f>
        <v>41</v>
      </c>
      <c r="K432" s="34" t="str">
        <f>TEXT(Tabelle1217303029720834295[[#This Row],[Datum]],"tttt")</f>
        <v>Montag</v>
      </c>
      <c r="L432" s="56">
        <f>L428+1</f>
        <v>44474</v>
      </c>
      <c r="M432" s="31">
        <f>IF(O432="F",0,D432)</f>
        <v>0</v>
      </c>
      <c r="N432" s="31">
        <f>IF(O432="F",0,E432)</f>
        <v>0</v>
      </c>
      <c r="O432" s="32"/>
      <c r="P432" s="31">
        <f>IF(O432="F",0,G432)</f>
        <v>0</v>
      </c>
      <c r="Q432" s="31">
        <f>IF(O432="F",I432,0)</f>
        <v>0</v>
      </c>
      <c r="R432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99">
        <f t="shared" ref="T432:T433" si="396">R432-I432</f>
        <v>0</v>
      </c>
      <c r="U432" s="99"/>
      <c r="W432" s="17" t="s">
        <v>18</v>
      </c>
      <c r="X432" s="26">
        <f>I439</f>
        <v>0</v>
      </c>
      <c r="Y432" s="37"/>
    </row>
    <row r="433" spans="1:32" x14ac:dyDescent="0.3">
      <c r="B433" s="34" t="str">
        <f>TEXT(Tabelle12173030297208342[[#This Row],[Datum]],"tttt")</f>
        <v>Dienstag</v>
      </c>
      <c r="C433" s="54">
        <f>C432+1</f>
        <v>44475</v>
      </c>
      <c r="D433" s="31"/>
      <c r="E433" s="31"/>
      <c r="F433" s="31"/>
      <c r="G433" s="31"/>
      <c r="H433" s="31"/>
      <c r="I433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4" t="str">
        <f>TEXT(Tabelle1217303029720834295[[#This Row],[Datum]],"tttt")</f>
        <v>Dienstag</v>
      </c>
      <c r="L433" s="54">
        <f>L432+1</f>
        <v>44475</v>
      </c>
      <c r="M433" s="31">
        <f t="shared" ref="M433:M438" si="397">IF(O433="F",0,D433)</f>
        <v>0</v>
      </c>
      <c r="N433" s="31">
        <f t="shared" ref="N433:N438" si="398">IF(O433="F",0,E433)</f>
        <v>0</v>
      </c>
      <c r="O433" s="31"/>
      <c r="P433" s="31">
        <f t="shared" ref="P433:P438" si="399">IF(O433="F",0,G433)</f>
        <v>0</v>
      </c>
      <c r="Q433" s="31">
        <f t="shared" ref="Q433:Q438" si="400">IF(O433="F",I433,0)</f>
        <v>0</v>
      </c>
      <c r="R433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99">
        <f t="shared" si="396"/>
        <v>0</v>
      </c>
      <c r="U433" s="99"/>
      <c r="W433" s="17" t="s">
        <v>19</v>
      </c>
      <c r="X433" s="26">
        <f>R439</f>
        <v>0</v>
      </c>
      <c r="Y433" s="37"/>
    </row>
    <row r="434" spans="1:32" x14ac:dyDescent="0.3">
      <c r="B434" s="35" t="str">
        <f>TEXT(Tabelle12173030297208342[[#This Row],[Datum]],"tttt")</f>
        <v>Mittwoch</v>
      </c>
      <c r="C434" s="54">
        <f t="shared" ref="C434:C438" si="401">C433+1</f>
        <v>44476</v>
      </c>
      <c r="D434" s="32"/>
      <c r="E434" s="32"/>
      <c r="F434" s="32"/>
      <c r="G434" s="32"/>
      <c r="H434" s="32"/>
      <c r="I434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5" t="str">
        <f>TEXT(Tabelle1217303029720834295[[#This Row],[Datum]],"tttt")</f>
        <v>Mittwoch</v>
      </c>
      <c r="L434" s="54">
        <f t="shared" ref="L434:L438" si="402">L433+1</f>
        <v>44476</v>
      </c>
      <c r="M434" s="31">
        <f t="shared" si="397"/>
        <v>0</v>
      </c>
      <c r="N434" s="31">
        <f t="shared" si="398"/>
        <v>0</v>
      </c>
      <c r="O434" s="32"/>
      <c r="P434" s="31">
        <f t="shared" si="399"/>
        <v>0</v>
      </c>
      <c r="Q434" s="31">
        <f t="shared" si="400"/>
        <v>0</v>
      </c>
      <c r="R434" s="51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99">
        <f>R434-I434</f>
        <v>0</v>
      </c>
      <c r="U434" s="99"/>
      <c r="W434" s="20" t="s">
        <v>20</v>
      </c>
      <c r="X434" s="27">
        <f>X433-X432</f>
        <v>0</v>
      </c>
      <c r="Y434" s="37"/>
      <c r="Z434" s="64">
        <f>Z424+X434</f>
        <v>0</v>
      </c>
    </row>
    <row r="435" spans="1:32" x14ac:dyDescent="0.3">
      <c r="B435" s="34" t="str">
        <f>TEXT(Tabelle12173030297208342[[#This Row],[Datum]],"tttt")</f>
        <v>Donnerstag</v>
      </c>
      <c r="C435" s="54">
        <f t="shared" si="401"/>
        <v>44477</v>
      </c>
      <c r="D435" s="31"/>
      <c r="E435" s="31"/>
      <c r="F435" s="31"/>
      <c r="G435" s="31"/>
      <c r="H435" s="31"/>
      <c r="I435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4" t="str">
        <f>TEXT(Tabelle1217303029720834295[[#This Row],[Datum]],"tttt")</f>
        <v>Donnerstag</v>
      </c>
      <c r="L435" s="54">
        <f t="shared" si="402"/>
        <v>44477</v>
      </c>
      <c r="M435" s="31">
        <f t="shared" si="397"/>
        <v>0</v>
      </c>
      <c r="N435" s="31">
        <f t="shared" si="398"/>
        <v>0</v>
      </c>
      <c r="O435" s="31"/>
      <c r="P435" s="31">
        <f t="shared" si="399"/>
        <v>0</v>
      </c>
      <c r="Q435" s="31">
        <f t="shared" si="400"/>
        <v>0</v>
      </c>
      <c r="R435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99">
        <f>R435-I435</f>
        <v>0</v>
      </c>
      <c r="U435" s="99"/>
      <c r="Y435" s="37"/>
    </row>
    <row r="436" spans="1:32" x14ac:dyDescent="0.3">
      <c r="B436" s="36" t="str">
        <f>TEXT(Tabelle12173030297208342[[#This Row],[Datum]],"tttt")</f>
        <v>Freitag</v>
      </c>
      <c r="C436" s="54">
        <f t="shared" si="401"/>
        <v>44478</v>
      </c>
      <c r="D436" s="32"/>
      <c r="E436" s="32"/>
      <c r="F436" s="32"/>
      <c r="G436" s="32"/>
      <c r="H436" s="32"/>
      <c r="I436" s="52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6" t="str">
        <f>TEXT(Tabelle1217303029720834295[[#This Row],[Datum]],"tttt")</f>
        <v>Freitag</v>
      </c>
      <c r="L436" s="54">
        <f t="shared" si="402"/>
        <v>44478</v>
      </c>
      <c r="M436" s="31">
        <f t="shared" si="397"/>
        <v>0</v>
      </c>
      <c r="N436" s="31">
        <f t="shared" si="398"/>
        <v>0</v>
      </c>
      <c r="O436" s="32"/>
      <c r="P436" s="31">
        <f t="shared" si="399"/>
        <v>0</v>
      </c>
      <c r="Q436" s="31">
        <f t="shared" si="400"/>
        <v>0</v>
      </c>
      <c r="R436" s="52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99">
        <f>R436-I436</f>
        <v>0</v>
      </c>
      <c r="U436" s="99"/>
      <c r="Y436" s="37"/>
    </row>
    <row r="437" spans="1:32" x14ac:dyDescent="0.3">
      <c r="B437" s="34" t="str">
        <f>TEXT(Tabelle12173030297208342[[#This Row],[Datum]],"tttt")</f>
        <v>Samstag</v>
      </c>
      <c r="C437" s="54">
        <f t="shared" si="401"/>
        <v>44479</v>
      </c>
      <c r="D437" s="31"/>
      <c r="E437" s="31"/>
      <c r="F437" s="31"/>
      <c r="G437" s="31"/>
      <c r="H437" s="31"/>
      <c r="I437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4" t="str">
        <f>TEXT(Tabelle1217303029720834295[[#This Row],[Datum]],"tttt")</f>
        <v>Samstag</v>
      </c>
      <c r="L437" s="54">
        <f t="shared" si="402"/>
        <v>44479</v>
      </c>
      <c r="M437" s="31">
        <f t="shared" si="397"/>
        <v>0</v>
      </c>
      <c r="N437" s="31">
        <f t="shared" si="398"/>
        <v>0</v>
      </c>
      <c r="O437" s="31"/>
      <c r="P437" s="31">
        <f t="shared" si="399"/>
        <v>0</v>
      </c>
      <c r="Q437" s="31">
        <f t="shared" si="400"/>
        <v>0</v>
      </c>
      <c r="R437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99">
        <f t="shared" ref="T437:T438" si="403">R437-I437</f>
        <v>0</v>
      </c>
      <c r="U437" s="99"/>
      <c r="Y437" s="37"/>
    </row>
    <row r="438" spans="1:32" s="40" customFormat="1" x14ac:dyDescent="0.3">
      <c r="B438" s="36" t="str">
        <f>TEXT(Tabelle12173030297208342[[#This Row],[Datum]],"tttt")</f>
        <v>Sonntag</v>
      </c>
      <c r="C438" s="55">
        <f t="shared" si="401"/>
        <v>44480</v>
      </c>
      <c r="D438" s="32"/>
      <c r="E438" s="32"/>
      <c r="F438" s="32"/>
      <c r="G438" s="32"/>
      <c r="H438" s="32"/>
      <c r="I438" s="53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6" t="str">
        <f>TEXT(Tabelle1217303029720834295[[#This Row],[Datum]],"tttt")</f>
        <v>Sonntag</v>
      </c>
      <c r="L438" s="55">
        <f t="shared" si="402"/>
        <v>44480</v>
      </c>
      <c r="M438" s="31">
        <f t="shared" si="397"/>
        <v>0</v>
      </c>
      <c r="N438" s="31">
        <f t="shared" si="398"/>
        <v>0</v>
      </c>
      <c r="O438" s="32"/>
      <c r="P438" s="31">
        <f t="shared" si="399"/>
        <v>0</v>
      </c>
      <c r="Q438" s="31">
        <f t="shared" si="400"/>
        <v>0</v>
      </c>
      <c r="R438" s="53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99">
        <f t="shared" si="403"/>
        <v>0</v>
      </c>
      <c r="U438" s="99"/>
      <c r="V438" s="42"/>
      <c r="W438" s="42"/>
      <c r="X438" s="45"/>
      <c r="Y438" s="37"/>
      <c r="AB438" s="41"/>
      <c r="AD438" s="29"/>
      <c r="AE438" s="29"/>
      <c r="AF438" s="29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7"/>
    </row>
    <row r="440" spans="1:32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100"/>
      <c r="U440" s="100"/>
      <c r="V440" s="37"/>
      <c r="W440" s="37"/>
      <c r="X440" s="39"/>
      <c r="Y440" s="37"/>
    </row>
    <row r="441" spans="1:32" x14ac:dyDescent="0.3">
      <c r="A441" s="44" t="s">
        <v>33</v>
      </c>
      <c r="B441" s="6" t="s">
        <v>2</v>
      </c>
      <c r="C441" s="7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4" t="s">
        <v>33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99" t="s">
        <v>11</v>
      </c>
      <c r="U441" s="99"/>
      <c r="W441" s="13" t="s">
        <v>21</v>
      </c>
      <c r="X441" s="15" t="s">
        <v>17</v>
      </c>
      <c r="Y441" s="37"/>
    </row>
    <row r="442" spans="1:32" x14ac:dyDescent="0.3">
      <c r="A442" s="44">
        <f>A432+1</f>
        <v>42</v>
      </c>
      <c r="B442" s="34" t="str">
        <f>TEXT(Tabelle12173030297208443[[#This Row],[Datum]],"tttt")</f>
        <v>Montag</v>
      </c>
      <c r="C442" s="56">
        <f>C438+1</f>
        <v>44481</v>
      </c>
      <c r="D442" s="31"/>
      <c r="E442" s="31"/>
      <c r="F442" s="31"/>
      <c r="G442" s="31"/>
      <c r="H442" s="31"/>
      <c r="I442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4">
        <f>J432+1</f>
        <v>42</v>
      </c>
      <c r="K442" s="34" t="str">
        <f>TEXT(Tabelle1217303029720844396[[#This Row],[Datum]],"tttt")</f>
        <v>Montag</v>
      </c>
      <c r="L442" s="56">
        <f>L438+1</f>
        <v>44481</v>
      </c>
      <c r="M442" s="31">
        <f>IF(O442="F",0,D442)</f>
        <v>0</v>
      </c>
      <c r="N442" s="31">
        <f>IF(O442="F",0,E442)</f>
        <v>0</v>
      </c>
      <c r="O442" s="32"/>
      <c r="P442" s="31">
        <f>IF(O442="F",0,G442)</f>
        <v>0</v>
      </c>
      <c r="Q442" s="31">
        <f>IF(O442="F",I442,0)</f>
        <v>0</v>
      </c>
      <c r="R442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99">
        <f t="shared" ref="T442:T443" si="406">R442-I442</f>
        <v>0</v>
      </c>
      <c r="U442" s="99"/>
      <c r="W442" s="17" t="s">
        <v>18</v>
      </c>
      <c r="X442" s="26">
        <f>I449</f>
        <v>0</v>
      </c>
      <c r="Y442" s="37"/>
    </row>
    <row r="443" spans="1:32" x14ac:dyDescent="0.3">
      <c r="B443" s="34" t="str">
        <f>TEXT(Tabelle12173030297208443[[#This Row],[Datum]],"tttt")</f>
        <v>Dienstag</v>
      </c>
      <c r="C443" s="54">
        <f>C442+1</f>
        <v>44482</v>
      </c>
      <c r="D443" s="31"/>
      <c r="E443" s="31"/>
      <c r="F443" s="31"/>
      <c r="G443" s="31"/>
      <c r="H443" s="31"/>
      <c r="I443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4" t="str">
        <f>TEXT(Tabelle1217303029720844396[[#This Row],[Datum]],"tttt")</f>
        <v>Dienstag</v>
      </c>
      <c r="L443" s="54">
        <f>L442+1</f>
        <v>44482</v>
      </c>
      <c r="M443" s="31">
        <f t="shared" ref="M443:M448" si="407">IF(O443="F",0,D443)</f>
        <v>0</v>
      </c>
      <c r="N443" s="31">
        <f t="shared" ref="N443:N448" si="408">IF(O443="F",0,E443)</f>
        <v>0</v>
      </c>
      <c r="O443" s="31"/>
      <c r="P443" s="31">
        <f t="shared" ref="P443:P448" si="409">IF(O443="F",0,G443)</f>
        <v>0</v>
      </c>
      <c r="Q443" s="31">
        <f t="shared" ref="Q443:Q448" si="410">IF(O443="F",I443,0)</f>
        <v>0</v>
      </c>
      <c r="R443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99">
        <f t="shared" si="406"/>
        <v>0</v>
      </c>
      <c r="U443" s="99"/>
      <c r="W443" s="17" t="s">
        <v>19</v>
      </c>
      <c r="X443" s="26">
        <f>R449</f>
        <v>0</v>
      </c>
      <c r="Y443" s="37"/>
    </row>
    <row r="444" spans="1:32" x14ac:dyDescent="0.3">
      <c r="B444" s="35" t="str">
        <f>TEXT(Tabelle12173030297208443[[#This Row],[Datum]],"tttt")</f>
        <v>Mittwoch</v>
      </c>
      <c r="C444" s="54">
        <f t="shared" ref="C444:C448" si="411">C443+1</f>
        <v>44483</v>
      </c>
      <c r="D444" s="32"/>
      <c r="E444" s="32"/>
      <c r="F444" s="32"/>
      <c r="G444" s="32"/>
      <c r="H444" s="32"/>
      <c r="I444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5" t="str">
        <f>TEXT(Tabelle1217303029720844396[[#This Row],[Datum]],"tttt")</f>
        <v>Mittwoch</v>
      </c>
      <c r="L444" s="54">
        <f t="shared" ref="L444:L448" si="412">L443+1</f>
        <v>44483</v>
      </c>
      <c r="M444" s="31">
        <f t="shared" si="407"/>
        <v>0</v>
      </c>
      <c r="N444" s="31">
        <f t="shared" si="408"/>
        <v>0</v>
      </c>
      <c r="O444" s="32"/>
      <c r="P444" s="31">
        <f t="shared" si="409"/>
        <v>0</v>
      </c>
      <c r="Q444" s="31">
        <f t="shared" si="410"/>
        <v>0</v>
      </c>
      <c r="R444" s="51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99">
        <f>R444-I444</f>
        <v>0</v>
      </c>
      <c r="U444" s="99"/>
      <c r="W444" s="20" t="s">
        <v>20</v>
      </c>
      <c r="X444" s="27">
        <f>X443-X442</f>
        <v>0</v>
      </c>
      <c r="Y444" s="37"/>
      <c r="Z444" s="64">
        <f>Z434+X444</f>
        <v>0</v>
      </c>
    </row>
    <row r="445" spans="1:32" x14ac:dyDescent="0.3">
      <c r="B445" s="34" t="str">
        <f>TEXT(Tabelle12173030297208443[[#This Row],[Datum]],"tttt")</f>
        <v>Donnerstag</v>
      </c>
      <c r="C445" s="54">
        <f t="shared" si="411"/>
        <v>44484</v>
      </c>
      <c r="D445" s="31"/>
      <c r="E445" s="31"/>
      <c r="F445" s="31"/>
      <c r="G445" s="31"/>
      <c r="H445" s="31"/>
      <c r="I445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4" t="str">
        <f>TEXT(Tabelle1217303029720844396[[#This Row],[Datum]],"tttt")</f>
        <v>Donnerstag</v>
      </c>
      <c r="L445" s="54">
        <f t="shared" si="412"/>
        <v>44484</v>
      </c>
      <c r="M445" s="31">
        <f t="shared" si="407"/>
        <v>0</v>
      </c>
      <c r="N445" s="31">
        <f t="shared" si="408"/>
        <v>0</v>
      </c>
      <c r="O445" s="31"/>
      <c r="P445" s="31">
        <f t="shared" si="409"/>
        <v>0</v>
      </c>
      <c r="Q445" s="31">
        <f t="shared" si="410"/>
        <v>0</v>
      </c>
      <c r="R445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99">
        <f>R445-I445</f>
        <v>0</v>
      </c>
      <c r="U445" s="99"/>
      <c r="Y445" s="37"/>
    </row>
    <row r="446" spans="1:32" x14ac:dyDescent="0.3">
      <c r="B446" s="36" t="str">
        <f>TEXT(Tabelle12173030297208443[[#This Row],[Datum]],"tttt")</f>
        <v>Freitag</v>
      </c>
      <c r="C446" s="54">
        <f t="shared" si="411"/>
        <v>44485</v>
      </c>
      <c r="D446" s="32"/>
      <c r="E446" s="32"/>
      <c r="F446" s="32"/>
      <c r="G446" s="32"/>
      <c r="H446" s="32"/>
      <c r="I446" s="52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6" t="str">
        <f>TEXT(Tabelle1217303029720844396[[#This Row],[Datum]],"tttt")</f>
        <v>Freitag</v>
      </c>
      <c r="L446" s="54">
        <f t="shared" si="412"/>
        <v>44485</v>
      </c>
      <c r="M446" s="31">
        <f t="shared" si="407"/>
        <v>0</v>
      </c>
      <c r="N446" s="31">
        <f t="shared" si="408"/>
        <v>0</v>
      </c>
      <c r="O446" s="32"/>
      <c r="P446" s="31">
        <f t="shared" si="409"/>
        <v>0</v>
      </c>
      <c r="Q446" s="31">
        <f t="shared" si="410"/>
        <v>0</v>
      </c>
      <c r="R446" s="52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99">
        <f>R446-I446</f>
        <v>0</v>
      </c>
      <c r="U446" s="99"/>
      <c r="Y446" s="37"/>
    </row>
    <row r="447" spans="1:32" x14ac:dyDescent="0.3">
      <c r="B447" s="34" t="str">
        <f>TEXT(Tabelle12173030297208443[[#This Row],[Datum]],"tttt")</f>
        <v>Samstag</v>
      </c>
      <c r="C447" s="54">
        <f t="shared" si="411"/>
        <v>44486</v>
      </c>
      <c r="D447" s="31"/>
      <c r="E447" s="31"/>
      <c r="F447" s="31"/>
      <c r="G447" s="31"/>
      <c r="H447" s="31"/>
      <c r="I447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4" t="str">
        <f>TEXT(Tabelle1217303029720844396[[#This Row],[Datum]],"tttt")</f>
        <v>Samstag</v>
      </c>
      <c r="L447" s="54">
        <f t="shared" si="412"/>
        <v>44486</v>
      </c>
      <c r="M447" s="31">
        <f t="shared" si="407"/>
        <v>0</v>
      </c>
      <c r="N447" s="31">
        <f t="shared" si="408"/>
        <v>0</v>
      </c>
      <c r="O447" s="31"/>
      <c r="P447" s="31">
        <f t="shared" si="409"/>
        <v>0</v>
      </c>
      <c r="Q447" s="31">
        <f t="shared" si="410"/>
        <v>0</v>
      </c>
      <c r="R447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99">
        <f t="shared" ref="T447:T448" si="413">R447-I447</f>
        <v>0</v>
      </c>
      <c r="U447" s="99"/>
      <c r="Y447" s="37"/>
    </row>
    <row r="448" spans="1:32" s="40" customFormat="1" x14ac:dyDescent="0.3">
      <c r="B448" s="36" t="str">
        <f>TEXT(Tabelle12173030297208443[[#This Row],[Datum]],"tttt")</f>
        <v>Sonntag</v>
      </c>
      <c r="C448" s="55">
        <f t="shared" si="411"/>
        <v>44487</v>
      </c>
      <c r="D448" s="32"/>
      <c r="E448" s="32"/>
      <c r="F448" s="32"/>
      <c r="G448" s="32"/>
      <c r="H448" s="32"/>
      <c r="I448" s="53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6" t="str">
        <f>TEXT(Tabelle1217303029720844396[[#This Row],[Datum]],"tttt")</f>
        <v>Sonntag</v>
      </c>
      <c r="L448" s="55">
        <f t="shared" si="412"/>
        <v>44487</v>
      </c>
      <c r="M448" s="31">
        <f t="shared" si="407"/>
        <v>0</v>
      </c>
      <c r="N448" s="31">
        <f t="shared" si="408"/>
        <v>0</v>
      </c>
      <c r="O448" s="32"/>
      <c r="P448" s="31">
        <f t="shared" si="409"/>
        <v>0</v>
      </c>
      <c r="Q448" s="31">
        <f t="shared" si="410"/>
        <v>0</v>
      </c>
      <c r="R448" s="53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99">
        <f t="shared" si="413"/>
        <v>0</v>
      </c>
      <c r="U448" s="99"/>
      <c r="V448" s="42"/>
      <c r="W448" s="42"/>
      <c r="X448" s="45"/>
      <c r="Y448" s="37"/>
      <c r="AB448" s="41"/>
      <c r="AD448" s="29"/>
      <c r="AE448" s="29"/>
      <c r="AF448" s="29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7"/>
    </row>
    <row r="450" spans="1:32" x14ac:dyDescent="0.3">
      <c r="A450" s="37"/>
      <c r="B450" s="38"/>
      <c r="C450" s="37"/>
      <c r="D450" s="37"/>
      <c r="E450" s="37"/>
      <c r="F450" s="37"/>
      <c r="G450" s="37"/>
      <c r="H450" s="37"/>
      <c r="I450" s="38"/>
      <c r="J450" s="37"/>
      <c r="K450" s="38"/>
      <c r="L450" s="37"/>
      <c r="M450" s="37"/>
      <c r="N450" s="37"/>
      <c r="O450" s="37"/>
      <c r="P450" s="37"/>
      <c r="Q450" s="37"/>
      <c r="R450" s="38"/>
      <c r="S450" s="37"/>
      <c r="T450" s="100"/>
      <c r="U450" s="100"/>
      <c r="V450" s="37"/>
      <c r="W450" s="37"/>
      <c r="X450" s="39"/>
      <c r="Y450" s="37"/>
    </row>
    <row r="451" spans="1:32" x14ac:dyDescent="0.3">
      <c r="A451" s="44" t="s">
        <v>33</v>
      </c>
      <c r="B451" s="6" t="s">
        <v>2</v>
      </c>
      <c r="C451" s="7" t="s">
        <v>3</v>
      </c>
      <c r="D451" s="4" t="s">
        <v>4</v>
      </c>
      <c r="E451" s="4" t="s">
        <v>5</v>
      </c>
      <c r="F451" s="4" t="s">
        <v>6</v>
      </c>
      <c r="G451" s="4" t="s">
        <v>7</v>
      </c>
      <c r="H451" s="4" t="s">
        <v>8</v>
      </c>
      <c r="I451" s="4" t="s">
        <v>9</v>
      </c>
      <c r="J451" s="44" t="s">
        <v>33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99" t="s">
        <v>11</v>
      </c>
      <c r="U451" s="99"/>
      <c r="W451" s="13" t="s">
        <v>21</v>
      </c>
      <c r="X451" s="15" t="s">
        <v>17</v>
      </c>
      <c r="Y451" s="37"/>
    </row>
    <row r="452" spans="1:32" x14ac:dyDescent="0.3">
      <c r="A452" s="44">
        <f>A442+1</f>
        <v>43</v>
      </c>
      <c r="B452" s="34" t="str">
        <f>TEXT(Tabelle1217303029720844[[#This Row],[Datum]],"tttt")</f>
        <v>Montag</v>
      </c>
      <c r="C452" s="56">
        <f>C448+1</f>
        <v>44488</v>
      </c>
      <c r="D452" s="31"/>
      <c r="E452" s="31"/>
      <c r="F452" s="31"/>
      <c r="G452" s="31"/>
      <c r="H452" s="31"/>
      <c r="I452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4">
        <f>J442+1</f>
        <v>43</v>
      </c>
      <c r="K452" s="34" t="str">
        <f>TEXT(Tabelle121730302972084498[[#This Row],[Datum]],"tttt")</f>
        <v>Montag</v>
      </c>
      <c r="L452" s="56">
        <f>L448+1</f>
        <v>44488</v>
      </c>
      <c r="M452" s="31">
        <f>IF(O452="F",0,D452)</f>
        <v>0</v>
      </c>
      <c r="N452" s="31">
        <f>IF(O452="F",0,E452)</f>
        <v>0</v>
      </c>
      <c r="O452" s="32"/>
      <c r="P452" s="31">
        <f>IF(O452="F",0,G452)</f>
        <v>0</v>
      </c>
      <c r="Q452" s="31">
        <f>IF(O452="F",I452,0)</f>
        <v>0</v>
      </c>
      <c r="R452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99">
        <f t="shared" ref="T452:T453" si="416">R452-I452</f>
        <v>0</v>
      </c>
      <c r="U452" s="99"/>
      <c r="W452" s="17" t="s">
        <v>18</v>
      </c>
      <c r="X452" s="26">
        <f>I459</f>
        <v>0</v>
      </c>
      <c r="Y452" s="37"/>
    </row>
    <row r="453" spans="1:32" x14ac:dyDescent="0.3">
      <c r="B453" s="34" t="str">
        <f>TEXT(Tabelle1217303029720844[[#This Row],[Datum]],"tttt")</f>
        <v>Dienstag</v>
      </c>
      <c r="C453" s="54">
        <f>C452+1</f>
        <v>44489</v>
      </c>
      <c r="D453" s="31"/>
      <c r="E453" s="31"/>
      <c r="F453" s="31"/>
      <c r="G453" s="31"/>
      <c r="H453" s="31"/>
      <c r="I453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4" t="str">
        <f>TEXT(Tabelle121730302972084498[[#This Row],[Datum]],"tttt")</f>
        <v>Dienstag</v>
      </c>
      <c r="L453" s="54">
        <f>L452+1</f>
        <v>44489</v>
      </c>
      <c r="M453" s="31">
        <f t="shared" ref="M453:M458" si="417">IF(O453="F",0,D453)</f>
        <v>0</v>
      </c>
      <c r="N453" s="31">
        <f t="shared" ref="N453:N458" si="418">IF(O453="F",0,E453)</f>
        <v>0</v>
      </c>
      <c r="O453" s="31"/>
      <c r="P453" s="31">
        <f t="shared" ref="P453:P458" si="419">IF(O453="F",0,G453)</f>
        <v>0</v>
      </c>
      <c r="Q453" s="31">
        <f t="shared" ref="Q453:Q458" si="420">IF(O453="F",I453,0)</f>
        <v>0</v>
      </c>
      <c r="R453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99">
        <f t="shared" si="416"/>
        <v>0</v>
      </c>
      <c r="U453" s="99"/>
      <c r="W453" s="17" t="s">
        <v>19</v>
      </c>
      <c r="X453" s="26">
        <f>R459</f>
        <v>0</v>
      </c>
      <c r="Y453" s="37"/>
    </row>
    <row r="454" spans="1:32" x14ac:dyDescent="0.3">
      <c r="B454" s="35" t="str">
        <f>TEXT(Tabelle1217303029720844[[#This Row],[Datum]],"tttt")</f>
        <v>Mittwoch</v>
      </c>
      <c r="C454" s="54">
        <f t="shared" ref="C454:C458" si="421">C453+1</f>
        <v>44490</v>
      </c>
      <c r="D454" s="32"/>
      <c r="E454" s="32"/>
      <c r="F454" s="32"/>
      <c r="G454" s="32"/>
      <c r="H454" s="32"/>
      <c r="I454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5" t="str">
        <f>TEXT(Tabelle121730302972084498[[#This Row],[Datum]],"tttt")</f>
        <v>Mittwoch</v>
      </c>
      <c r="L454" s="54">
        <f t="shared" ref="L454:L458" si="422">L453+1</f>
        <v>44490</v>
      </c>
      <c r="M454" s="31">
        <f t="shared" si="417"/>
        <v>0</v>
      </c>
      <c r="N454" s="31">
        <f t="shared" si="418"/>
        <v>0</v>
      </c>
      <c r="O454" s="32"/>
      <c r="P454" s="31">
        <f t="shared" si="419"/>
        <v>0</v>
      </c>
      <c r="Q454" s="31">
        <f t="shared" si="420"/>
        <v>0</v>
      </c>
      <c r="R454" s="51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99">
        <f>R454-I454</f>
        <v>0</v>
      </c>
      <c r="U454" s="99"/>
      <c r="W454" s="20" t="s">
        <v>20</v>
      </c>
      <c r="X454" s="27">
        <f>X453-X452</f>
        <v>0</v>
      </c>
      <c r="Y454" s="37"/>
      <c r="Z454" s="64">
        <f>Z444+X454</f>
        <v>0</v>
      </c>
    </row>
    <row r="455" spans="1:32" x14ac:dyDescent="0.3">
      <c r="B455" s="34" t="str">
        <f>TEXT(Tabelle1217303029720844[[#This Row],[Datum]],"tttt")</f>
        <v>Donnerstag</v>
      </c>
      <c r="C455" s="54">
        <f t="shared" si="421"/>
        <v>44491</v>
      </c>
      <c r="D455" s="31"/>
      <c r="E455" s="31"/>
      <c r="F455" s="31"/>
      <c r="G455" s="31"/>
      <c r="H455" s="31"/>
      <c r="I455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4" t="str">
        <f>TEXT(Tabelle121730302972084498[[#This Row],[Datum]],"tttt")</f>
        <v>Donnerstag</v>
      </c>
      <c r="L455" s="54">
        <f t="shared" si="422"/>
        <v>44491</v>
      </c>
      <c r="M455" s="31">
        <f t="shared" si="417"/>
        <v>0</v>
      </c>
      <c r="N455" s="31">
        <f t="shared" si="418"/>
        <v>0</v>
      </c>
      <c r="O455" s="31"/>
      <c r="P455" s="31">
        <f t="shared" si="419"/>
        <v>0</v>
      </c>
      <c r="Q455" s="31">
        <f t="shared" si="420"/>
        <v>0</v>
      </c>
      <c r="R455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99">
        <f>R455-I455</f>
        <v>0</v>
      </c>
      <c r="U455" s="99"/>
      <c r="Y455" s="37"/>
    </row>
    <row r="456" spans="1:32" x14ac:dyDescent="0.3">
      <c r="B456" s="36" t="str">
        <f>TEXT(Tabelle1217303029720844[[#This Row],[Datum]],"tttt")</f>
        <v>Freitag</v>
      </c>
      <c r="C456" s="54">
        <f t="shared" si="421"/>
        <v>44492</v>
      </c>
      <c r="D456" s="32"/>
      <c r="E456" s="32"/>
      <c r="F456" s="32"/>
      <c r="G456" s="32"/>
      <c r="H456" s="32"/>
      <c r="I456" s="52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6" t="str">
        <f>TEXT(Tabelle121730302972084498[[#This Row],[Datum]],"tttt")</f>
        <v>Freitag</v>
      </c>
      <c r="L456" s="54">
        <f t="shared" si="422"/>
        <v>44492</v>
      </c>
      <c r="M456" s="31">
        <f t="shared" si="417"/>
        <v>0</v>
      </c>
      <c r="N456" s="31">
        <f t="shared" si="418"/>
        <v>0</v>
      </c>
      <c r="O456" s="32"/>
      <c r="P456" s="31">
        <f t="shared" si="419"/>
        <v>0</v>
      </c>
      <c r="Q456" s="31">
        <f t="shared" si="420"/>
        <v>0</v>
      </c>
      <c r="R456" s="52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99">
        <f>R456-I456</f>
        <v>0</v>
      </c>
      <c r="U456" s="99"/>
      <c r="Y456" s="37"/>
    </row>
    <row r="457" spans="1:32" x14ac:dyDescent="0.3">
      <c r="B457" s="34" t="str">
        <f>TEXT(Tabelle1217303029720844[[#This Row],[Datum]],"tttt")</f>
        <v>Samstag</v>
      </c>
      <c r="C457" s="54">
        <f t="shared" si="421"/>
        <v>44493</v>
      </c>
      <c r="D457" s="31"/>
      <c r="E457" s="31"/>
      <c r="F457" s="31"/>
      <c r="G457" s="31"/>
      <c r="H457" s="31"/>
      <c r="I457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4" t="str">
        <f>TEXT(Tabelle121730302972084498[[#This Row],[Datum]],"tttt")</f>
        <v>Samstag</v>
      </c>
      <c r="L457" s="54">
        <f t="shared" si="422"/>
        <v>44493</v>
      </c>
      <c r="M457" s="31">
        <f t="shared" si="417"/>
        <v>0</v>
      </c>
      <c r="N457" s="31">
        <f t="shared" si="418"/>
        <v>0</v>
      </c>
      <c r="O457" s="31"/>
      <c r="P457" s="31">
        <f t="shared" si="419"/>
        <v>0</v>
      </c>
      <c r="Q457" s="31">
        <f t="shared" si="420"/>
        <v>0</v>
      </c>
      <c r="R457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99">
        <f t="shared" ref="T457:T458" si="423">R457-I457</f>
        <v>0</v>
      </c>
      <c r="U457" s="99"/>
      <c r="Y457" s="37"/>
    </row>
    <row r="458" spans="1:32" s="40" customFormat="1" x14ac:dyDescent="0.3">
      <c r="B458" s="36" t="str">
        <f>TEXT(Tabelle1217303029720844[[#This Row],[Datum]],"tttt")</f>
        <v>Sonntag</v>
      </c>
      <c r="C458" s="55">
        <f t="shared" si="421"/>
        <v>44494</v>
      </c>
      <c r="D458" s="32"/>
      <c r="E458" s="32"/>
      <c r="F458" s="32"/>
      <c r="G458" s="32"/>
      <c r="H458" s="32"/>
      <c r="I458" s="53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6" t="str">
        <f>TEXT(Tabelle121730302972084498[[#This Row],[Datum]],"tttt")</f>
        <v>Sonntag</v>
      </c>
      <c r="L458" s="55">
        <f t="shared" si="422"/>
        <v>44494</v>
      </c>
      <c r="M458" s="31">
        <f t="shared" si="417"/>
        <v>0</v>
      </c>
      <c r="N458" s="31">
        <f t="shared" si="418"/>
        <v>0</v>
      </c>
      <c r="O458" s="32"/>
      <c r="P458" s="31">
        <f t="shared" si="419"/>
        <v>0</v>
      </c>
      <c r="Q458" s="31">
        <f t="shared" si="420"/>
        <v>0</v>
      </c>
      <c r="R458" s="53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99">
        <f t="shared" si="423"/>
        <v>0</v>
      </c>
      <c r="U458" s="99"/>
      <c r="V458" s="42"/>
      <c r="W458" s="42"/>
      <c r="X458" s="45"/>
      <c r="Y458" s="37"/>
      <c r="AB458" s="41"/>
      <c r="AD458" s="29"/>
      <c r="AE458" s="29"/>
      <c r="AF458" s="29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7"/>
    </row>
    <row r="460" spans="1:32" x14ac:dyDescent="0.3">
      <c r="A460" s="37"/>
      <c r="B460" s="38"/>
      <c r="C460" s="37"/>
      <c r="D460" s="37"/>
      <c r="E460" s="37"/>
      <c r="F460" s="37"/>
      <c r="G460" s="37"/>
      <c r="H460" s="37"/>
      <c r="I460" s="38"/>
      <c r="J460" s="37"/>
      <c r="K460" s="38"/>
      <c r="L460" s="37"/>
      <c r="M460" s="37"/>
      <c r="N460" s="37"/>
      <c r="O460" s="37"/>
      <c r="P460" s="37"/>
      <c r="Q460" s="37"/>
      <c r="R460" s="38"/>
      <c r="S460" s="37"/>
      <c r="T460" s="100"/>
      <c r="U460" s="100"/>
      <c r="V460" s="37"/>
      <c r="W460" s="37"/>
      <c r="X460" s="39"/>
      <c r="Y460" s="37"/>
    </row>
    <row r="461" spans="1:32" x14ac:dyDescent="0.3">
      <c r="A461" s="44" t="s">
        <v>33</v>
      </c>
      <c r="B461" s="6" t="s">
        <v>2</v>
      </c>
      <c r="C461" s="7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4" t="s">
        <v>33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99" t="s">
        <v>11</v>
      </c>
      <c r="U461" s="99"/>
      <c r="W461" s="13" t="s">
        <v>21</v>
      </c>
      <c r="X461" s="15" t="s">
        <v>17</v>
      </c>
      <c r="Y461" s="37"/>
    </row>
    <row r="462" spans="1:32" x14ac:dyDescent="0.3">
      <c r="A462" s="44">
        <f>A452+1</f>
        <v>44</v>
      </c>
      <c r="B462" s="34" t="str">
        <f>TEXT(Tabelle12173030297208345[[#This Row],[Datum]],"tttt")</f>
        <v>Montag</v>
      </c>
      <c r="C462" s="56">
        <f>C458+1</f>
        <v>44495</v>
      </c>
      <c r="D462" s="31"/>
      <c r="E462" s="31"/>
      <c r="F462" s="31"/>
      <c r="G462" s="31"/>
      <c r="H462" s="31"/>
      <c r="I462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4">
        <f>J452+1</f>
        <v>44</v>
      </c>
      <c r="K462" s="34" t="str">
        <f>TEXT(Tabelle1217303029720834599[[#This Row],[Datum]],"tttt")</f>
        <v>Montag</v>
      </c>
      <c r="L462" s="56">
        <f>L458+1</f>
        <v>44495</v>
      </c>
      <c r="M462" s="31">
        <f>IF(O462="F",0,D462)</f>
        <v>0</v>
      </c>
      <c r="N462" s="31">
        <f>IF(O462="F",0,E462)</f>
        <v>0</v>
      </c>
      <c r="O462" s="32"/>
      <c r="P462" s="31">
        <f>IF(O462="F",0,G462)</f>
        <v>0</v>
      </c>
      <c r="Q462" s="31">
        <f>IF(O462="F",I462,0)</f>
        <v>0</v>
      </c>
      <c r="R462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99">
        <f t="shared" ref="T462:T463" si="426">R462-I462</f>
        <v>0</v>
      </c>
      <c r="U462" s="99"/>
      <c r="W462" s="17" t="s">
        <v>18</v>
      </c>
      <c r="X462" s="26">
        <f>I469</f>
        <v>0</v>
      </c>
      <c r="Y462" s="37"/>
    </row>
    <row r="463" spans="1:32" x14ac:dyDescent="0.3">
      <c r="B463" s="34" t="str">
        <f>TEXT(Tabelle12173030297208345[[#This Row],[Datum]],"tttt")</f>
        <v>Dienstag</v>
      </c>
      <c r="C463" s="54">
        <f>C462+1</f>
        <v>44496</v>
      </c>
      <c r="D463" s="31"/>
      <c r="E463" s="31"/>
      <c r="F463" s="31"/>
      <c r="G463" s="31"/>
      <c r="H463" s="31"/>
      <c r="I463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4" t="str">
        <f>TEXT(Tabelle1217303029720834599[[#This Row],[Datum]],"tttt")</f>
        <v>Dienstag</v>
      </c>
      <c r="L463" s="54">
        <f>L462+1</f>
        <v>44496</v>
      </c>
      <c r="M463" s="31">
        <f t="shared" ref="M463:M468" si="427">IF(O463="F",0,D463)</f>
        <v>0</v>
      </c>
      <c r="N463" s="31">
        <f t="shared" ref="N463:N468" si="428">IF(O463="F",0,E463)</f>
        <v>0</v>
      </c>
      <c r="O463" s="31"/>
      <c r="P463" s="31">
        <f t="shared" ref="P463:P468" si="429">IF(O463="F",0,G463)</f>
        <v>0</v>
      </c>
      <c r="Q463" s="31">
        <f t="shared" ref="Q463:Q468" si="430">IF(O463="F",I463,0)</f>
        <v>0</v>
      </c>
      <c r="R463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99">
        <f t="shared" si="426"/>
        <v>0</v>
      </c>
      <c r="U463" s="99"/>
      <c r="W463" s="17" t="s">
        <v>19</v>
      </c>
      <c r="X463" s="26">
        <f>R469</f>
        <v>0</v>
      </c>
      <c r="Y463" s="37"/>
    </row>
    <row r="464" spans="1:32" x14ac:dyDescent="0.3">
      <c r="B464" s="35" t="str">
        <f>TEXT(Tabelle12173030297208345[[#This Row],[Datum]],"tttt")</f>
        <v>Mittwoch</v>
      </c>
      <c r="C464" s="54">
        <f t="shared" ref="C464:C468" si="431">C463+1</f>
        <v>44497</v>
      </c>
      <c r="D464" s="32"/>
      <c r="E464" s="32"/>
      <c r="F464" s="32"/>
      <c r="G464" s="32"/>
      <c r="H464" s="32"/>
      <c r="I464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5" t="str">
        <f>TEXT(Tabelle1217303029720834599[[#This Row],[Datum]],"tttt")</f>
        <v>Mittwoch</v>
      </c>
      <c r="L464" s="54">
        <f t="shared" ref="L464:L468" si="432">L463+1</f>
        <v>44497</v>
      </c>
      <c r="M464" s="31">
        <f t="shared" si="427"/>
        <v>0</v>
      </c>
      <c r="N464" s="31">
        <f t="shared" si="428"/>
        <v>0</v>
      </c>
      <c r="O464" s="32"/>
      <c r="P464" s="31">
        <f t="shared" si="429"/>
        <v>0</v>
      </c>
      <c r="Q464" s="31">
        <f t="shared" si="430"/>
        <v>0</v>
      </c>
      <c r="R464" s="51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99">
        <f>R464-I464</f>
        <v>0</v>
      </c>
      <c r="U464" s="99"/>
      <c r="W464" s="20" t="s">
        <v>20</v>
      </c>
      <c r="X464" s="27">
        <f>X463-X462</f>
        <v>0</v>
      </c>
      <c r="Y464" s="37"/>
      <c r="Z464" s="64">
        <f>Z454+X464</f>
        <v>0</v>
      </c>
    </row>
    <row r="465" spans="1:32" x14ac:dyDescent="0.3">
      <c r="B465" s="34" t="str">
        <f>TEXT(Tabelle12173030297208345[[#This Row],[Datum]],"tttt")</f>
        <v>Donnerstag</v>
      </c>
      <c r="C465" s="54">
        <f t="shared" si="431"/>
        <v>44498</v>
      </c>
      <c r="D465" s="31"/>
      <c r="E465" s="31"/>
      <c r="F465" s="31"/>
      <c r="G465" s="31"/>
      <c r="H465" s="31"/>
      <c r="I465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4" t="str">
        <f>TEXT(Tabelle1217303029720834599[[#This Row],[Datum]],"tttt")</f>
        <v>Donnerstag</v>
      </c>
      <c r="L465" s="54">
        <f t="shared" si="432"/>
        <v>44498</v>
      </c>
      <c r="M465" s="31">
        <f t="shared" si="427"/>
        <v>0</v>
      </c>
      <c r="N465" s="31">
        <f t="shared" si="428"/>
        <v>0</v>
      </c>
      <c r="O465" s="31"/>
      <c r="P465" s="31">
        <f t="shared" si="429"/>
        <v>0</v>
      </c>
      <c r="Q465" s="31">
        <f t="shared" si="430"/>
        <v>0</v>
      </c>
      <c r="R465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99">
        <f>R465-I465</f>
        <v>0</v>
      </c>
      <c r="U465" s="99"/>
      <c r="Y465" s="37"/>
    </row>
    <row r="466" spans="1:32" x14ac:dyDescent="0.3">
      <c r="B466" s="36" t="str">
        <f>TEXT(Tabelle12173030297208345[[#This Row],[Datum]],"tttt")</f>
        <v>Freitag</v>
      </c>
      <c r="C466" s="54">
        <f t="shared" si="431"/>
        <v>44499</v>
      </c>
      <c r="D466" s="32"/>
      <c r="E466" s="32"/>
      <c r="F466" s="32"/>
      <c r="G466" s="32"/>
      <c r="H466" s="32"/>
      <c r="I466" s="52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6" t="str">
        <f>TEXT(Tabelle1217303029720834599[[#This Row],[Datum]],"tttt")</f>
        <v>Freitag</v>
      </c>
      <c r="L466" s="54">
        <f t="shared" si="432"/>
        <v>44499</v>
      </c>
      <c r="M466" s="31">
        <f t="shared" si="427"/>
        <v>0</v>
      </c>
      <c r="N466" s="31">
        <f t="shared" si="428"/>
        <v>0</v>
      </c>
      <c r="O466" s="32"/>
      <c r="P466" s="31">
        <f t="shared" si="429"/>
        <v>0</v>
      </c>
      <c r="Q466" s="31">
        <f t="shared" si="430"/>
        <v>0</v>
      </c>
      <c r="R466" s="52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99">
        <f>R466-I466</f>
        <v>0</v>
      </c>
      <c r="U466" s="99"/>
      <c r="Y466" s="37"/>
    </row>
    <row r="467" spans="1:32" x14ac:dyDescent="0.3">
      <c r="B467" s="34" t="str">
        <f>TEXT(Tabelle12173030297208345[[#This Row],[Datum]],"tttt")</f>
        <v>Samstag</v>
      </c>
      <c r="C467" s="54">
        <f t="shared" si="431"/>
        <v>44500</v>
      </c>
      <c r="D467" s="31"/>
      <c r="E467" s="31"/>
      <c r="F467" s="31"/>
      <c r="G467" s="31"/>
      <c r="H467" s="31"/>
      <c r="I467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4" t="str">
        <f>TEXT(Tabelle1217303029720834599[[#This Row],[Datum]],"tttt")</f>
        <v>Samstag</v>
      </c>
      <c r="L467" s="54">
        <f t="shared" si="432"/>
        <v>44500</v>
      </c>
      <c r="M467" s="31">
        <f t="shared" si="427"/>
        <v>0</v>
      </c>
      <c r="N467" s="31">
        <f t="shared" si="428"/>
        <v>0</v>
      </c>
      <c r="O467" s="31"/>
      <c r="P467" s="31">
        <f t="shared" si="429"/>
        <v>0</v>
      </c>
      <c r="Q467" s="31">
        <f t="shared" si="430"/>
        <v>0</v>
      </c>
      <c r="R467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99">
        <f t="shared" ref="T467:T468" si="433">R467-I467</f>
        <v>0</v>
      </c>
      <c r="U467" s="99"/>
      <c r="Y467" s="37"/>
    </row>
    <row r="468" spans="1:32" s="40" customFormat="1" x14ac:dyDescent="0.3">
      <c r="B468" s="36" t="str">
        <f>TEXT(Tabelle12173030297208345[[#This Row],[Datum]],"tttt")</f>
        <v>Sonntag</v>
      </c>
      <c r="C468" s="55">
        <f t="shared" si="431"/>
        <v>44501</v>
      </c>
      <c r="D468" s="32"/>
      <c r="E468" s="32"/>
      <c r="F468" s="32"/>
      <c r="G468" s="32"/>
      <c r="H468" s="32"/>
      <c r="I468" s="53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6" t="str">
        <f>TEXT(Tabelle1217303029720834599[[#This Row],[Datum]],"tttt")</f>
        <v>Sonntag</v>
      </c>
      <c r="L468" s="55">
        <f t="shared" si="432"/>
        <v>44501</v>
      </c>
      <c r="M468" s="31">
        <f t="shared" si="427"/>
        <v>0</v>
      </c>
      <c r="N468" s="31">
        <f t="shared" si="428"/>
        <v>0</v>
      </c>
      <c r="O468" s="32"/>
      <c r="P468" s="31">
        <f t="shared" si="429"/>
        <v>0</v>
      </c>
      <c r="Q468" s="31">
        <f t="shared" si="430"/>
        <v>0</v>
      </c>
      <c r="R468" s="53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99">
        <f t="shared" si="433"/>
        <v>0</v>
      </c>
      <c r="U468" s="99"/>
      <c r="V468" s="42"/>
      <c r="W468" s="42"/>
      <c r="X468" s="45"/>
      <c r="Y468" s="37"/>
      <c r="AB468" s="41"/>
      <c r="AD468" s="29"/>
      <c r="AE468" s="29"/>
      <c r="AF468" s="29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7"/>
    </row>
    <row r="470" spans="1:32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100"/>
      <c r="U470" s="100"/>
      <c r="V470" s="37"/>
      <c r="W470" s="37"/>
      <c r="X470" s="39"/>
      <c r="Y470" s="37"/>
    </row>
    <row r="471" spans="1:32" x14ac:dyDescent="0.3">
      <c r="A471" s="44" t="s">
        <v>33</v>
      </c>
      <c r="B471" s="6" t="s">
        <v>2</v>
      </c>
      <c r="C471" s="7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  <c r="I471" s="4" t="s">
        <v>9</v>
      </c>
      <c r="J471" s="44" t="s">
        <v>33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99" t="s">
        <v>11</v>
      </c>
      <c r="U471" s="99"/>
      <c r="W471" s="13" t="s">
        <v>21</v>
      </c>
      <c r="X471" s="15" t="s">
        <v>17</v>
      </c>
      <c r="Y471" s="37"/>
    </row>
    <row r="472" spans="1:32" x14ac:dyDescent="0.3">
      <c r="A472" s="44">
        <f>A462+1</f>
        <v>45</v>
      </c>
      <c r="B472" s="34" t="str">
        <f>TEXT(Tabelle1217303029720847[[#This Row],[Datum]],"tttt")</f>
        <v>Montag</v>
      </c>
      <c r="C472" s="56">
        <f>C468+1</f>
        <v>44502</v>
      </c>
      <c r="D472" s="31"/>
      <c r="E472" s="31"/>
      <c r="F472" s="31"/>
      <c r="G472" s="31"/>
      <c r="H472" s="31"/>
      <c r="I472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4">
        <f>J462+1</f>
        <v>45</v>
      </c>
      <c r="K472" s="34" t="str">
        <f>TEXT(Tabelle1217303029720847100[[#This Row],[Datum]],"tttt")</f>
        <v>Montag</v>
      </c>
      <c r="L472" s="56">
        <f>L468+1</f>
        <v>44502</v>
      </c>
      <c r="M472" s="31">
        <f>IF(O472="F",0,D472)</f>
        <v>0</v>
      </c>
      <c r="N472" s="31">
        <f>IF(O472="F",0,E472)</f>
        <v>0</v>
      </c>
      <c r="O472" s="32"/>
      <c r="P472" s="31">
        <f>IF(O472="F",0,G472)</f>
        <v>0</v>
      </c>
      <c r="Q472" s="31">
        <f>IF(O472="F",I472,0)</f>
        <v>0</v>
      </c>
      <c r="R472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99">
        <f t="shared" ref="T472:T473" si="436">R472-I472</f>
        <v>0</v>
      </c>
      <c r="U472" s="99"/>
      <c r="W472" s="17" t="s">
        <v>18</v>
      </c>
      <c r="X472" s="26">
        <f>I479</f>
        <v>0</v>
      </c>
      <c r="Y472" s="37"/>
    </row>
    <row r="473" spans="1:32" x14ac:dyDescent="0.3">
      <c r="B473" s="34" t="str">
        <f>TEXT(Tabelle1217303029720847[[#This Row],[Datum]],"tttt")</f>
        <v>Dienstag</v>
      </c>
      <c r="C473" s="54">
        <f>C472+1</f>
        <v>44503</v>
      </c>
      <c r="D473" s="31"/>
      <c r="E473" s="31"/>
      <c r="F473" s="31"/>
      <c r="G473" s="31"/>
      <c r="H473" s="31"/>
      <c r="I473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4" t="str">
        <f>TEXT(Tabelle1217303029720847100[[#This Row],[Datum]],"tttt")</f>
        <v>Dienstag</v>
      </c>
      <c r="L473" s="54">
        <f>L472+1</f>
        <v>44503</v>
      </c>
      <c r="M473" s="31">
        <f t="shared" ref="M473:M478" si="437">IF(O473="F",0,D473)</f>
        <v>0</v>
      </c>
      <c r="N473" s="31">
        <f t="shared" ref="N473:N478" si="438">IF(O473="F",0,E473)</f>
        <v>0</v>
      </c>
      <c r="O473" s="31"/>
      <c r="P473" s="31">
        <f t="shared" ref="P473:P478" si="439">IF(O473="F",0,G473)</f>
        <v>0</v>
      </c>
      <c r="Q473" s="31">
        <f t="shared" ref="Q473:Q478" si="440">IF(O473="F",I473,0)</f>
        <v>0</v>
      </c>
      <c r="R473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99">
        <f t="shared" si="436"/>
        <v>0</v>
      </c>
      <c r="U473" s="99"/>
      <c r="W473" s="17" t="s">
        <v>19</v>
      </c>
      <c r="X473" s="26">
        <f>R479</f>
        <v>0</v>
      </c>
      <c r="Y473" s="37"/>
    </row>
    <row r="474" spans="1:32" x14ac:dyDescent="0.3">
      <c r="B474" s="35" t="str">
        <f>TEXT(Tabelle1217303029720847[[#This Row],[Datum]],"tttt")</f>
        <v>Mittwoch</v>
      </c>
      <c r="C474" s="54">
        <f t="shared" ref="C474:C478" si="441">C473+1</f>
        <v>44504</v>
      </c>
      <c r="D474" s="32"/>
      <c r="E474" s="32"/>
      <c r="F474" s="32"/>
      <c r="G474" s="32"/>
      <c r="H474" s="32"/>
      <c r="I474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5" t="str">
        <f>TEXT(Tabelle1217303029720847100[[#This Row],[Datum]],"tttt")</f>
        <v>Mittwoch</v>
      </c>
      <c r="L474" s="54">
        <f t="shared" ref="L474:L478" si="442">L473+1</f>
        <v>44504</v>
      </c>
      <c r="M474" s="31">
        <f t="shared" si="437"/>
        <v>0</v>
      </c>
      <c r="N474" s="31">
        <f t="shared" si="438"/>
        <v>0</v>
      </c>
      <c r="O474" s="32"/>
      <c r="P474" s="31">
        <f t="shared" si="439"/>
        <v>0</v>
      </c>
      <c r="Q474" s="31">
        <f t="shared" si="440"/>
        <v>0</v>
      </c>
      <c r="R474" s="51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99">
        <f>R474-I474</f>
        <v>0</v>
      </c>
      <c r="U474" s="99"/>
      <c r="W474" s="20" t="s">
        <v>20</v>
      </c>
      <c r="X474" s="27">
        <f>X473-X472</f>
        <v>0</v>
      </c>
      <c r="Y474" s="37"/>
      <c r="Z474" s="64">
        <f>Z464+X474</f>
        <v>0</v>
      </c>
    </row>
    <row r="475" spans="1:32" x14ac:dyDescent="0.3">
      <c r="B475" s="34" t="str">
        <f>TEXT(Tabelle1217303029720847[[#This Row],[Datum]],"tttt")</f>
        <v>Donnerstag</v>
      </c>
      <c r="C475" s="54">
        <f t="shared" si="441"/>
        <v>44505</v>
      </c>
      <c r="D475" s="31"/>
      <c r="E475" s="31"/>
      <c r="F475" s="31"/>
      <c r="G475" s="31"/>
      <c r="H475" s="31"/>
      <c r="I475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4" t="str">
        <f>TEXT(Tabelle1217303029720847100[[#This Row],[Datum]],"tttt")</f>
        <v>Donnerstag</v>
      </c>
      <c r="L475" s="54">
        <f t="shared" si="442"/>
        <v>44505</v>
      </c>
      <c r="M475" s="31">
        <f t="shared" si="437"/>
        <v>0</v>
      </c>
      <c r="N475" s="31">
        <f t="shared" si="438"/>
        <v>0</v>
      </c>
      <c r="O475" s="31"/>
      <c r="P475" s="31">
        <f t="shared" si="439"/>
        <v>0</v>
      </c>
      <c r="Q475" s="31">
        <f t="shared" si="440"/>
        <v>0</v>
      </c>
      <c r="R475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99">
        <f>R475-I475</f>
        <v>0</v>
      </c>
      <c r="U475" s="99"/>
      <c r="Y475" s="37"/>
    </row>
    <row r="476" spans="1:32" x14ac:dyDescent="0.3">
      <c r="B476" s="36" t="str">
        <f>TEXT(Tabelle1217303029720847[[#This Row],[Datum]],"tttt")</f>
        <v>Freitag</v>
      </c>
      <c r="C476" s="54">
        <f t="shared" si="441"/>
        <v>44506</v>
      </c>
      <c r="D476" s="32"/>
      <c r="E476" s="32"/>
      <c r="F476" s="32"/>
      <c r="G476" s="32"/>
      <c r="H476" s="32"/>
      <c r="I476" s="52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6" t="str">
        <f>TEXT(Tabelle1217303029720847100[[#This Row],[Datum]],"tttt")</f>
        <v>Freitag</v>
      </c>
      <c r="L476" s="54">
        <f t="shared" si="442"/>
        <v>44506</v>
      </c>
      <c r="M476" s="31">
        <f t="shared" si="437"/>
        <v>0</v>
      </c>
      <c r="N476" s="31">
        <f t="shared" si="438"/>
        <v>0</v>
      </c>
      <c r="O476" s="32"/>
      <c r="P476" s="31">
        <f t="shared" si="439"/>
        <v>0</v>
      </c>
      <c r="Q476" s="31">
        <f t="shared" si="440"/>
        <v>0</v>
      </c>
      <c r="R476" s="52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99">
        <f>R476-I476</f>
        <v>0</v>
      </c>
      <c r="U476" s="99"/>
      <c r="Y476" s="37"/>
    </row>
    <row r="477" spans="1:32" x14ac:dyDescent="0.3">
      <c r="B477" s="34" t="str">
        <f>TEXT(Tabelle1217303029720847[[#This Row],[Datum]],"tttt")</f>
        <v>Samstag</v>
      </c>
      <c r="C477" s="54">
        <f t="shared" si="441"/>
        <v>44507</v>
      </c>
      <c r="D477" s="31"/>
      <c r="E477" s="31"/>
      <c r="F477" s="31"/>
      <c r="G477" s="31"/>
      <c r="H477" s="31"/>
      <c r="I477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4" t="str">
        <f>TEXT(Tabelle1217303029720847100[[#This Row],[Datum]],"tttt")</f>
        <v>Samstag</v>
      </c>
      <c r="L477" s="54">
        <f t="shared" si="442"/>
        <v>44507</v>
      </c>
      <c r="M477" s="31">
        <f t="shared" si="437"/>
        <v>0</v>
      </c>
      <c r="N477" s="31">
        <f t="shared" si="438"/>
        <v>0</v>
      </c>
      <c r="O477" s="31"/>
      <c r="P477" s="31">
        <f t="shared" si="439"/>
        <v>0</v>
      </c>
      <c r="Q477" s="31">
        <f t="shared" si="440"/>
        <v>0</v>
      </c>
      <c r="R477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99">
        <f t="shared" ref="T477:T478" si="443">R477-I477</f>
        <v>0</v>
      </c>
      <c r="U477" s="99"/>
      <c r="Y477" s="37"/>
    </row>
    <row r="478" spans="1:32" s="40" customFormat="1" x14ac:dyDescent="0.3">
      <c r="B478" s="36" t="str">
        <f>TEXT(Tabelle1217303029720847[[#This Row],[Datum]],"tttt")</f>
        <v>Sonntag</v>
      </c>
      <c r="C478" s="55">
        <f t="shared" si="441"/>
        <v>44508</v>
      </c>
      <c r="D478" s="32"/>
      <c r="E478" s="32"/>
      <c r="F478" s="32"/>
      <c r="G478" s="32"/>
      <c r="H478" s="32"/>
      <c r="I478" s="53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6" t="str">
        <f>TEXT(Tabelle1217303029720847100[[#This Row],[Datum]],"tttt")</f>
        <v>Sonntag</v>
      </c>
      <c r="L478" s="55">
        <f t="shared" si="442"/>
        <v>44508</v>
      </c>
      <c r="M478" s="31">
        <f t="shared" si="437"/>
        <v>0</v>
      </c>
      <c r="N478" s="31">
        <f t="shared" si="438"/>
        <v>0</v>
      </c>
      <c r="O478" s="32"/>
      <c r="P478" s="31">
        <f t="shared" si="439"/>
        <v>0</v>
      </c>
      <c r="Q478" s="31">
        <f t="shared" si="440"/>
        <v>0</v>
      </c>
      <c r="R478" s="53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99">
        <f t="shared" si="443"/>
        <v>0</v>
      </c>
      <c r="U478" s="99"/>
      <c r="V478" s="42"/>
      <c r="W478" s="42"/>
      <c r="X478" s="45"/>
      <c r="Y478" s="37"/>
      <c r="AB478" s="41"/>
      <c r="AD478" s="29"/>
      <c r="AE478" s="29"/>
      <c r="AF478" s="29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7"/>
    </row>
    <row r="480" spans="1:32" x14ac:dyDescent="0.3">
      <c r="A480" s="37"/>
      <c r="B480" s="38"/>
      <c r="C480" s="37"/>
      <c r="D480" s="37"/>
      <c r="E480" s="37"/>
      <c r="F480" s="37"/>
      <c r="G480" s="37"/>
      <c r="H480" s="37"/>
      <c r="I480" s="38"/>
      <c r="J480" s="37"/>
      <c r="K480" s="38"/>
      <c r="L480" s="37"/>
      <c r="M480" s="37"/>
      <c r="N480" s="37"/>
      <c r="O480" s="37"/>
      <c r="P480" s="37"/>
      <c r="Q480" s="37"/>
      <c r="R480" s="38"/>
      <c r="S480" s="37"/>
      <c r="T480" s="100"/>
      <c r="U480" s="100"/>
      <c r="V480" s="37"/>
      <c r="W480" s="37"/>
      <c r="X480" s="39"/>
      <c r="Y480" s="37"/>
    </row>
    <row r="481" spans="1:32" x14ac:dyDescent="0.3">
      <c r="A481" s="44" t="s">
        <v>33</v>
      </c>
      <c r="B481" s="6" t="s">
        <v>2</v>
      </c>
      <c r="C481" s="7" t="s">
        <v>3</v>
      </c>
      <c r="D481" s="4" t="s">
        <v>4</v>
      </c>
      <c r="E481" s="4" t="s">
        <v>5</v>
      </c>
      <c r="F481" s="4" t="s">
        <v>6</v>
      </c>
      <c r="G481" s="4" t="s">
        <v>7</v>
      </c>
      <c r="H481" s="4" t="s">
        <v>8</v>
      </c>
      <c r="I481" s="4" t="s">
        <v>9</v>
      </c>
      <c r="J481" s="44" t="s">
        <v>33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99" t="s">
        <v>11</v>
      </c>
      <c r="U481" s="99"/>
      <c r="W481" s="13" t="s">
        <v>21</v>
      </c>
      <c r="X481" s="15" t="s">
        <v>17</v>
      </c>
      <c r="Y481" s="37"/>
    </row>
    <row r="482" spans="1:32" x14ac:dyDescent="0.3">
      <c r="A482" s="44">
        <f>A472+1</f>
        <v>46</v>
      </c>
      <c r="B482" s="34" t="str">
        <f>TEXT(Tabelle12173030297208348[[#This Row],[Datum]],"tttt")</f>
        <v>Montag</v>
      </c>
      <c r="C482" s="56">
        <f>C478+1</f>
        <v>44509</v>
      </c>
      <c r="D482" s="31"/>
      <c r="E482" s="31"/>
      <c r="F482" s="31"/>
      <c r="G482" s="31"/>
      <c r="H482" s="31"/>
      <c r="I482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4">
        <f>J472+1</f>
        <v>46</v>
      </c>
      <c r="K482" s="34" t="str">
        <f>TEXT(Tabelle12173030297208348101[[#This Row],[Datum]],"tttt")</f>
        <v>Montag</v>
      </c>
      <c r="L482" s="56">
        <f>L478+1</f>
        <v>44509</v>
      </c>
      <c r="M482" s="31">
        <f>IF(O482="F",0,D482)</f>
        <v>0</v>
      </c>
      <c r="N482" s="31">
        <f>IF(O482="F",0,E482)</f>
        <v>0</v>
      </c>
      <c r="O482" s="32"/>
      <c r="P482" s="31">
        <f>IF(O482="F",0,G482)</f>
        <v>0</v>
      </c>
      <c r="Q482" s="31">
        <f>IF(O482="F",I482,0)</f>
        <v>0</v>
      </c>
      <c r="R482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99">
        <f t="shared" ref="T482:T483" si="446">R482-I482</f>
        <v>0</v>
      </c>
      <c r="U482" s="99"/>
      <c r="W482" s="17" t="s">
        <v>18</v>
      </c>
      <c r="X482" s="26">
        <f>I489</f>
        <v>0</v>
      </c>
      <c r="Y482" s="37"/>
    </row>
    <row r="483" spans="1:32" x14ac:dyDescent="0.3">
      <c r="B483" s="34" t="str">
        <f>TEXT(Tabelle12173030297208348[[#This Row],[Datum]],"tttt")</f>
        <v>Dienstag</v>
      </c>
      <c r="C483" s="54">
        <f>C482+1</f>
        <v>44510</v>
      </c>
      <c r="D483" s="31"/>
      <c r="E483" s="31"/>
      <c r="F483" s="31"/>
      <c r="G483" s="31"/>
      <c r="H483" s="31"/>
      <c r="I483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4" t="str">
        <f>TEXT(Tabelle12173030297208348101[[#This Row],[Datum]],"tttt")</f>
        <v>Dienstag</v>
      </c>
      <c r="L483" s="54">
        <f>L482+1</f>
        <v>44510</v>
      </c>
      <c r="M483" s="31">
        <f t="shared" ref="M483:M488" si="447">IF(O483="F",0,D483)</f>
        <v>0</v>
      </c>
      <c r="N483" s="31">
        <f t="shared" ref="N483:N488" si="448">IF(O483="F",0,E483)</f>
        <v>0</v>
      </c>
      <c r="O483" s="31"/>
      <c r="P483" s="31">
        <f t="shared" ref="P483:P488" si="449">IF(O483="F",0,G483)</f>
        <v>0</v>
      </c>
      <c r="Q483" s="31">
        <f t="shared" ref="Q483:Q488" si="450">IF(O483="F",I483,0)</f>
        <v>0</v>
      </c>
      <c r="R483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99">
        <f t="shared" si="446"/>
        <v>0</v>
      </c>
      <c r="U483" s="99"/>
      <c r="W483" s="17" t="s">
        <v>19</v>
      </c>
      <c r="X483" s="26">
        <f>R489</f>
        <v>0</v>
      </c>
      <c r="Y483" s="37"/>
    </row>
    <row r="484" spans="1:32" x14ac:dyDescent="0.3">
      <c r="B484" s="35" t="str">
        <f>TEXT(Tabelle12173030297208348[[#This Row],[Datum]],"tttt")</f>
        <v>Mittwoch</v>
      </c>
      <c r="C484" s="54">
        <f t="shared" ref="C484:C488" si="451">C483+1</f>
        <v>44511</v>
      </c>
      <c r="D484" s="32"/>
      <c r="E484" s="32"/>
      <c r="F484" s="32"/>
      <c r="G484" s="32"/>
      <c r="H484" s="32"/>
      <c r="I484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5" t="str">
        <f>TEXT(Tabelle12173030297208348101[[#This Row],[Datum]],"tttt")</f>
        <v>Mittwoch</v>
      </c>
      <c r="L484" s="54">
        <f t="shared" ref="L484:L488" si="452">L483+1</f>
        <v>44511</v>
      </c>
      <c r="M484" s="31">
        <f t="shared" si="447"/>
        <v>0</v>
      </c>
      <c r="N484" s="31">
        <f t="shared" si="448"/>
        <v>0</v>
      </c>
      <c r="O484" s="32"/>
      <c r="P484" s="31">
        <f t="shared" si="449"/>
        <v>0</v>
      </c>
      <c r="Q484" s="31">
        <f t="shared" si="450"/>
        <v>0</v>
      </c>
      <c r="R484" s="51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99">
        <f>R484-I484</f>
        <v>0</v>
      </c>
      <c r="U484" s="99"/>
      <c r="W484" s="20" t="s">
        <v>20</v>
      </c>
      <c r="X484" s="27">
        <f>X483-X482</f>
        <v>0</v>
      </c>
      <c r="Y484" s="37"/>
      <c r="Z484" s="64">
        <f>Z474+X484</f>
        <v>0</v>
      </c>
    </row>
    <row r="485" spans="1:32" x14ac:dyDescent="0.3">
      <c r="B485" s="34" t="str">
        <f>TEXT(Tabelle12173030297208348[[#This Row],[Datum]],"tttt")</f>
        <v>Donnerstag</v>
      </c>
      <c r="C485" s="54">
        <f t="shared" si="451"/>
        <v>44512</v>
      </c>
      <c r="D485" s="31"/>
      <c r="E485" s="31"/>
      <c r="F485" s="31"/>
      <c r="G485" s="31"/>
      <c r="H485" s="31"/>
      <c r="I485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4" t="str">
        <f>TEXT(Tabelle12173030297208348101[[#This Row],[Datum]],"tttt")</f>
        <v>Donnerstag</v>
      </c>
      <c r="L485" s="54">
        <f t="shared" si="452"/>
        <v>44512</v>
      </c>
      <c r="M485" s="31">
        <f t="shared" si="447"/>
        <v>0</v>
      </c>
      <c r="N485" s="31">
        <f t="shared" si="448"/>
        <v>0</v>
      </c>
      <c r="O485" s="31"/>
      <c r="P485" s="31">
        <f t="shared" si="449"/>
        <v>0</v>
      </c>
      <c r="Q485" s="31">
        <f t="shared" si="450"/>
        <v>0</v>
      </c>
      <c r="R485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99">
        <f>R485-I485</f>
        <v>0</v>
      </c>
      <c r="U485" s="99"/>
      <c r="Y485" s="37"/>
    </row>
    <row r="486" spans="1:32" x14ac:dyDescent="0.3">
      <c r="B486" s="36" t="str">
        <f>TEXT(Tabelle12173030297208348[[#This Row],[Datum]],"tttt")</f>
        <v>Freitag</v>
      </c>
      <c r="C486" s="54">
        <f t="shared" si="451"/>
        <v>44513</v>
      </c>
      <c r="D486" s="32"/>
      <c r="E486" s="32"/>
      <c r="F486" s="32"/>
      <c r="G486" s="32"/>
      <c r="H486" s="32"/>
      <c r="I486" s="52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6" t="str">
        <f>TEXT(Tabelle12173030297208348101[[#This Row],[Datum]],"tttt")</f>
        <v>Freitag</v>
      </c>
      <c r="L486" s="54">
        <f t="shared" si="452"/>
        <v>44513</v>
      </c>
      <c r="M486" s="31">
        <f t="shared" si="447"/>
        <v>0</v>
      </c>
      <c r="N486" s="31">
        <f t="shared" si="448"/>
        <v>0</v>
      </c>
      <c r="O486" s="32"/>
      <c r="P486" s="31">
        <f t="shared" si="449"/>
        <v>0</v>
      </c>
      <c r="Q486" s="31">
        <f t="shared" si="450"/>
        <v>0</v>
      </c>
      <c r="R486" s="52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99">
        <f>R486-I486</f>
        <v>0</v>
      </c>
      <c r="U486" s="99"/>
      <c r="Y486" s="37"/>
    </row>
    <row r="487" spans="1:32" x14ac:dyDescent="0.3">
      <c r="B487" s="34" t="str">
        <f>TEXT(Tabelle12173030297208348[[#This Row],[Datum]],"tttt")</f>
        <v>Samstag</v>
      </c>
      <c r="C487" s="54">
        <f t="shared" si="451"/>
        <v>44514</v>
      </c>
      <c r="D487" s="31"/>
      <c r="E487" s="31"/>
      <c r="F487" s="31"/>
      <c r="G487" s="31"/>
      <c r="H487" s="31"/>
      <c r="I487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4" t="str">
        <f>TEXT(Tabelle12173030297208348101[[#This Row],[Datum]],"tttt")</f>
        <v>Samstag</v>
      </c>
      <c r="L487" s="54">
        <f t="shared" si="452"/>
        <v>44514</v>
      </c>
      <c r="M487" s="31">
        <f t="shared" si="447"/>
        <v>0</v>
      </c>
      <c r="N487" s="31">
        <f t="shared" si="448"/>
        <v>0</v>
      </c>
      <c r="O487" s="31"/>
      <c r="P487" s="31">
        <f t="shared" si="449"/>
        <v>0</v>
      </c>
      <c r="Q487" s="31">
        <f t="shared" si="450"/>
        <v>0</v>
      </c>
      <c r="R487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99">
        <f t="shared" ref="T487:T488" si="453">R487-I487</f>
        <v>0</v>
      </c>
      <c r="U487" s="99"/>
      <c r="Y487" s="37"/>
    </row>
    <row r="488" spans="1:32" s="40" customFormat="1" x14ac:dyDescent="0.3">
      <c r="B488" s="36" t="str">
        <f>TEXT(Tabelle12173030297208348[[#This Row],[Datum]],"tttt")</f>
        <v>Sonntag</v>
      </c>
      <c r="C488" s="55">
        <f t="shared" si="451"/>
        <v>44515</v>
      </c>
      <c r="D488" s="32"/>
      <c r="E488" s="32"/>
      <c r="F488" s="32"/>
      <c r="G488" s="32"/>
      <c r="H488" s="32"/>
      <c r="I488" s="53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6" t="str">
        <f>TEXT(Tabelle12173030297208348101[[#This Row],[Datum]],"tttt")</f>
        <v>Sonntag</v>
      </c>
      <c r="L488" s="55">
        <f t="shared" si="452"/>
        <v>44515</v>
      </c>
      <c r="M488" s="31">
        <f t="shared" si="447"/>
        <v>0</v>
      </c>
      <c r="N488" s="31">
        <f t="shared" si="448"/>
        <v>0</v>
      </c>
      <c r="O488" s="32"/>
      <c r="P488" s="31">
        <f t="shared" si="449"/>
        <v>0</v>
      </c>
      <c r="Q488" s="31">
        <f t="shared" si="450"/>
        <v>0</v>
      </c>
      <c r="R488" s="53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99">
        <f t="shared" si="453"/>
        <v>0</v>
      </c>
      <c r="U488" s="99"/>
      <c r="V488" s="42"/>
      <c r="W488" s="42"/>
      <c r="X488" s="45"/>
      <c r="Y488" s="37"/>
      <c r="AB488" s="41"/>
      <c r="AD488" s="29"/>
      <c r="AE488" s="29"/>
      <c r="AF488" s="29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7"/>
    </row>
    <row r="490" spans="1:32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100"/>
      <c r="U490" s="100"/>
      <c r="V490" s="37"/>
      <c r="W490" s="37"/>
      <c r="X490" s="39"/>
      <c r="Y490" s="37"/>
    </row>
    <row r="491" spans="1:32" x14ac:dyDescent="0.3">
      <c r="A491" s="44" t="s">
        <v>33</v>
      </c>
      <c r="B491" s="6" t="s">
        <v>2</v>
      </c>
      <c r="C491" s="7" t="s">
        <v>3</v>
      </c>
      <c r="D491" s="4" t="s">
        <v>4</v>
      </c>
      <c r="E491" s="4" t="s">
        <v>5</v>
      </c>
      <c r="F491" s="4" t="s">
        <v>6</v>
      </c>
      <c r="G491" s="4" t="s">
        <v>7</v>
      </c>
      <c r="H491" s="4" t="s">
        <v>8</v>
      </c>
      <c r="I491" s="4" t="s">
        <v>9</v>
      </c>
      <c r="J491" s="44" t="s">
        <v>33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99" t="s">
        <v>11</v>
      </c>
      <c r="U491" s="99"/>
      <c r="W491" s="13" t="s">
        <v>21</v>
      </c>
      <c r="X491" s="15" t="s">
        <v>17</v>
      </c>
      <c r="Y491" s="37"/>
    </row>
    <row r="492" spans="1:32" x14ac:dyDescent="0.3">
      <c r="A492" s="44">
        <f>A482+1</f>
        <v>47</v>
      </c>
      <c r="B492" s="34" t="str">
        <f>TEXT(Tabelle12173030297208449[[#This Row],[Datum]],"tttt")</f>
        <v>Montag</v>
      </c>
      <c r="C492" s="56">
        <f>C488+1</f>
        <v>44516</v>
      </c>
      <c r="D492" s="31"/>
      <c r="E492" s="31"/>
      <c r="F492" s="31"/>
      <c r="G492" s="31"/>
      <c r="H492" s="31"/>
      <c r="I492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4">
        <f>J482+1</f>
        <v>47</v>
      </c>
      <c r="K492" s="34" t="str">
        <f>TEXT(Tabelle12173030297208449102[[#This Row],[Datum]],"tttt")</f>
        <v>Montag</v>
      </c>
      <c r="L492" s="56">
        <f>L488+1</f>
        <v>44516</v>
      </c>
      <c r="M492" s="31">
        <f>IF(O492="F",0,D492)</f>
        <v>0</v>
      </c>
      <c r="N492" s="31">
        <f>IF(O492="F",0,E492)</f>
        <v>0</v>
      </c>
      <c r="O492" s="32"/>
      <c r="P492" s="31">
        <f>IF(O492="F",0,G492)</f>
        <v>0</v>
      </c>
      <c r="Q492" s="31">
        <f>IF(O492="F",I492,0)</f>
        <v>0</v>
      </c>
      <c r="R492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99">
        <f t="shared" ref="T492:T493" si="456">R492-I492</f>
        <v>0</v>
      </c>
      <c r="U492" s="99"/>
      <c r="W492" s="17" t="s">
        <v>18</v>
      </c>
      <c r="X492" s="26">
        <f>I499</f>
        <v>0</v>
      </c>
      <c r="Y492" s="37"/>
    </row>
    <row r="493" spans="1:32" x14ac:dyDescent="0.3">
      <c r="B493" s="34" t="str">
        <f>TEXT(Tabelle12173030297208449[[#This Row],[Datum]],"tttt")</f>
        <v>Dienstag</v>
      </c>
      <c r="C493" s="54">
        <f>C492+1</f>
        <v>44517</v>
      </c>
      <c r="D493" s="31"/>
      <c r="E493" s="31"/>
      <c r="F493" s="31"/>
      <c r="G493" s="31"/>
      <c r="H493" s="31"/>
      <c r="I493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4" t="str">
        <f>TEXT(Tabelle12173030297208449102[[#This Row],[Datum]],"tttt")</f>
        <v>Dienstag</v>
      </c>
      <c r="L493" s="54">
        <f>L492+1</f>
        <v>44517</v>
      </c>
      <c r="M493" s="31">
        <f t="shared" ref="M493:M498" si="457">IF(O493="F",0,D493)</f>
        <v>0</v>
      </c>
      <c r="N493" s="31">
        <f t="shared" ref="N493:N498" si="458">IF(O493="F",0,E493)</f>
        <v>0</v>
      </c>
      <c r="O493" s="31"/>
      <c r="P493" s="31">
        <f t="shared" ref="P493:P498" si="459">IF(O493="F",0,G493)</f>
        <v>0</v>
      </c>
      <c r="Q493" s="31">
        <f t="shared" ref="Q493:Q498" si="460">IF(O493="F",I493,0)</f>
        <v>0</v>
      </c>
      <c r="R493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99">
        <f t="shared" si="456"/>
        <v>0</v>
      </c>
      <c r="U493" s="99"/>
      <c r="W493" s="17" t="s">
        <v>19</v>
      </c>
      <c r="X493" s="26">
        <f>R499</f>
        <v>0</v>
      </c>
      <c r="Y493" s="37"/>
    </row>
    <row r="494" spans="1:32" x14ac:dyDescent="0.3">
      <c r="B494" s="35" t="str">
        <f>TEXT(Tabelle12173030297208449[[#This Row],[Datum]],"tttt")</f>
        <v>Mittwoch</v>
      </c>
      <c r="C494" s="54">
        <f t="shared" ref="C494:C498" si="461">C493+1</f>
        <v>44518</v>
      </c>
      <c r="D494" s="32"/>
      <c r="E494" s="32"/>
      <c r="F494" s="32"/>
      <c r="G494" s="32"/>
      <c r="H494" s="32"/>
      <c r="I494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5" t="str">
        <f>TEXT(Tabelle12173030297208449102[[#This Row],[Datum]],"tttt")</f>
        <v>Mittwoch</v>
      </c>
      <c r="L494" s="54">
        <f t="shared" ref="L494:L498" si="462">L493+1</f>
        <v>44518</v>
      </c>
      <c r="M494" s="31">
        <f t="shared" si="457"/>
        <v>0</v>
      </c>
      <c r="N494" s="31">
        <f t="shared" si="458"/>
        <v>0</v>
      </c>
      <c r="O494" s="32"/>
      <c r="P494" s="31">
        <f t="shared" si="459"/>
        <v>0</v>
      </c>
      <c r="Q494" s="31">
        <f t="shared" si="460"/>
        <v>0</v>
      </c>
      <c r="R494" s="51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99">
        <f>R494-I494</f>
        <v>0</v>
      </c>
      <c r="U494" s="99"/>
      <c r="W494" s="20" t="s">
        <v>20</v>
      </c>
      <c r="X494" s="27">
        <f>X493-X492</f>
        <v>0</v>
      </c>
      <c r="Y494" s="37"/>
      <c r="Z494" s="64">
        <f>Z484+X494</f>
        <v>0</v>
      </c>
    </row>
    <row r="495" spans="1:32" x14ac:dyDescent="0.3">
      <c r="B495" s="34" t="str">
        <f>TEXT(Tabelle12173030297208449[[#This Row],[Datum]],"tttt")</f>
        <v>Donnerstag</v>
      </c>
      <c r="C495" s="54">
        <f t="shared" si="461"/>
        <v>44519</v>
      </c>
      <c r="D495" s="31"/>
      <c r="E495" s="31"/>
      <c r="F495" s="31"/>
      <c r="G495" s="31"/>
      <c r="H495" s="31"/>
      <c r="I495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4" t="str">
        <f>TEXT(Tabelle12173030297208449102[[#This Row],[Datum]],"tttt")</f>
        <v>Donnerstag</v>
      </c>
      <c r="L495" s="54">
        <f t="shared" si="462"/>
        <v>44519</v>
      </c>
      <c r="M495" s="31">
        <f t="shared" si="457"/>
        <v>0</v>
      </c>
      <c r="N495" s="31">
        <f t="shared" si="458"/>
        <v>0</v>
      </c>
      <c r="O495" s="31"/>
      <c r="P495" s="31">
        <f t="shared" si="459"/>
        <v>0</v>
      </c>
      <c r="Q495" s="31">
        <f t="shared" si="460"/>
        <v>0</v>
      </c>
      <c r="R495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99">
        <f>R495-I495</f>
        <v>0</v>
      </c>
      <c r="U495" s="99"/>
      <c r="Y495" s="37"/>
    </row>
    <row r="496" spans="1:32" x14ac:dyDescent="0.3">
      <c r="B496" s="36" t="str">
        <f>TEXT(Tabelle12173030297208449[[#This Row],[Datum]],"tttt")</f>
        <v>Freitag</v>
      </c>
      <c r="C496" s="54">
        <f t="shared" si="461"/>
        <v>44520</v>
      </c>
      <c r="D496" s="32"/>
      <c r="E496" s="32"/>
      <c r="F496" s="32"/>
      <c r="G496" s="32"/>
      <c r="H496" s="32"/>
      <c r="I496" s="52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6" t="str">
        <f>TEXT(Tabelle12173030297208449102[[#This Row],[Datum]],"tttt")</f>
        <v>Freitag</v>
      </c>
      <c r="L496" s="54">
        <f t="shared" si="462"/>
        <v>44520</v>
      </c>
      <c r="M496" s="31">
        <f t="shared" si="457"/>
        <v>0</v>
      </c>
      <c r="N496" s="31">
        <f t="shared" si="458"/>
        <v>0</v>
      </c>
      <c r="O496" s="32"/>
      <c r="P496" s="31">
        <f t="shared" si="459"/>
        <v>0</v>
      </c>
      <c r="Q496" s="31">
        <f t="shared" si="460"/>
        <v>0</v>
      </c>
      <c r="R496" s="52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99">
        <f>R496-I496</f>
        <v>0</v>
      </c>
      <c r="U496" s="99"/>
      <c r="Y496" s="37"/>
    </row>
    <row r="497" spans="1:32" x14ac:dyDescent="0.3">
      <c r="B497" s="34" t="str">
        <f>TEXT(Tabelle12173030297208449[[#This Row],[Datum]],"tttt")</f>
        <v>Samstag</v>
      </c>
      <c r="C497" s="54">
        <f t="shared" si="461"/>
        <v>44521</v>
      </c>
      <c r="D497" s="31"/>
      <c r="E497" s="31"/>
      <c r="F497" s="31"/>
      <c r="G497" s="31"/>
      <c r="H497" s="31"/>
      <c r="I497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4" t="str">
        <f>TEXT(Tabelle12173030297208449102[[#This Row],[Datum]],"tttt")</f>
        <v>Samstag</v>
      </c>
      <c r="L497" s="54">
        <f t="shared" si="462"/>
        <v>44521</v>
      </c>
      <c r="M497" s="31">
        <f t="shared" si="457"/>
        <v>0</v>
      </c>
      <c r="N497" s="31">
        <f t="shared" si="458"/>
        <v>0</v>
      </c>
      <c r="O497" s="31"/>
      <c r="P497" s="31">
        <f t="shared" si="459"/>
        <v>0</v>
      </c>
      <c r="Q497" s="31">
        <f t="shared" si="460"/>
        <v>0</v>
      </c>
      <c r="R497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99">
        <f t="shared" ref="T497:T498" si="463">R497-I497</f>
        <v>0</v>
      </c>
      <c r="U497" s="99"/>
      <c r="Y497" s="37"/>
    </row>
    <row r="498" spans="1:32" s="40" customFormat="1" x14ac:dyDescent="0.3">
      <c r="B498" s="36" t="str">
        <f>TEXT(Tabelle12173030297208449[[#This Row],[Datum]],"tttt")</f>
        <v>Sonntag</v>
      </c>
      <c r="C498" s="55">
        <f t="shared" si="461"/>
        <v>44522</v>
      </c>
      <c r="D498" s="32"/>
      <c r="E498" s="32"/>
      <c r="F498" s="32"/>
      <c r="G498" s="32"/>
      <c r="H498" s="32"/>
      <c r="I498" s="53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6" t="str">
        <f>TEXT(Tabelle12173030297208449102[[#This Row],[Datum]],"tttt")</f>
        <v>Sonntag</v>
      </c>
      <c r="L498" s="55">
        <f t="shared" si="462"/>
        <v>44522</v>
      </c>
      <c r="M498" s="31">
        <f t="shared" si="457"/>
        <v>0</v>
      </c>
      <c r="N498" s="31">
        <f t="shared" si="458"/>
        <v>0</v>
      </c>
      <c r="O498" s="32"/>
      <c r="P498" s="31">
        <f t="shared" si="459"/>
        <v>0</v>
      </c>
      <c r="Q498" s="31">
        <f t="shared" si="460"/>
        <v>0</v>
      </c>
      <c r="R498" s="53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99">
        <f t="shared" si="463"/>
        <v>0</v>
      </c>
      <c r="U498" s="99"/>
      <c r="V498" s="42"/>
      <c r="W498" s="42"/>
      <c r="X498" s="45"/>
      <c r="Y498" s="37"/>
      <c r="AB498" s="41"/>
      <c r="AD498" s="29"/>
      <c r="AE498" s="29"/>
      <c r="AF498" s="29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7"/>
    </row>
    <row r="500" spans="1:32" x14ac:dyDescent="0.3">
      <c r="A500" s="37"/>
      <c r="B500" s="38"/>
      <c r="C500" s="37"/>
      <c r="D500" s="37"/>
      <c r="E500" s="37"/>
      <c r="F500" s="37"/>
      <c r="G500" s="37"/>
      <c r="H500" s="37"/>
      <c r="I500" s="38"/>
      <c r="J500" s="37"/>
      <c r="K500" s="38"/>
      <c r="L500" s="37"/>
      <c r="M500" s="37"/>
      <c r="N500" s="37"/>
      <c r="O500" s="37"/>
      <c r="P500" s="37"/>
      <c r="Q500" s="37"/>
      <c r="R500" s="38"/>
      <c r="S500" s="37"/>
      <c r="T500" s="100"/>
      <c r="U500" s="100"/>
      <c r="V500" s="37"/>
      <c r="W500" s="37"/>
      <c r="X500" s="39"/>
      <c r="Y500" s="37"/>
    </row>
    <row r="501" spans="1:32" x14ac:dyDescent="0.3">
      <c r="A501" s="44" t="s">
        <v>33</v>
      </c>
      <c r="B501" s="6" t="s">
        <v>2</v>
      </c>
      <c r="C501" s="7" t="s">
        <v>3</v>
      </c>
      <c r="D501" s="4" t="s">
        <v>4</v>
      </c>
      <c r="E501" s="4" t="s">
        <v>5</v>
      </c>
      <c r="F501" s="4" t="s">
        <v>6</v>
      </c>
      <c r="G501" s="4" t="s">
        <v>7</v>
      </c>
      <c r="H501" s="4" t="s">
        <v>8</v>
      </c>
      <c r="I501" s="4" t="s">
        <v>9</v>
      </c>
      <c r="J501" s="44" t="s">
        <v>33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99" t="s">
        <v>11</v>
      </c>
      <c r="U501" s="99"/>
      <c r="W501" s="13" t="s">
        <v>21</v>
      </c>
      <c r="X501" s="15" t="s">
        <v>17</v>
      </c>
      <c r="Y501" s="37"/>
    </row>
    <row r="502" spans="1:32" x14ac:dyDescent="0.3">
      <c r="A502" s="44">
        <f>A492+1</f>
        <v>48</v>
      </c>
      <c r="B502" s="34" t="str">
        <f>TEXT(Tabelle1217303029720850[[#This Row],[Datum]],"tttt")</f>
        <v>Montag</v>
      </c>
      <c r="C502" s="56">
        <f>C498+1</f>
        <v>44523</v>
      </c>
      <c r="D502" s="31"/>
      <c r="E502" s="31"/>
      <c r="F502" s="31"/>
      <c r="G502" s="31"/>
      <c r="H502" s="31"/>
      <c r="I502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4">
        <f>J492+1</f>
        <v>48</v>
      </c>
      <c r="K502" s="34" t="str">
        <f>TEXT(Tabelle1217303029720850103[[#This Row],[Datum]],"tttt")</f>
        <v>Montag</v>
      </c>
      <c r="L502" s="56">
        <f>L498+1</f>
        <v>44523</v>
      </c>
      <c r="M502" s="31">
        <f>IF(O502="F",0,D502)</f>
        <v>0</v>
      </c>
      <c r="N502" s="31">
        <f>IF(O502="F",0,E502)</f>
        <v>0</v>
      </c>
      <c r="O502" s="32"/>
      <c r="P502" s="31">
        <f>IF(O502="F",0,G502)</f>
        <v>0</v>
      </c>
      <c r="Q502" s="31">
        <f>IF(O502="F",I502,0)</f>
        <v>0</v>
      </c>
      <c r="R502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99">
        <f t="shared" ref="T502:T503" si="466">R502-I502</f>
        <v>0</v>
      </c>
      <c r="U502" s="99"/>
      <c r="W502" s="17" t="s">
        <v>18</v>
      </c>
      <c r="X502" s="26">
        <f>I509</f>
        <v>0</v>
      </c>
      <c r="Y502" s="37"/>
    </row>
    <row r="503" spans="1:32" x14ac:dyDescent="0.3">
      <c r="B503" s="34" t="str">
        <f>TEXT(Tabelle1217303029720850[[#This Row],[Datum]],"tttt")</f>
        <v>Dienstag</v>
      </c>
      <c r="C503" s="54">
        <f>C502+1</f>
        <v>44524</v>
      </c>
      <c r="D503" s="31"/>
      <c r="E503" s="31"/>
      <c r="F503" s="31"/>
      <c r="G503" s="31"/>
      <c r="H503" s="31"/>
      <c r="I503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4" t="str">
        <f>TEXT(Tabelle1217303029720850103[[#This Row],[Datum]],"tttt")</f>
        <v>Dienstag</v>
      </c>
      <c r="L503" s="54">
        <f>L502+1</f>
        <v>44524</v>
      </c>
      <c r="M503" s="31">
        <f t="shared" ref="M503:M508" si="467">IF(O503="F",0,D503)</f>
        <v>0</v>
      </c>
      <c r="N503" s="31">
        <f t="shared" ref="N503:N508" si="468">IF(O503="F",0,E503)</f>
        <v>0</v>
      </c>
      <c r="O503" s="31"/>
      <c r="P503" s="31">
        <f t="shared" ref="P503:P508" si="469">IF(O503="F",0,G503)</f>
        <v>0</v>
      </c>
      <c r="Q503" s="31">
        <f t="shared" ref="Q503:Q508" si="470">IF(O503="F",I503,0)</f>
        <v>0</v>
      </c>
      <c r="R503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99">
        <f t="shared" si="466"/>
        <v>0</v>
      </c>
      <c r="U503" s="99"/>
      <c r="W503" s="17" t="s">
        <v>19</v>
      </c>
      <c r="X503" s="26">
        <f>R509</f>
        <v>0</v>
      </c>
      <c r="Y503" s="37"/>
    </row>
    <row r="504" spans="1:32" x14ac:dyDescent="0.3">
      <c r="B504" s="35" t="str">
        <f>TEXT(Tabelle1217303029720850[[#This Row],[Datum]],"tttt")</f>
        <v>Mittwoch</v>
      </c>
      <c r="C504" s="54">
        <f t="shared" ref="C504:C508" si="471">C503+1</f>
        <v>44525</v>
      </c>
      <c r="D504" s="32"/>
      <c r="E504" s="32"/>
      <c r="F504" s="32"/>
      <c r="G504" s="32"/>
      <c r="H504" s="32"/>
      <c r="I504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5" t="str">
        <f>TEXT(Tabelle1217303029720850103[[#This Row],[Datum]],"tttt")</f>
        <v>Mittwoch</v>
      </c>
      <c r="L504" s="54">
        <f t="shared" ref="L504:L508" si="472">L503+1</f>
        <v>44525</v>
      </c>
      <c r="M504" s="31">
        <f t="shared" si="467"/>
        <v>0</v>
      </c>
      <c r="N504" s="31">
        <f t="shared" si="468"/>
        <v>0</v>
      </c>
      <c r="O504" s="32"/>
      <c r="P504" s="31">
        <f t="shared" si="469"/>
        <v>0</v>
      </c>
      <c r="Q504" s="31">
        <f t="shared" si="470"/>
        <v>0</v>
      </c>
      <c r="R504" s="51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99">
        <f>R504-I504</f>
        <v>0</v>
      </c>
      <c r="U504" s="99"/>
      <c r="W504" s="20" t="s">
        <v>20</v>
      </c>
      <c r="X504" s="27">
        <f>X503-X502</f>
        <v>0</v>
      </c>
      <c r="Y504" s="37"/>
      <c r="Z504" s="64">
        <f>Z494+X504</f>
        <v>0</v>
      </c>
    </row>
    <row r="505" spans="1:32" x14ac:dyDescent="0.3">
      <c r="B505" s="34" t="str">
        <f>TEXT(Tabelle1217303029720850[[#This Row],[Datum]],"tttt")</f>
        <v>Donnerstag</v>
      </c>
      <c r="C505" s="54">
        <f t="shared" si="471"/>
        <v>44526</v>
      </c>
      <c r="D505" s="31"/>
      <c r="E505" s="31"/>
      <c r="F505" s="31"/>
      <c r="G505" s="31"/>
      <c r="H505" s="31"/>
      <c r="I505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4" t="str">
        <f>TEXT(Tabelle1217303029720850103[[#This Row],[Datum]],"tttt")</f>
        <v>Donnerstag</v>
      </c>
      <c r="L505" s="54">
        <f t="shared" si="472"/>
        <v>44526</v>
      </c>
      <c r="M505" s="31">
        <f t="shared" si="467"/>
        <v>0</v>
      </c>
      <c r="N505" s="31">
        <f t="shared" si="468"/>
        <v>0</v>
      </c>
      <c r="O505" s="31"/>
      <c r="P505" s="31">
        <f t="shared" si="469"/>
        <v>0</v>
      </c>
      <c r="Q505" s="31">
        <f t="shared" si="470"/>
        <v>0</v>
      </c>
      <c r="R505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99">
        <f>R505-I505</f>
        <v>0</v>
      </c>
      <c r="U505" s="99"/>
      <c r="Y505" s="37"/>
    </row>
    <row r="506" spans="1:32" x14ac:dyDescent="0.3">
      <c r="B506" s="36" t="str">
        <f>TEXT(Tabelle1217303029720850[[#This Row],[Datum]],"tttt")</f>
        <v>Freitag</v>
      </c>
      <c r="C506" s="54">
        <f t="shared" si="471"/>
        <v>44527</v>
      </c>
      <c r="D506" s="32"/>
      <c r="E506" s="32"/>
      <c r="F506" s="32"/>
      <c r="G506" s="32"/>
      <c r="H506" s="32"/>
      <c r="I506" s="52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6" t="str">
        <f>TEXT(Tabelle1217303029720850103[[#This Row],[Datum]],"tttt")</f>
        <v>Freitag</v>
      </c>
      <c r="L506" s="54">
        <f t="shared" si="472"/>
        <v>44527</v>
      </c>
      <c r="M506" s="31">
        <f t="shared" si="467"/>
        <v>0</v>
      </c>
      <c r="N506" s="31">
        <f t="shared" si="468"/>
        <v>0</v>
      </c>
      <c r="O506" s="32"/>
      <c r="P506" s="31">
        <f t="shared" si="469"/>
        <v>0</v>
      </c>
      <c r="Q506" s="31">
        <f t="shared" si="470"/>
        <v>0</v>
      </c>
      <c r="R506" s="52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99">
        <f>R506-I506</f>
        <v>0</v>
      </c>
      <c r="U506" s="99"/>
      <c r="Y506" s="37"/>
    </row>
    <row r="507" spans="1:32" x14ac:dyDescent="0.3">
      <c r="B507" s="34" t="str">
        <f>TEXT(Tabelle1217303029720850[[#This Row],[Datum]],"tttt")</f>
        <v>Samstag</v>
      </c>
      <c r="C507" s="54">
        <f t="shared" si="471"/>
        <v>44528</v>
      </c>
      <c r="D507" s="31"/>
      <c r="E507" s="31"/>
      <c r="F507" s="31"/>
      <c r="G507" s="31"/>
      <c r="H507" s="31"/>
      <c r="I507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4" t="str">
        <f>TEXT(Tabelle1217303029720850103[[#This Row],[Datum]],"tttt")</f>
        <v>Samstag</v>
      </c>
      <c r="L507" s="54">
        <f t="shared" si="472"/>
        <v>44528</v>
      </c>
      <c r="M507" s="31">
        <f t="shared" si="467"/>
        <v>0</v>
      </c>
      <c r="N507" s="31">
        <f t="shared" si="468"/>
        <v>0</v>
      </c>
      <c r="O507" s="31"/>
      <c r="P507" s="31">
        <f t="shared" si="469"/>
        <v>0</v>
      </c>
      <c r="Q507" s="31">
        <f t="shared" si="470"/>
        <v>0</v>
      </c>
      <c r="R507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99">
        <f t="shared" ref="T507:T508" si="473">R507-I507</f>
        <v>0</v>
      </c>
      <c r="U507" s="99"/>
      <c r="Y507" s="37"/>
    </row>
    <row r="508" spans="1:32" s="40" customFormat="1" x14ac:dyDescent="0.3">
      <c r="B508" s="36" t="str">
        <f>TEXT(Tabelle1217303029720850[[#This Row],[Datum]],"tttt")</f>
        <v>Sonntag</v>
      </c>
      <c r="C508" s="55">
        <f t="shared" si="471"/>
        <v>44529</v>
      </c>
      <c r="D508" s="32"/>
      <c r="E508" s="32"/>
      <c r="F508" s="32"/>
      <c r="G508" s="32"/>
      <c r="H508" s="32"/>
      <c r="I508" s="53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6" t="str">
        <f>TEXT(Tabelle1217303029720850103[[#This Row],[Datum]],"tttt")</f>
        <v>Sonntag</v>
      </c>
      <c r="L508" s="55">
        <f t="shared" si="472"/>
        <v>44529</v>
      </c>
      <c r="M508" s="31">
        <f t="shared" si="467"/>
        <v>0</v>
      </c>
      <c r="N508" s="31">
        <f t="shared" si="468"/>
        <v>0</v>
      </c>
      <c r="O508" s="32"/>
      <c r="P508" s="31">
        <f t="shared" si="469"/>
        <v>0</v>
      </c>
      <c r="Q508" s="31">
        <f t="shared" si="470"/>
        <v>0</v>
      </c>
      <c r="R508" s="53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99">
        <f t="shared" si="473"/>
        <v>0</v>
      </c>
      <c r="U508" s="99"/>
      <c r="V508" s="42"/>
      <c r="W508" s="42"/>
      <c r="X508" s="45"/>
      <c r="Y508" s="37"/>
      <c r="AB508" s="41"/>
      <c r="AD508" s="29"/>
      <c r="AE508" s="29"/>
      <c r="AF508" s="29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7"/>
    </row>
    <row r="510" spans="1:32" x14ac:dyDescent="0.3">
      <c r="A510" s="37"/>
      <c r="B510" s="38"/>
      <c r="C510" s="37"/>
      <c r="D510" s="37"/>
      <c r="E510" s="37"/>
      <c r="F510" s="37"/>
      <c r="G510" s="37"/>
      <c r="H510" s="37"/>
      <c r="I510" s="38"/>
      <c r="J510" s="37"/>
      <c r="K510" s="38"/>
      <c r="L510" s="37"/>
      <c r="M510" s="37"/>
      <c r="N510" s="37"/>
      <c r="O510" s="37"/>
      <c r="P510" s="37"/>
      <c r="Q510" s="37"/>
      <c r="R510" s="38"/>
      <c r="S510" s="37"/>
      <c r="T510" s="100"/>
      <c r="U510" s="100"/>
      <c r="V510" s="37"/>
      <c r="W510" s="37"/>
      <c r="X510" s="39"/>
      <c r="Y510" s="37"/>
    </row>
    <row r="511" spans="1:32" x14ac:dyDescent="0.3">
      <c r="A511" s="44" t="s">
        <v>33</v>
      </c>
      <c r="B511" s="6" t="s">
        <v>2</v>
      </c>
      <c r="C511" s="7" t="s">
        <v>3</v>
      </c>
      <c r="D511" s="4" t="s">
        <v>4</v>
      </c>
      <c r="E511" s="4" t="s">
        <v>5</v>
      </c>
      <c r="F511" s="4" t="s">
        <v>6</v>
      </c>
      <c r="G511" s="4" t="s">
        <v>7</v>
      </c>
      <c r="H511" s="4" t="s">
        <v>8</v>
      </c>
      <c r="I511" s="4" t="s">
        <v>9</v>
      </c>
      <c r="J511" s="44" t="s">
        <v>33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99" t="s">
        <v>11</v>
      </c>
      <c r="U511" s="99"/>
      <c r="W511" s="13" t="s">
        <v>21</v>
      </c>
      <c r="X511" s="15" t="s">
        <v>17</v>
      </c>
      <c r="Y511" s="37"/>
    </row>
    <row r="512" spans="1:32" x14ac:dyDescent="0.3">
      <c r="A512" s="44">
        <f>A502+1</f>
        <v>49</v>
      </c>
      <c r="B512" s="34" t="str">
        <f>TEXT(Tabelle12173030297208351[[#This Row],[Datum]],"tttt")</f>
        <v>Montag</v>
      </c>
      <c r="C512" s="56">
        <f>C508+1</f>
        <v>44530</v>
      </c>
      <c r="D512" s="31"/>
      <c r="E512" s="31"/>
      <c r="F512" s="31"/>
      <c r="G512" s="31"/>
      <c r="H512" s="31"/>
      <c r="I512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4">
        <f>J502+1</f>
        <v>49</v>
      </c>
      <c r="K512" s="34" t="str">
        <f>TEXT(Tabelle12173030297208351104[[#This Row],[Datum]],"tttt")</f>
        <v>Montag</v>
      </c>
      <c r="L512" s="56">
        <f>L508+1</f>
        <v>44530</v>
      </c>
      <c r="M512" s="31">
        <f>IF(O512="F",0,D512)</f>
        <v>0</v>
      </c>
      <c r="N512" s="31">
        <f>IF(O512="F",0,E512)</f>
        <v>0</v>
      </c>
      <c r="O512" s="32"/>
      <c r="P512" s="31">
        <f>IF(O512="F",0,G512)</f>
        <v>0</v>
      </c>
      <c r="Q512" s="31">
        <f>IF(O512="F",I512,0)</f>
        <v>0</v>
      </c>
      <c r="R512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99">
        <f t="shared" ref="T512:T513" si="476">R512-I512</f>
        <v>0</v>
      </c>
      <c r="U512" s="99"/>
      <c r="W512" s="17" t="s">
        <v>18</v>
      </c>
      <c r="X512" s="26">
        <f>I519</f>
        <v>0</v>
      </c>
      <c r="Y512" s="37"/>
    </row>
    <row r="513" spans="1:32" x14ac:dyDescent="0.3">
      <c r="B513" s="34" t="str">
        <f>TEXT(Tabelle12173030297208351[[#This Row],[Datum]],"tttt")</f>
        <v>Dienstag</v>
      </c>
      <c r="C513" s="54">
        <f>C512+1</f>
        <v>44531</v>
      </c>
      <c r="D513" s="31"/>
      <c r="E513" s="31"/>
      <c r="F513" s="31"/>
      <c r="G513" s="31"/>
      <c r="H513" s="31"/>
      <c r="I513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4" t="str">
        <f>TEXT(Tabelle12173030297208351104[[#This Row],[Datum]],"tttt")</f>
        <v>Dienstag</v>
      </c>
      <c r="L513" s="54">
        <f>L512+1</f>
        <v>44531</v>
      </c>
      <c r="M513" s="31">
        <f t="shared" ref="M513:M518" si="477">IF(O513="F",0,D513)</f>
        <v>0</v>
      </c>
      <c r="N513" s="31">
        <f t="shared" ref="N513:N518" si="478">IF(O513="F",0,E513)</f>
        <v>0</v>
      </c>
      <c r="O513" s="31"/>
      <c r="P513" s="31">
        <f t="shared" ref="P513:P518" si="479">IF(O513="F",0,G513)</f>
        <v>0</v>
      </c>
      <c r="Q513" s="31">
        <f t="shared" ref="Q513:Q518" si="480">IF(O513="F",I513,0)</f>
        <v>0</v>
      </c>
      <c r="R513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99">
        <f t="shared" si="476"/>
        <v>0</v>
      </c>
      <c r="U513" s="99"/>
      <c r="W513" s="17" t="s">
        <v>19</v>
      </c>
      <c r="X513" s="26">
        <f>R519</f>
        <v>0</v>
      </c>
      <c r="Y513" s="37"/>
    </row>
    <row r="514" spans="1:32" x14ac:dyDescent="0.3">
      <c r="B514" s="35" t="str">
        <f>TEXT(Tabelle12173030297208351[[#This Row],[Datum]],"tttt")</f>
        <v>Mittwoch</v>
      </c>
      <c r="C514" s="54">
        <f t="shared" ref="C514:C518" si="481">C513+1</f>
        <v>44532</v>
      </c>
      <c r="D514" s="32"/>
      <c r="E514" s="32"/>
      <c r="F514" s="32"/>
      <c r="G514" s="32"/>
      <c r="H514" s="32"/>
      <c r="I514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5" t="str">
        <f>TEXT(Tabelle12173030297208351104[[#This Row],[Datum]],"tttt")</f>
        <v>Mittwoch</v>
      </c>
      <c r="L514" s="54">
        <f t="shared" ref="L514:L518" si="482">L513+1</f>
        <v>44532</v>
      </c>
      <c r="M514" s="31">
        <f t="shared" si="477"/>
        <v>0</v>
      </c>
      <c r="N514" s="31">
        <f t="shared" si="478"/>
        <v>0</v>
      </c>
      <c r="O514" s="32"/>
      <c r="P514" s="31">
        <f t="shared" si="479"/>
        <v>0</v>
      </c>
      <c r="Q514" s="31">
        <f t="shared" si="480"/>
        <v>0</v>
      </c>
      <c r="R514" s="51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99">
        <f>R514-I514</f>
        <v>0</v>
      </c>
      <c r="U514" s="99"/>
      <c r="W514" s="20" t="s">
        <v>20</v>
      </c>
      <c r="X514" s="27">
        <f>X513-X512</f>
        <v>0</v>
      </c>
      <c r="Y514" s="37"/>
      <c r="Z514" s="64">
        <f>Z504+X514</f>
        <v>0</v>
      </c>
    </row>
    <row r="515" spans="1:32" x14ac:dyDescent="0.3">
      <c r="B515" s="34" t="str">
        <f>TEXT(Tabelle12173030297208351[[#This Row],[Datum]],"tttt")</f>
        <v>Donnerstag</v>
      </c>
      <c r="C515" s="54">
        <f t="shared" si="481"/>
        <v>44533</v>
      </c>
      <c r="D515" s="31"/>
      <c r="E515" s="31"/>
      <c r="F515" s="31"/>
      <c r="G515" s="31"/>
      <c r="H515" s="31"/>
      <c r="I515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4" t="str">
        <f>TEXT(Tabelle12173030297208351104[[#This Row],[Datum]],"tttt")</f>
        <v>Donnerstag</v>
      </c>
      <c r="L515" s="54">
        <f t="shared" si="482"/>
        <v>44533</v>
      </c>
      <c r="M515" s="31">
        <f t="shared" si="477"/>
        <v>0</v>
      </c>
      <c r="N515" s="31">
        <f t="shared" si="478"/>
        <v>0</v>
      </c>
      <c r="O515" s="31"/>
      <c r="P515" s="31">
        <f t="shared" si="479"/>
        <v>0</v>
      </c>
      <c r="Q515" s="31">
        <f t="shared" si="480"/>
        <v>0</v>
      </c>
      <c r="R515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99">
        <f>R515-I515</f>
        <v>0</v>
      </c>
      <c r="U515" s="99"/>
      <c r="Y515" s="37"/>
    </row>
    <row r="516" spans="1:32" x14ac:dyDescent="0.3">
      <c r="B516" s="36" t="str">
        <f>TEXT(Tabelle12173030297208351[[#This Row],[Datum]],"tttt")</f>
        <v>Freitag</v>
      </c>
      <c r="C516" s="54">
        <f t="shared" si="481"/>
        <v>44534</v>
      </c>
      <c r="D516" s="32"/>
      <c r="E516" s="32"/>
      <c r="F516" s="32"/>
      <c r="G516" s="32"/>
      <c r="H516" s="32"/>
      <c r="I516" s="52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6" t="str">
        <f>TEXT(Tabelle12173030297208351104[[#This Row],[Datum]],"tttt")</f>
        <v>Freitag</v>
      </c>
      <c r="L516" s="54">
        <f t="shared" si="482"/>
        <v>44534</v>
      </c>
      <c r="M516" s="31">
        <f t="shared" si="477"/>
        <v>0</v>
      </c>
      <c r="N516" s="31">
        <f t="shared" si="478"/>
        <v>0</v>
      </c>
      <c r="O516" s="32"/>
      <c r="P516" s="31">
        <f t="shared" si="479"/>
        <v>0</v>
      </c>
      <c r="Q516" s="31">
        <f t="shared" si="480"/>
        <v>0</v>
      </c>
      <c r="R516" s="52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99">
        <f>R516-I516</f>
        <v>0</v>
      </c>
      <c r="U516" s="99"/>
      <c r="Y516" s="37"/>
    </row>
    <row r="517" spans="1:32" x14ac:dyDescent="0.3">
      <c r="B517" s="34" t="str">
        <f>TEXT(Tabelle12173030297208351[[#This Row],[Datum]],"tttt")</f>
        <v>Samstag</v>
      </c>
      <c r="C517" s="54">
        <f t="shared" si="481"/>
        <v>44535</v>
      </c>
      <c r="D517" s="31"/>
      <c r="E517" s="31"/>
      <c r="F517" s="31"/>
      <c r="G517" s="31"/>
      <c r="H517" s="31"/>
      <c r="I517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4" t="str">
        <f>TEXT(Tabelle12173030297208351104[[#This Row],[Datum]],"tttt")</f>
        <v>Samstag</v>
      </c>
      <c r="L517" s="54">
        <f t="shared" si="482"/>
        <v>44535</v>
      </c>
      <c r="M517" s="31">
        <f t="shared" si="477"/>
        <v>0</v>
      </c>
      <c r="N517" s="31">
        <f t="shared" si="478"/>
        <v>0</v>
      </c>
      <c r="O517" s="31"/>
      <c r="P517" s="31">
        <f t="shared" si="479"/>
        <v>0</v>
      </c>
      <c r="Q517" s="31">
        <f t="shared" si="480"/>
        <v>0</v>
      </c>
      <c r="R517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99">
        <f t="shared" ref="T517:T518" si="483">R517-I517</f>
        <v>0</v>
      </c>
      <c r="U517" s="99"/>
      <c r="Y517" s="37"/>
    </row>
    <row r="518" spans="1:32" s="40" customFormat="1" x14ac:dyDescent="0.3">
      <c r="B518" s="36" t="str">
        <f>TEXT(Tabelle12173030297208351[[#This Row],[Datum]],"tttt")</f>
        <v>Sonntag</v>
      </c>
      <c r="C518" s="55">
        <f t="shared" si="481"/>
        <v>44536</v>
      </c>
      <c r="D518" s="32"/>
      <c r="E518" s="32"/>
      <c r="F518" s="32"/>
      <c r="G518" s="32"/>
      <c r="H518" s="32"/>
      <c r="I518" s="53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6" t="str">
        <f>TEXT(Tabelle12173030297208351104[[#This Row],[Datum]],"tttt")</f>
        <v>Sonntag</v>
      </c>
      <c r="L518" s="55">
        <f t="shared" si="482"/>
        <v>44536</v>
      </c>
      <c r="M518" s="31">
        <f t="shared" si="477"/>
        <v>0</v>
      </c>
      <c r="N518" s="31">
        <f t="shared" si="478"/>
        <v>0</v>
      </c>
      <c r="O518" s="32"/>
      <c r="P518" s="31">
        <f t="shared" si="479"/>
        <v>0</v>
      </c>
      <c r="Q518" s="31">
        <f t="shared" si="480"/>
        <v>0</v>
      </c>
      <c r="R518" s="53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99">
        <f t="shared" si="483"/>
        <v>0</v>
      </c>
      <c r="U518" s="99"/>
      <c r="V518" s="42"/>
      <c r="W518" s="42"/>
      <c r="X518" s="45"/>
      <c r="Y518" s="37"/>
      <c r="AB518" s="41"/>
      <c r="AD518" s="29"/>
      <c r="AE518" s="29"/>
      <c r="AF518" s="29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7"/>
    </row>
    <row r="520" spans="1:32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100"/>
      <c r="U520" s="100"/>
      <c r="V520" s="37"/>
      <c r="W520" s="37"/>
      <c r="X520" s="39"/>
      <c r="Y520" s="37"/>
    </row>
    <row r="521" spans="1:32" x14ac:dyDescent="0.3">
      <c r="A521" s="44" t="s">
        <v>33</v>
      </c>
      <c r="B521" s="6" t="s">
        <v>2</v>
      </c>
      <c r="C521" s="7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  <c r="I521" s="4" t="s">
        <v>9</v>
      </c>
      <c r="J521" s="44" t="s">
        <v>33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99" t="s">
        <v>11</v>
      </c>
      <c r="U521" s="99"/>
      <c r="W521" s="13" t="s">
        <v>21</v>
      </c>
      <c r="X521" s="15" t="s">
        <v>17</v>
      </c>
      <c r="Y521" s="37"/>
    </row>
    <row r="522" spans="1:32" x14ac:dyDescent="0.3">
      <c r="A522" s="44">
        <f>A512+1</f>
        <v>50</v>
      </c>
      <c r="B522" s="34" t="str">
        <f>TEXT(Tabelle12173030297208452[[#This Row],[Datum]],"tttt")</f>
        <v>Montag</v>
      </c>
      <c r="C522" s="56">
        <f>C518+1</f>
        <v>44537</v>
      </c>
      <c r="D522" s="31"/>
      <c r="E522" s="31"/>
      <c r="F522" s="31"/>
      <c r="G522" s="31"/>
      <c r="H522" s="31"/>
      <c r="I522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4">
        <f>J512+1</f>
        <v>50</v>
      </c>
      <c r="K522" s="34" t="str">
        <f>TEXT(Tabelle12173030297208452105[[#This Row],[Datum]],"tttt")</f>
        <v>Montag</v>
      </c>
      <c r="L522" s="56">
        <f>L518+1</f>
        <v>44537</v>
      </c>
      <c r="M522" s="31">
        <f>IF(O522="F",0,D522)</f>
        <v>0</v>
      </c>
      <c r="N522" s="31">
        <f>IF(O522="F",0,E522)</f>
        <v>0</v>
      </c>
      <c r="O522" s="32"/>
      <c r="P522" s="31">
        <f>IF(O522="F",0,G522)</f>
        <v>0</v>
      </c>
      <c r="Q522" s="31">
        <f>IF(O522="F",I522,0)</f>
        <v>0</v>
      </c>
      <c r="R522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99">
        <f t="shared" ref="T522:T523" si="486">R522-I522</f>
        <v>0</v>
      </c>
      <c r="U522" s="99"/>
      <c r="W522" s="17" t="s">
        <v>18</v>
      </c>
      <c r="X522" s="26">
        <f>I529</f>
        <v>0</v>
      </c>
      <c r="Y522" s="37"/>
    </row>
    <row r="523" spans="1:32" x14ac:dyDescent="0.3">
      <c r="B523" s="34" t="str">
        <f>TEXT(Tabelle12173030297208452[[#This Row],[Datum]],"tttt")</f>
        <v>Dienstag</v>
      </c>
      <c r="C523" s="54">
        <f>C522+1</f>
        <v>44538</v>
      </c>
      <c r="D523" s="31"/>
      <c r="E523" s="31"/>
      <c r="F523" s="31"/>
      <c r="G523" s="31"/>
      <c r="H523" s="31"/>
      <c r="I523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4" t="str">
        <f>TEXT(Tabelle12173030297208452105[[#This Row],[Datum]],"tttt")</f>
        <v>Dienstag</v>
      </c>
      <c r="L523" s="54">
        <f>L522+1</f>
        <v>44538</v>
      </c>
      <c r="M523" s="31">
        <f t="shared" ref="M523:M528" si="487">IF(O523="F",0,D523)</f>
        <v>0</v>
      </c>
      <c r="N523" s="31">
        <f t="shared" ref="N523:N528" si="488">IF(O523="F",0,E523)</f>
        <v>0</v>
      </c>
      <c r="O523" s="31"/>
      <c r="P523" s="31">
        <f t="shared" ref="P523:P528" si="489">IF(O523="F",0,G523)</f>
        <v>0</v>
      </c>
      <c r="Q523" s="31">
        <f t="shared" ref="Q523:Q528" si="490">IF(O523="F",I523,0)</f>
        <v>0</v>
      </c>
      <c r="R523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99">
        <f t="shared" si="486"/>
        <v>0</v>
      </c>
      <c r="U523" s="99"/>
      <c r="W523" s="17" t="s">
        <v>19</v>
      </c>
      <c r="X523" s="26">
        <f>R529</f>
        <v>0</v>
      </c>
      <c r="Y523" s="37"/>
    </row>
    <row r="524" spans="1:32" x14ac:dyDescent="0.3">
      <c r="B524" s="35" t="str">
        <f>TEXT(Tabelle12173030297208452[[#This Row],[Datum]],"tttt")</f>
        <v>Mittwoch</v>
      </c>
      <c r="C524" s="54">
        <f t="shared" ref="C524:C528" si="491">C523+1</f>
        <v>44539</v>
      </c>
      <c r="D524" s="32"/>
      <c r="E524" s="32"/>
      <c r="F524" s="32"/>
      <c r="G524" s="32"/>
      <c r="H524" s="32"/>
      <c r="I524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5" t="str">
        <f>TEXT(Tabelle12173030297208452105[[#This Row],[Datum]],"tttt")</f>
        <v>Mittwoch</v>
      </c>
      <c r="L524" s="54">
        <f t="shared" ref="L524:L528" si="492">L523+1</f>
        <v>44539</v>
      </c>
      <c r="M524" s="31">
        <f t="shared" si="487"/>
        <v>0</v>
      </c>
      <c r="N524" s="31">
        <f t="shared" si="488"/>
        <v>0</v>
      </c>
      <c r="O524" s="32"/>
      <c r="P524" s="31">
        <f t="shared" si="489"/>
        <v>0</v>
      </c>
      <c r="Q524" s="31">
        <f t="shared" si="490"/>
        <v>0</v>
      </c>
      <c r="R524" s="51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99">
        <f>R524-I524</f>
        <v>0</v>
      </c>
      <c r="U524" s="99"/>
      <c r="W524" s="20" t="s">
        <v>20</v>
      </c>
      <c r="X524" s="27">
        <f>X523-X522</f>
        <v>0</v>
      </c>
      <c r="Y524" s="37"/>
      <c r="Z524" s="64">
        <f>Z514+X524</f>
        <v>0</v>
      </c>
    </row>
    <row r="525" spans="1:32" x14ac:dyDescent="0.3">
      <c r="B525" s="34" t="str">
        <f>TEXT(Tabelle12173030297208452[[#This Row],[Datum]],"tttt")</f>
        <v>Donnerstag</v>
      </c>
      <c r="C525" s="54">
        <f t="shared" si="491"/>
        <v>44540</v>
      </c>
      <c r="D525" s="31"/>
      <c r="E525" s="31"/>
      <c r="F525" s="31"/>
      <c r="G525" s="31"/>
      <c r="H525" s="31"/>
      <c r="I525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4" t="str">
        <f>TEXT(Tabelle12173030297208452105[[#This Row],[Datum]],"tttt")</f>
        <v>Donnerstag</v>
      </c>
      <c r="L525" s="54">
        <f t="shared" si="492"/>
        <v>44540</v>
      </c>
      <c r="M525" s="31">
        <f t="shared" si="487"/>
        <v>0</v>
      </c>
      <c r="N525" s="31">
        <f t="shared" si="488"/>
        <v>0</v>
      </c>
      <c r="O525" s="31"/>
      <c r="P525" s="31">
        <f t="shared" si="489"/>
        <v>0</v>
      </c>
      <c r="Q525" s="31">
        <f t="shared" si="490"/>
        <v>0</v>
      </c>
      <c r="R525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99">
        <f>R525-I525</f>
        <v>0</v>
      </c>
      <c r="U525" s="99"/>
      <c r="Y525" s="37"/>
    </row>
    <row r="526" spans="1:32" x14ac:dyDescent="0.3">
      <c r="B526" s="36" t="str">
        <f>TEXT(Tabelle12173030297208452[[#This Row],[Datum]],"tttt")</f>
        <v>Freitag</v>
      </c>
      <c r="C526" s="54">
        <f t="shared" si="491"/>
        <v>44541</v>
      </c>
      <c r="D526" s="32"/>
      <c r="E526" s="32"/>
      <c r="F526" s="32"/>
      <c r="G526" s="32"/>
      <c r="H526" s="32"/>
      <c r="I526" s="52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6" t="str">
        <f>TEXT(Tabelle12173030297208452105[[#This Row],[Datum]],"tttt")</f>
        <v>Freitag</v>
      </c>
      <c r="L526" s="54">
        <f t="shared" si="492"/>
        <v>44541</v>
      </c>
      <c r="M526" s="31">
        <f t="shared" si="487"/>
        <v>0</v>
      </c>
      <c r="N526" s="31">
        <f t="shared" si="488"/>
        <v>0</v>
      </c>
      <c r="O526" s="32"/>
      <c r="P526" s="31">
        <f t="shared" si="489"/>
        <v>0</v>
      </c>
      <c r="Q526" s="31">
        <f t="shared" si="490"/>
        <v>0</v>
      </c>
      <c r="R526" s="52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99">
        <f>R526-I526</f>
        <v>0</v>
      </c>
      <c r="U526" s="99"/>
      <c r="Y526" s="37"/>
    </row>
    <row r="527" spans="1:32" x14ac:dyDescent="0.3">
      <c r="B527" s="34" t="str">
        <f>TEXT(Tabelle12173030297208452[[#This Row],[Datum]],"tttt")</f>
        <v>Samstag</v>
      </c>
      <c r="C527" s="54">
        <f t="shared" si="491"/>
        <v>44542</v>
      </c>
      <c r="D527" s="31"/>
      <c r="E527" s="31"/>
      <c r="F527" s="31"/>
      <c r="G527" s="31"/>
      <c r="H527" s="31"/>
      <c r="I527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4" t="str">
        <f>TEXT(Tabelle12173030297208452105[[#This Row],[Datum]],"tttt")</f>
        <v>Samstag</v>
      </c>
      <c r="L527" s="54">
        <f t="shared" si="492"/>
        <v>44542</v>
      </c>
      <c r="M527" s="31">
        <f t="shared" si="487"/>
        <v>0</v>
      </c>
      <c r="N527" s="31">
        <f t="shared" si="488"/>
        <v>0</v>
      </c>
      <c r="O527" s="31"/>
      <c r="P527" s="31">
        <f t="shared" si="489"/>
        <v>0</v>
      </c>
      <c r="Q527" s="31">
        <f t="shared" si="490"/>
        <v>0</v>
      </c>
      <c r="R527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99">
        <f t="shared" ref="T527:T528" si="493">R527-I527</f>
        <v>0</v>
      </c>
      <c r="U527" s="99"/>
      <c r="Y527" s="37"/>
    </row>
    <row r="528" spans="1:32" s="40" customFormat="1" x14ac:dyDescent="0.3">
      <c r="B528" s="36" t="str">
        <f>TEXT(Tabelle12173030297208452[[#This Row],[Datum]],"tttt")</f>
        <v>Sonntag</v>
      </c>
      <c r="C528" s="55">
        <f t="shared" si="491"/>
        <v>44543</v>
      </c>
      <c r="D528" s="32"/>
      <c r="E528" s="32"/>
      <c r="F528" s="32"/>
      <c r="G528" s="32"/>
      <c r="H528" s="32"/>
      <c r="I528" s="53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6" t="str">
        <f>TEXT(Tabelle12173030297208452105[[#This Row],[Datum]],"tttt")</f>
        <v>Sonntag</v>
      </c>
      <c r="L528" s="55">
        <f t="shared" si="492"/>
        <v>44543</v>
      </c>
      <c r="M528" s="31">
        <f t="shared" si="487"/>
        <v>0</v>
      </c>
      <c r="N528" s="31">
        <f t="shared" si="488"/>
        <v>0</v>
      </c>
      <c r="O528" s="32"/>
      <c r="P528" s="31">
        <f t="shared" si="489"/>
        <v>0</v>
      </c>
      <c r="Q528" s="31">
        <f t="shared" si="490"/>
        <v>0</v>
      </c>
      <c r="R528" s="53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99">
        <f t="shared" si="493"/>
        <v>0</v>
      </c>
      <c r="U528" s="99"/>
      <c r="V528" s="42"/>
      <c r="W528" s="42"/>
      <c r="X528" s="45"/>
      <c r="Y528" s="37"/>
      <c r="AB528" s="41"/>
      <c r="AD528" s="29"/>
      <c r="AE528" s="29"/>
      <c r="AF528" s="29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7"/>
    </row>
    <row r="530" spans="1:32" x14ac:dyDescent="0.3">
      <c r="A530" s="37"/>
      <c r="B530" s="38"/>
      <c r="C530" s="37"/>
      <c r="D530" s="37"/>
      <c r="E530" s="37"/>
      <c r="F530" s="37"/>
      <c r="G530" s="37"/>
      <c r="H530" s="37"/>
      <c r="I530" s="38"/>
      <c r="J530" s="37"/>
      <c r="K530" s="38"/>
      <c r="L530" s="37"/>
      <c r="M530" s="37"/>
      <c r="N530" s="37"/>
      <c r="O530" s="37"/>
      <c r="P530" s="37"/>
      <c r="Q530" s="37"/>
      <c r="R530" s="38"/>
      <c r="S530" s="37"/>
      <c r="T530" s="100"/>
      <c r="U530" s="100"/>
      <c r="V530" s="37"/>
      <c r="W530" s="37"/>
      <c r="X530" s="39"/>
      <c r="Y530" s="37"/>
    </row>
    <row r="531" spans="1:32" x14ac:dyDescent="0.3">
      <c r="A531" s="44" t="s">
        <v>33</v>
      </c>
      <c r="B531" s="6" t="s">
        <v>2</v>
      </c>
      <c r="C531" s="7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4" t="s">
        <v>8</v>
      </c>
      <c r="I531" s="4" t="s">
        <v>9</v>
      </c>
      <c r="J531" s="44" t="s">
        <v>33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99" t="s">
        <v>11</v>
      </c>
      <c r="U531" s="99"/>
      <c r="W531" s="13" t="s">
        <v>21</v>
      </c>
      <c r="X531" s="15" t="s">
        <v>17</v>
      </c>
      <c r="Y531" s="37"/>
    </row>
    <row r="532" spans="1:32" x14ac:dyDescent="0.3">
      <c r="A532" s="44">
        <f>A522+1</f>
        <v>51</v>
      </c>
      <c r="B532" s="34" t="str">
        <f>TEXT(Tabelle1217303029720835153[[#This Row],[Datum]],"tttt")</f>
        <v>Montag</v>
      </c>
      <c r="C532" s="56">
        <f>C528+1</f>
        <v>44544</v>
      </c>
      <c r="D532" s="31"/>
      <c r="E532" s="31"/>
      <c r="F532" s="31"/>
      <c r="G532" s="31"/>
      <c r="H532" s="31"/>
      <c r="I532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4">
        <f>J522+1</f>
        <v>51</v>
      </c>
      <c r="K532" s="34" t="str">
        <f>TEXT(Tabelle1217303029720835153106[[#This Row],[Datum]],"tttt")</f>
        <v>Montag</v>
      </c>
      <c r="L532" s="56">
        <f>L528+1</f>
        <v>44544</v>
      </c>
      <c r="M532" s="31">
        <f>IF(O532="F",0,D532)</f>
        <v>0</v>
      </c>
      <c r="N532" s="31">
        <f>IF(O532="F",0,E532)</f>
        <v>0</v>
      </c>
      <c r="O532" s="32"/>
      <c r="P532" s="31">
        <f>IF(O532="F",0,G532)</f>
        <v>0</v>
      </c>
      <c r="Q532" s="31">
        <f>IF(O532="F",I532,0)</f>
        <v>0</v>
      </c>
      <c r="R532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99">
        <f t="shared" ref="T532:T533" si="496">R532-I532</f>
        <v>0</v>
      </c>
      <c r="U532" s="99"/>
      <c r="W532" s="17" t="s">
        <v>18</v>
      </c>
      <c r="X532" s="26">
        <f>I539</f>
        <v>0</v>
      </c>
      <c r="Y532" s="37"/>
    </row>
    <row r="533" spans="1:32" x14ac:dyDescent="0.3">
      <c r="B533" s="34" t="str">
        <f>TEXT(Tabelle1217303029720835153[[#This Row],[Datum]],"tttt")</f>
        <v>Dienstag</v>
      </c>
      <c r="C533" s="54">
        <f>C532+1</f>
        <v>44545</v>
      </c>
      <c r="D533" s="31"/>
      <c r="E533" s="31"/>
      <c r="F533" s="31"/>
      <c r="G533" s="31"/>
      <c r="H533" s="31"/>
      <c r="I533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4" t="str">
        <f>TEXT(Tabelle1217303029720835153106[[#This Row],[Datum]],"tttt")</f>
        <v>Dienstag</v>
      </c>
      <c r="L533" s="54">
        <f>L532+1</f>
        <v>44545</v>
      </c>
      <c r="M533" s="31">
        <f t="shared" ref="M533:M538" si="497">IF(O533="F",0,D533)</f>
        <v>0</v>
      </c>
      <c r="N533" s="31">
        <f t="shared" ref="N533:N538" si="498">IF(O533="F",0,E533)</f>
        <v>0</v>
      </c>
      <c r="O533" s="31"/>
      <c r="P533" s="31">
        <f t="shared" ref="P533:P538" si="499">IF(O533="F",0,G533)</f>
        <v>0</v>
      </c>
      <c r="Q533" s="31">
        <f t="shared" ref="Q533:Q538" si="500">IF(O533="F",I533,0)</f>
        <v>0</v>
      </c>
      <c r="R533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99">
        <f t="shared" si="496"/>
        <v>0</v>
      </c>
      <c r="U533" s="99"/>
      <c r="W533" s="17" t="s">
        <v>19</v>
      </c>
      <c r="X533" s="26">
        <f>R539</f>
        <v>0</v>
      </c>
      <c r="Y533" s="37"/>
    </row>
    <row r="534" spans="1:32" x14ac:dyDescent="0.3">
      <c r="B534" s="35" t="str">
        <f>TEXT(Tabelle1217303029720835153[[#This Row],[Datum]],"tttt")</f>
        <v>Mittwoch</v>
      </c>
      <c r="C534" s="54">
        <f t="shared" ref="C534:C538" si="501">C533+1</f>
        <v>44546</v>
      </c>
      <c r="D534" s="32"/>
      <c r="E534" s="32"/>
      <c r="F534" s="32"/>
      <c r="G534" s="32"/>
      <c r="H534" s="32"/>
      <c r="I534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5" t="str">
        <f>TEXT(Tabelle1217303029720835153106[[#This Row],[Datum]],"tttt")</f>
        <v>Mittwoch</v>
      </c>
      <c r="L534" s="54">
        <f t="shared" ref="L534:L538" si="502">L533+1</f>
        <v>44546</v>
      </c>
      <c r="M534" s="31">
        <f t="shared" si="497"/>
        <v>0</v>
      </c>
      <c r="N534" s="31">
        <f t="shared" si="498"/>
        <v>0</v>
      </c>
      <c r="O534" s="32"/>
      <c r="P534" s="31">
        <f t="shared" si="499"/>
        <v>0</v>
      </c>
      <c r="Q534" s="31">
        <f t="shared" si="500"/>
        <v>0</v>
      </c>
      <c r="R534" s="51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99">
        <f>R534-I534</f>
        <v>0</v>
      </c>
      <c r="U534" s="99"/>
      <c r="W534" s="20" t="s">
        <v>20</v>
      </c>
      <c r="X534" s="27">
        <f>X533-X532</f>
        <v>0</v>
      </c>
      <c r="Y534" s="37"/>
      <c r="Z534" s="64">
        <f>Z524+X534</f>
        <v>0</v>
      </c>
    </row>
    <row r="535" spans="1:32" x14ac:dyDescent="0.3">
      <c r="B535" s="34" t="str">
        <f>TEXT(Tabelle1217303029720835153[[#This Row],[Datum]],"tttt")</f>
        <v>Donnerstag</v>
      </c>
      <c r="C535" s="54">
        <f t="shared" si="501"/>
        <v>44547</v>
      </c>
      <c r="D535" s="31"/>
      <c r="E535" s="31"/>
      <c r="F535" s="31"/>
      <c r="G535" s="31"/>
      <c r="H535" s="31"/>
      <c r="I535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4" t="str">
        <f>TEXT(Tabelle1217303029720835153106[[#This Row],[Datum]],"tttt")</f>
        <v>Donnerstag</v>
      </c>
      <c r="L535" s="54">
        <f t="shared" si="502"/>
        <v>44547</v>
      </c>
      <c r="M535" s="31">
        <f t="shared" si="497"/>
        <v>0</v>
      </c>
      <c r="N535" s="31">
        <f t="shared" si="498"/>
        <v>0</v>
      </c>
      <c r="O535" s="31"/>
      <c r="P535" s="31">
        <f t="shared" si="499"/>
        <v>0</v>
      </c>
      <c r="Q535" s="31">
        <f t="shared" si="500"/>
        <v>0</v>
      </c>
      <c r="R535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99">
        <f>R535-I535</f>
        <v>0</v>
      </c>
      <c r="U535" s="99"/>
      <c r="Y535" s="37"/>
    </row>
    <row r="536" spans="1:32" x14ac:dyDescent="0.3">
      <c r="B536" s="36" t="str">
        <f>TEXT(Tabelle1217303029720835153[[#This Row],[Datum]],"tttt")</f>
        <v>Freitag</v>
      </c>
      <c r="C536" s="54">
        <f t="shared" si="501"/>
        <v>44548</v>
      </c>
      <c r="D536" s="32"/>
      <c r="E536" s="32"/>
      <c r="F536" s="32"/>
      <c r="G536" s="32"/>
      <c r="H536" s="32"/>
      <c r="I536" s="52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6" t="str">
        <f>TEXT(Tabelle1217303029720835153106[[#This Row],[Datum]],"tttt")</f>
        <v>Freitag</v>
      </c>
      <c r="L536" s="54">
        <f t="shared" si="502"/>
        <v>44548</v>
      </c>
      <c r="M536" s="31">
        <f t="shared" si="497"/>
        <v>0</v>
      </c>
      <c r="N536" s="31">
        <f t="shared" si="498"/>
        <v>0</v>
      </c>
      <c r="O536" s="32"/>
      <c r="P536" s="31">
        <f t="shared" si="499"/>
        <v>0</v>
      </c>
      <c r="Q536" s="31">
        <f t="shared" si="500"/>
        <v>0</v>
      </c>
      <c r="R536" s="52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99">
        <f>R536-I536</f>
        <v>0</v>
      </c>
      <c r="U536" s="99"/>
      <c r="Y536" s="37"/>
    </row>
    <row r="537" spans="1:32" x14ac:dyDescent="0.3">
      <c r="B537" s="34" t="str">
        <f>TEXT(Tabelle1217303029720835153[[#This Row],[Datum]],"tttt")</f>
        <v>Samstag</v>
      </c>
      <c r="C537" s="54">
        <f t="shared" si="501"/>
        <v>44549</v>
      </c>
      <c r="D537" s="31"/>
      <c r="E537" s="31"/>
      <c r="F537" s="31"/>
      <c r="G537" s="31"/>
      <c r="H537" s="31"/>
      <c r="I537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4" t="str">
        <f>TEXT(Tabelle1217303029720835153106[[#This Row],[Datum]],"tttt")</f>
        <v>Samstag</v>
      </c>
      <c r="L537" s="54">
        <f t="shared" si="502"/>
        <v>44549</v>
      </c>
      <c r="M537" s="31">
        <f t="shared" si="497"/>
        <v>0</v>
      </c>
      <c r="N537" s="31">
        <f t="shared" si="498"/>
        <v>0</v>
      </c>
      <c r="O537" s="31"/>
      <c r="P537" s="31">
        <f t="shared" si="499"/>
        <v>0</v>
      </c>
      <c r="Q537" s="31">
        <f t="shared" si="500"/>
        <v>0</v>
      </c>
      <c r="R537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99">
        <f t="shared" ref="T537:T538" si="503">R537-I537</f>
        <v>0</v>
      </c>
      <c r="U537" s="99"/>
      <c r="Y537" s="37"/>
    </row>
    <row r="538" spans="1:32" s="40" customFormat="1" x14ac:dyDescent="0.3">
      <c r="B538" s="36" t="str">
        <f>TEXT(Tabelle1217303029720835153[[#This Row],[Datum]],"tttt")</f>
        <v>Sonntag</v>
      </c>
      <c r="C538" s="55">
        <f t="shared" si="501"/>
        <v>44550</v>
      </c>
      <c r="D538" s="32"/>
      <c r="E538" s="32"/>
      <c r="F538" s="32"/>
      <c r="G538" s="32"/>
      <c r="H538" s="32"/>
      <c r="I538" s="53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6" t="str">
        <f>TEXT(Tabelle1217303029720835153106[[#This Row],[Datum]],"tttt")</f>
        <v>Sonntag</v>
      </c>
      <c r="L538" s="55">
        <f t="shared" si="502"/>
        <v>44550</v>
      </c>
      <c r="M538" s="31">
        <f t="shared" si="497"/>
        <v>0</v>
      </c>
      <c r="N538" s="31">
        <f t="shared" si="498"/>
        <v>0</v>
      </c>
      <c r="O538" s="32"/>
      <c r="P538" s="31">
        <f t="shared" si="499"/>
        <v>0</v>
      </c>
      <c r="Q538" s="31">
        <f t="shared" si="500"/>
        <v>0</v>
      </c>
      <c r="R538" s="53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99">
        <f t="shared" si="503"/>
        <v>0</v>
      </c>
      <c r="U538" s="99"/>
      <c r="V538" s="42"/>
      <c r="W538" s="42"/>
      <c r="X538" s="45"/>
      <c r="Y538" s="37"/>
      <c r="AB538" s="41"/>
      <c r="AD538" s="29"/>
      <c r="AE538" s="29"/>
      <c r="AF538" s="29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7"/>
    </row>
    <row r="540" spans="1:32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100"/>
      <c r="U540" s="100"/>
      <c r="V540" s="37"/>
      <c r="W540" s="37"/>
      <c r="X540" s="39"/>
      <c r="Y540" s="37"/>
    </row>
    <row r="541" spans="1:32" x14ac:dyDescent="0.3">
      <c r="A541" s="44" t="s">
        <v>33</v>
      </c>
      <c r="B541" s="6" t="s">
        <v>2</v>
      </c>
      <c r="C541" s="7" t="s">
        <v>3</v>
      </c>
      <c r="D541" s="4" t="s">
        <v>4</v>
      </c>
      <c r="E541" s="4" t="s">
        <v>5</v>
      </c>
      <c r="F541" s="4" t="s">
        <v>6</v>
      </c>
      <c r="G541" s="4" t="s">
        <v>7</v>
      </c>
      <c r="H541" s="4" t="s">
        <v>8</v>
      </c>
      <c r="I541" s="4" t="s">
        <v>9</v>
      </c>
      <c r="J541" s="44" t="s">
        <v>33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99" t="s">
        <v>11</v>
      </c>
      <c r="U541" s="99"/>
      <c r="W541" s="13" t="s">
        <v>21</v>
      </c>
      <c r="X541" s="15" t="s">
        <v>17</v>
      </c>
      <c r="Y541" s="37"/>
    </row>
    <row r="542" spans="1:32" x14ac:dyDescent="0.3">
      <c r="A542" s="44">
        <f>A532+1</f>
        <v>52</v>
      </c>
      <c r="B542" s="34" t="str">
        <f>TEXT(Tabelle1217303029720845254[[#This Row],[Datum]],"tttt")</f>
        <v>Montag</v>
      </c>
      <c r="C542" s="56">
        <f>C538+1</f>
        <v>44551</v>
      </c>
      <c r="D542" s="31"/>
      <c r="E542" s="31"/>
      <c r="F542" s="31"/>
      <c r="G542" s="31"/>
      <c r="H542" s="31"/>
      <c r="I542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4">
        <f>J532+1</f>
        <v>52</v>
      </c>
      <c r="K542" s="34" t="str">
        <f>TEXT(Tabelle1217303029720845254107[[#This Row],[Datum]],"tttt")</f>
        <v>Montag</v>
      </c>
      <c r="L542" s="56">
        <f>L538+1</f>
        <v>44551</v>
      </c>
      <c r="M542" s="31">
        <f>IF(O542="F",0,D542)</f>
        <v>0</v>
      </c>
      <c r="N542" s="31">
        <f>IF(O542="F",0,E542)</f>
        <v>0</v>
      </c>
      <c r="O542" s="32"/>
      <c r="P542" s="31">
        <f>IF(O542="F",0,G542)</f>
        <v>0</v>
      </c>
      <c r="Q542" s="31">
        <f>IF(O542="F",I542,0)</f>
        <v>0</v>
      </c>
      <c r="R542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99">
        <f t="shared" ref="T542:T543" si="506">R542-I542</f>
        <v>0</v>
      </c>
      <c r="U542" s="99"/>
      <c r="W542" s="17" t="s">
        <v>18</v>
      </c>
      <c r="X542" s="26">
        <f>I549</f>
        <v>0</v>
      </c>
      <c r="Y542" s="37"/>
    </row>
    <row r="543" spans="1:32" x14ac:dyDescent="0.3">
      <c r="B543" s="34" t="str">
        <f>TEXT(Tabelle1217303029720845254[[#This Row],[Datum]],"tttt")</f>
        <v>Dienstag</v>
      </c>
      <c r="C543" s="54">
        <f>C542+1</f>
        <v>44552</v>
      </c>
      <c r="D543" s="31"/>
      <c r="E543" s="31"/>
      <c r="F543" s="31"/>
      <c r="G543" s="31"/>
      <c r="H543" s="31"/>
      <c r="I543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4" t="str">
        <f>TEXT(Tabelle1217303029720845254107[[#This Row],[Datum]],"tttt")</f>
        <v>Dienstag</v>
      </c>
      <c r="L543" s="54">
        <f>L542+1</f>
        <v>44552</v>
      </c>
      <c r="M543" s="31">
        <f t="shared" ref="M543:M548" si="507">IF(O543="F",0,D543)</f>
        <v>0</v>
      </c>
      <c r="N543" s="31">
        <f t="shared" ref="N543:N548" si="508">IF(O543="F",0,E543)</f>
        <v>0</v>
      </c>
      <c r="O543" s="31"/>
      <c r="P543" s="31">
        <f t="shared" ref="P543:P548" si="509">IF(O543="F",0,G543)</f>
        <v>0</v>
      </c>
      <c r="Q543" s="31">
        <f t="shared" ref="Q543:Q548" si="510">IF(O543="F",I543,0)</f>
        <v>0</v>
      </c>
      <c r="R543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99">
        <f t="shared" si="506"/>
        <v>0</v>
      </c>
      <c r="U543" s="99"/>
      <c r="W543" s="17" t="s">
        <v>19</v>
      </c>
      <c r="X543" s="26">
        <f>R549</f>
        <v>0</v>
      </c>
      <c r="Y543" s="37"/>
    </row>
    <row r="544" spans="1:32" x14ac:dyDescent="0.3">
      <c r="B544" s="35" t="str">
        <f>TEXT(Tabelle1217303029720845254[[#This Row],[Datum]],"tttt")</f>
        <v>Mittwoch</v>
      </c>
      <c r="C544" s="54">
        <f t="shared" ref="C544:C548" si="511">C543+1</f>
        <v>44553</v>
      </c>
      <c r="D544" s="32"/>
      <c r="E544" s="32"/>
      <c r="F544" s="32"/>
      <c r="G544" s="32"/>
      <c r="H544" s="32"/>
      <c r="I544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5" t="str">
        <f>TEXT(Tabelle1217303029720845254107[[#This Row],[Datum]],"tttt")</f>
        <v>Mittwoch</v>
      </c>
      <c r="L544" s="54">
        <f t="shared" ref="L544:L548" si="512">L543+1</f>
        <v>44553</v>
      </c>
      <c r="M544" s="31">
        <f t="shared" si="507"/>
        <v>0</v>
      </c>
      <c r="N544" s="31">
        <f t="shared" si="508"/>
        <v>0</v>
      </c>
      <c r="O544" s="32"/>
      <c r="P544" s="31">
        <f t="shared" si="509"/>
        <v>0</v>
      </c>
      <c r="Q544" s="31">
        <f t="shared" si="510"/>
        <v>0</v>
      </c>
      <c r="R544" s="51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99">
        <f>R544-I544</f>
        <v>0</v>
      </c>
      <c r="U544" s="99"/>
      <c r="W544" s="20" t="s">
        <v>20</v>
      </c>
      <c r="X544" s="27">
        <f>X543-X542</f>
        <v>0</v>
      </c>
      <c r="Y544" s="37"/>
      <c r="Z544" s="64">
        <f>Z534+X544</f>
        <v>0</v>
      </c>
    </row>
    <row r="545" spans="1:26" x14ac:dyDescent="0.3">
      <c r="B545" s="34" t="str">
        <f>TEXT(Tabelle1217303029720845254[[#This Row],[Datum]],"tttt")</f>
        <v>Donnerstag</v>
      </c>
      <c r="C545" s="54">
        <f t="shared" si="511"/>
        <v>44554</v>
      </c>
      <c r="D545" s="31"/>
      <c r="E545" s="31"/>
      <c r="F545" s="31"/>
      <c r="G545" s="31"/>
      <c r="H545" s="31"/>
      <c r="I545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4" t="str">
        <f>TEXT(Tabelle1217303029720845254107[[#This Row],[Datum]],"tttt")</f>
        <v>Donnerstag</v>
      </c>
      <c r="L545" s="54">
        <f t="shared" si="512"/>
        <v>44554</v>
      </c>
      <c r="M545" s="31">
        <f t="shared" si="507"/>
        <v>0</v>
      </c>
      <c r="N545" s="31">
        <f t="shared" si="508"/>
        <v>0</v>
      </c>
      <c r="O545" s="31"/>
      <c r="P545" s="31">
        <f t="shared" si="509"/>
        <v>0</v>
      </c>
      <c r="Q545" s="31">
        <f t="shared" si="510"/>
        <v>0</v>
      </c>
      <c r="R545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99">
        <f>R545-I545</f>
        <v>0</v>
      </c>
      <c r="U545" s="99"/>
      <c r="Y545" s="37"/>
    </row>
    <row r="546" spans="1:26" x14ac:dyDescent="0.3">
      <c r="B546" s="36" t="str">
        <f>TEXT(Tabelle1217303029720845254[[#This Row],[Datum]],"tttt")</f>
        <v>Freitag</v>
      </c>
      <c r="C546" s="54">
        <f t="shared" si="511"/>
        <v>44555</v>
      </c>
      <c r="D546" s="32"/>
      <c r="E546" s="32"/>
      <c r="F546" s="32"/>
      <c r="G546" s="32"/>
      <c r="H546" s="32"/>
      <c r="I546" s="52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6" t="str">
        <f>TEXT(Tabelle1217303029720845254107[[#This Row],[Datum]],"tttt")</f>
        <v>Freitag</v>
      </c>
      <c r="L546" s="54">
        <f t="shared" si="512"/>
        <v>44555</v>
      </c>
      <c r="M546" s="31">
        <f t="shared" si="507"/>
        <v>0</v>
      </c>
      <c r="N546" s="31">
        <f t="shared" si="508"/>
        <v>0</v>
      </c>
      <c r="O546" s="32"/>
      <c r="P546" s="31">
        <f t="shared" si="509"/>
        <v>0</v>
      </c>
      <c r="Q546" s="31">
        <f t="shared" si="510"/>
        <v>0</v>
      </c>
      <c r="R546" s="52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99">
        <f>R546-I546</f>
        <v>0</v>
      </c>
      <c r="U546" s="99"/>
      <c r="Y546" s="37"/>
    </row>
    <row r="547" spans="1:26" x14ac:dyDescent="0.3">
      <c r="B547" s="34" t="str">
        <f>TEXT(Tabelle1217303029720845254[[#This Row],[Datum]],"tttt")</f>
        <v>Samstag</v>
      </c>
      <c r="C547" s="54">
        <f t="shared" si="511"/>
        <v>44556</v>
      </c>
      <c r="D547" s="31"/>
      <c r="E547" s="31"/>
      <c r="F547" s="31"/>
      <c r="G547" s="31"/>
      <c r="H547" s="31"/>
      <c r="I547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4" t="str">
        <f>TEXT(Tabelle1217303029720845254107[[#This Row],[Datum]],"tttt")</f>
        <v>Samstag</v>
      </c>
      <c r="L547" s="54">
        <f t="shared" si="512"/>
        <v>44556</v>
      </c>
      <c r="M547" s="31">
        <f t="shared" si="507"/>
        <v>0</v>
      </c>
      <c r="N547" s="31">
        <f t="shared" si="508"/>
        <v>0</v>
      </c>
      <c r="O547" s="31"/>
      <c r="P547" s="31">
        <f t="shared" si="509"/>
        <v>0</v>
      </c>
      <c r="Q547" s="31">
        <f t="shared" si="510"/>
        <v>0</v>
      </c>
      <c r="R547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99">
        <f t="shared" ref="T547:T548" si="513">R547-I547</f>
        <v>0</v>
      </c>
      <c r="U547" s="99"/>
      <c r="Y547" s="37"/>
    </row>
    <row r="548" spans="1:26" x14ac:dyDescent="0.3">
      <c r="B548" s="36" t="str">
        <f>TEXT(Tabelle1217303029720845254[[#This Row],[Datum]],"tttt")</f>
        <v>Sonntag</v>
      </c>
      <c r="C548" s="55">
        <f t="shared" si="511"/>
        <v>44557</v>
      </c>
      <c r="D548" s="32"/>
      <c r="E548" s="32"/>
      <c r="F548" s="32"/>
      <c r="G548" s="32"/>
      <c r="H548" s="32"/>
      <c r="I548" s="53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6" t="str">
        <f>TEXT(Tabelle1217303029720845254107[[#This Row],[Datum]],"tttt")</f>
        <v>Sonntag</v>
      </c>
      <c r="L548" s="55">
        <f t="shared" si="512"/>
        <v>44557</v>
      </c>
      <c r="M548" s="31">
        <f t="shared" si="507"/>
        <v>0</v>
      </c>
      <c r="N548" s="31">
        <f t="shared" si="508"/>
        <v>0</v>
      </c>
      <c r="O548" s="32"/>
      <c r="P548" s="31">
        <f t="shared" si="509"/>
        <v>0</v>
      </c>
      <c r="Q548" s="31">
        <f t="shared" si="510"/>
        <v>0</v>
      </c>
      <c r="R548" s="53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99">
        <f t="shared" si="513"/>
        <v>0</v>
      </c>
      <c r="U548" s="99"/>
      <c r="Y548" s="37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100"/>
      <c r="U550" s="100"/>
      <c r="V550" s="37"/>
      <c r="W550" s="37"/>
      <c r="X550" s="39"/>
      <c r="Y550" s="37"/>
    </row>
    <row r="551" spans="1:26" x14ac:dyDescent="0.3">
      <c r="A551" s="44" t="s">
        <v>33</v>
      </c>
      <c r="B551" s="6" t="s">
        <v>2</v>
      </c>
      <c r="C551" s="7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4" t="s">
        <v>33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99" t="s">
        <v>11</v>
      </c>
      <c r="U551" s="99"/>
      <c r="W551" s="13" t="s">
        <v>21</v>
      </c>
      <c r="X551" s="15" t="s">
        <v>17</v>
      </c>
      <c r="Y551" s="37"/>
    </row>
    <row r="552" spans="1:26" x14ac:dyDescent="0.3">
      <c r="A552" s="44">
        <v>1</v>
      </c>
      <c r="B552" s="34" t="str">
        <f>TEXT(Tabelle121730302622107109117209[[#This Row],[Datum]],"tttt")</f>
        <v>Montag</v>
      </c>
      <c r="C552" s="56">
        <f>IF(C548=DATE($B$1,12,31),"---",C548+1)</f>
        <v>44558</v>
      </c>
      <c r="D552" s="31"/>
      <c r="E552" s="31"/>
      <c r="F552" s="31"/>
      <c r="G552" s="31"/>
      <c r="H552" s="31"/>
      <c r="I552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4">
        <v>1</v>
      </c>
      <c r="K552" s="34" t="str">
        <f>TEXT(Tabelle12173030262210710911720956[[#This Row],[Datum]],"tttt")</f>
        <v>Montag</v>
      </c>
      <c r="L552" s="56">
        <f>IF(L548=DATE($B$1,12,31),"---",L548+1)</f>
        <v>44558</v>
      </c>
      <c r="M552" s="31">
        <f>IF(Tabelle12173030262210710911720956[[#This Row],[Datum]]="---","---",IF(O552="F",0,D552))</f>
        <v>0</v>
      </c>
      <c r="N552" s="31">
        <f>IF(Tabelle12173030262210710911720956[[#This Row],[Datum]]="---","---",IF(O552="F",0,E552))</f>
        <v>0</v>
      </c>
      <c r="O552" s="32"/>
      <c r="P552" s="31">
        <f>IF(Tabelle12173030262210710911720956[[#This Row],[Datum]]="---","---",IF(O552="F",0,G552))</f>
        <v>0</v>
      </c>
      <c r="Q552" s="31">
        <f>IF(Tabelle12173030262210710911720956[[#This Row],[Datum]]="---","---",IF(O552="F",0,H552))</f>
        <v>0</v>
      </c>
      <c r="R552" s="49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99">
        <f>IF(L552="---","__:__",R552-I552)</f>
        <v>0</v>
      </c>
      <c r="U552" s="99"/>
      <c r="W552" s="17" t="s">
        <v>18</v>
      </c>
      <c r="X552" s="26">
        <f>I559</f>
        <v>0</v>
      </c>
      <c r="Y552" s="37"/>
    </row>
    <row r="553" spans="1:26" x14ac:dyDescent="0.3">
      <c r="B553" s="34" t="str">
        <f>TEXT(Tabelle121730302622107109117209[[#This Row],[Datum]],"tttt")</f>
        <v>Dienstag</v>
      </c>
      <c r="C553" s="54">
        <f t="shared" ref="C553:C558" si="516">IF(C552="---","---",IF(C552=DATE($B$1,12,31),"---",C552+1))</f>
        <v>44559</v>
      </c>
      <c r="D553" s="31"/>
      <c r="E553" s="31"/>
      <c r="F553" s="31"/>
      <c r="G553" s="31"/>
      <c r="H553" s="31"/>
      <c r="I553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4" t="str">
        <f>TEXT(Tabelle12173030262210710911720956[[#This Row],[Datum]],"tttt")</f>
        <v>Dienstag</v>
      </c>
      <c r="L553" s="54">
        <f t="shared" ref="L553:L558" si="517">IF(L552="---","---",IF(L552=DATE($B$1,12,31),"---",L552+1))</f>
        <v>44559</v>
      </c>
      <c r="M553" s="31">
        <f>IF(Tabelle12173030262210710911720956[[#This Row],[Datum]]="---","---",IF(O553="F",0,D553))</f>
        <v>0</v>
      </c>
      <c r="N553" s="31">
        <f>IF(Tabelle12173030262210710911720956[[#This Row],[Datum]]="---","---",IF(O553="F",0,E553))</f>
        <v>0</v>
      </c>
      <c r="O553" s="31"/>
      <c r="P553" s="31">
        <f>IF(Tabelle12173030262210710911720956[[#This Row],[Datum]]="---","---",IF(O553="F",0,G553))</f>
        <v>0</v>
      </c>
      <c r="Q553" s="31">
        <f>IF(Tabelle12173030262210710911720956[[#This Row],[Datum]]="---","---",IF(O553="F",0,H553))</f>
        <v>0</v>
      </c>
      <c r="R553" s="50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99">
        <f t="shared" ref="T553:T558" si="518">IF(L553="---","__:__",R553-I553)</f>
        <v>0</v>
      </c>
      <c r="U553" s="99"/>
      <c r="W553" s="17" t="s">
        <v>19</v>
      </c>
      <c r="X553" s="26">
        <f>R559</f>
        <v>0</v>
      </c>
      <c r="Y553" s="37"/>
    </row>
    <row r="554" spans="1:26" x14ac:dyDescent="0.3">
      <c r="B554" s="35" t="str">
        <f>TEXT(Tabelle121730302622107109117209[[#This Row],[Datum]],"tttt")</f>
        <v>Mittwoch</v>
      </c>
      <c r="C554" s="54">
        <f t="shared" si="516"/>
        <v>44560</v>
      </c>
      <c r="D554" s="32"/>
      <c r="E554" s="32"/>
      <c r="F554" s="32"/>
      <c r="G554" s="32"/>
      <c r="H554" s="32"/>
      <c r="I554" s="51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5" t="str">
        <f>TEXT(Tabelle12173030262210710911720956[[#This Row],[Datum]],"tttt")</f>
        <v>Mittwoch</v>
      </c>
      <c r="L554" s="54">
        <f t="shared" si="517"/>
        <v>44560</v>
      </c>
      <c r="M554" s="31">
        <f>IF(Tabelle12173030262210710911720956[[#This Row],[Datum]]="---","---",IF(O554="F",0,D554))</f>
        <v>0</v>
      </c>
      <c r="N554" s="31">
        <f>IF(Tabelle12173030262210710911720956[[#This Row],[Datum]]="---","---",IF(O554="F",0,E554))</f>
        <v>0</v>
      </c>
      <c r="O554" s="32"/>
      <c r="P554" s="31">
        <f>IF(Tabelle12173030262210710911720956[[#This Row],[Datum]]="---","---",IF(O554="F",0,G554))</f>
        <v>0</v>
      </c>
      <c r="Q554" s="31">
        <f>IF(Tabelle12173030262210710911720956[[#This Row],[Datum]]="---","---",IF(O554="F",0,H554))</f>
        <v>0</v>
      </c>
      <c r="R554" s="51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99">
        <f t="shared" si="518"/>
        <v>0</v>
      </c>
      <c r="U554" s="99"/>
      <c r="W554" s="20" t="s">
        <v>20</v>
      </c>
      <c r="X554" s="27">
        <f>X553-X552</f>
        <v>0</v>
      </c>
      <c r="Y554" s="37"/>
      <c r="Z554" s="64">
        <f>Z544+X554</f>
        <v>0</v>
      </c>
    </row>
    <row r="555" spans="1:26" x14ac:dyDescent="0.3">
      <c r="B555" s="34" t="str">
        <f>TEXT(Tabelle121730302622107109117209[[#This Row],[Datum]],"tttt")</f>
        <v>---</v>
      </c>
      <c r="C555" s="54" t="str">
        <f t="shared" si="516"/>
        <v>---</v>
      </c>
      <c r="D555" s="31"/>
      <c r="E555" s="31"/>
      <c r="F555" s="31"/>
      <c r="G555" s="31"/>
      <c r="H555" s="31"/>
      <c r="I555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4" t="str">
        <f>TEXT(Tabelle12173030262210710911720956[[#This Row],[Datum]],"tttt")</f>
        <v>---</v>
      </c>
      <c r="L555" s="54" t="str">
        <f t="shared" si="517"/>
        <v>---</v>
      </c>
      <c r="M555" s="31" t="str">
        <f>IF(Tabelle12173030262210710911720956[[#This Row],[Datum]]="---","---",IF(O555="F",0,D555))</f>
        <v>---</v>
      </c>
      <c r="N555" s="31" t="str">
        <f>IF(Tabelle12173030262210710911720956[[#This Row],[Datum]]="---","---",IF(O555="F",0,E555))</f>
        <v>---</v>
      </c>
      <c r="O555" s="31"/>
      <c r="P555" s="31" t="str">
        <f>IF(Tabelle12173030262210710911720956[[#This Row],[Datum]]="---","---",IF(O555="F",0,G555))</f>
        <v>---</v>
      </c>
      <c r="Q555" s="31" t="str">
        <f>IF(Tabelle12173030262210710911720956[[#This Row],[Datum]]="---","---",IF(O555="F",0,H555))</f>
        <v>---</v>
      </c>
      <c r="R555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99" t="str">
        <f t="shared" si="518"/>
        <v>__:__</v>
      </c>
      <c r="U555" s="99"/>
      <c r="Y555" s="37"/>
    </row>
    <row r="556" spans="1:26" x14ac:dyDescent="0.3">
      <c r="B556" s="36" t="str">
        <f>TEXT(Tabelle121730302622107109117209[[#This Row],[Datum]],"tttt")</f>
        <v>---</v>
      </c>
      <c r="C556" s="54" t="str">
        <f t="shared" si="516"/>
        <v>---</v>
      </c>
      <c r="D556" s="32"/>
      <c r="E556" s="32"/>
      <c r="F556" s="32"/>
      <c r="G556" s="32"/>
      <c r="H556" s="32"/>
      <c r="I556" s="52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6" t="str">
        <f>TEXT(Tabelle12173030262210710911720956[[#This Row],[Datum]],"tttt")</f>
        <v>---</v>
      </c>
      <c r="L556" s="54" t="str">
        <f t="shared" si="517"/>
        <v>---</v>
      </c>
      <c r="M556" s="31" t="str">
        <f>IF(Tabelle12173030262210710911720956[[#This Row],[Datum]]="---","---",IF(O556="F",0,D556))</f>
        <v>---</v>
      </c>
      <c r="N556" s="31" t="str">
        <f>IF(Tabelle12173030262210710911720956[[#This Row],[Datum]]="---","---",IF(O556="F",0,E556))</f>
        <v>---</v>
      </c>
      <c r="O556" s="32"/>
      <c r="P556" s="31" t="str">
        <f>IF(Tabelle12173030262210710911720956[[#This Row],[Datum]]="---","---",IF(O556="F",0,G556))</f>
        <v>---</v>
      </c>
      <c r="Q556" s="31" t="str">
        <f>IF(Tabelle12173030262210710911720956[[#This Row],[Datum]]="---","---",IF(O556="F",0,H556))</f>
        <v>---</v>
      </c>
      <c r="R556" s="52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99" t="str">
        <f t="shared" si="518"/>
        <v>__:__</v>
      </c>
      <c r="U556" s="99"/>
      <c r="Y556" s="37"/>
    </row>
    <row r="557" spans="1:26" x14ac:dyDescent="0.3">
      <c r="B557" s="34" t="str">
        <f>TEXT(Tabelle121730302622107109117209[[#This Row],[Datum]],"tttt")</f>
        <v>---</v>
      </c>
      <c r="C557" s="54" t="str">
        <f t="shared" si="516"/>
        <v>---</v>
      </c>
      <c r="D557" s="31"/>
      <c r="E557" s="31"/>
      <c r="F557" s="31"/>
      <c r="G557" s="31"/>
      <c r="H557" s="31"/>
      <c r="I557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4" t="str">
        <f>TEXT(Tabelle12173030262210710911720956[[#This Row],[Datum]],"tttt")</f>
        <v>---</v>
      </c>
      <c r="L557" s="54" t="str">
        <f t="shared" si="517"/>
        <v>---</v>
      </c>
      <c r="M557" s="31" t="str">
        <f>IF(Tabelle12173030262210710911720956[[#This Row],[Datum]]="---","---",IF(O557="F",0,D557))</f>
        <v>---</v>
      </c>
      <c r="N557" s="31" t="str">
        <f>IF(Tabelle12173030262210710911720956[[#This Row],[Datum]]="---","---",IF(O557="F",0,E557))</f>
        <v>---</v>
      </c>
      <c r="O557" s="31"/>
      <c r="P557" s="31" t="str">
        <f>IF(Tabelle12173030262210710911720956[[#This Row],[Datum]]="---","---",IF(O557="F",0,G557))</f>
        <v>---</v>
      </c>
      <c r="Q557" s="31" t="str">
        <f>IF(Tabelle12173030262210710911720956[[#This Row],[Datum]]="---","---",IF(O557="F",0,H557))</f>
        <v>---</v>
      </c>
      <c r="R557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99" t="str">
        <f t="shared" si="518"/>
        <v>__:__</v>
      </c>
      <c r="U557" s="99"/>
      <c r="Y557" s="37"/>
    </row>
    <row r="558" spans="1:26" x14ac:dyDescent="0.3">
      <c r="B558" s="36" t="str">
        <f>TEXT(Tabelle121730302622107109117209[[#This Row],[Datum]],"tttt")</f>
        <v>---</v>
      </c>
      <c r="C558" s="55" t="str">
        <f t="shared" si="516"/>
        <v>---</v>
      </c>
      <c r="D558" s="32"/>
      <c r="E558" s="32"/>
      <c r="F558" s="32"/>
      <c r="G558" s="32"/>
      <c r="H558" s="32"/>
      <c r="I558" s="53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6" t="str">
        <f>TEXT(Tabelle12173030262210710911720956[[#This Row],[Datum]],"tttt")</f>
        <v>---</v>
      </c>
      <c r="L558" s="55" t="str">
        <f t="shared" si="517"/>
        <v>---</v>
      </c>
      <c r="M558" s="31" t="str">
        <f>IF(Tabelle12173030262210710911720956[[#This Row],[Datum]]="---","---",IF(O558="F",0,D558))</f>
        <v>---</v>
      </c>
      <c r="N558" s="31" t="str">
        <f>IF(Tabelle12173030262210710911720956[[#This Row],[Datum]]="---","---",IF(O558="F",0,E558))</f>
        <v>---</v>
      </c>
      <c r="O558" s="32"/>
      <c r="P558" s="31" t="str">
        <f>IF(Tabelle12173030262210710911720956[[#This Row],[Datum]]="---","---",IF(O558="F",0,G558))</f>
        <v>---</v>
      </c>
      <c r="Q558" s="31" t="str">
        <f>IF(Tabelle12173030262210710911720956[[#This Row],[Datum]]="---","---",IF(O558="F",0,H558))</f>
        <v>---</v>
      </c>
      <c r="R558" s="53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99" t="str">
        <f t="shared" si="518"/>
        <v>__:__</v>
      </c>
      <c r="U558" s="99"/>
      <c r="Y558" s="37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7"/>
    </row>
    <row r="560" spans="1:26" x14ac:dyDescent="0.3">
      <c r="B560" s="43"/>
      <c r="C560" s="40"/>
      <c r="D560" s="40"/>
      <c r="E560" s="40"/>
      <c r="F560" s="40"/>
      <c r="G560" s="40"/>
      <c r="H560" s="40"/>
      <c r="I560" s="40"/>
      <c r="K560" s="40"/>
      <c r="L560" s="40"/>
      <c r="M560" s="40"/>
      <c r="N560" s="40"/>
      <c r="O560" s="40"/>
      <c r="P560" s="40"/>
      <c r="Q560" s="40"/>
      <c r="R560" s="40"/>
      <c r="T560" s="40"/>
      <c r="U560" s="40"/>
    </row>
    <row r="561" spans="2:21" x14ac:dyDescent="0.3">
      <c r="B561" s="43"/>
      <c r="C561" s="40"/>
      <c r="D561" s="40"/>
      <c r="E561" s="40"/>
      <c r="F561" s="40"/>
      <c r="G561" s="40"/>
      <c r="H561" s="40"/>
      <c r="I561" s="40"/>
      <c r="K561" s="40"/>
      <c r="L561" s="40"/>
      <c r="M561" s="40"/>
      <c r="N561" s="40"/>
      <c r="O561" s="40"/>
      <c r="P561" s="40"/>
      <c r="Q561" s="40"/>
      <c r="R561" s="40"/>
      <c r="T561" s="40"/>
      <c r="U561" s="40"/>
    </row>
    <row r="562" spans="2:21" x14ac:dyDescent="0.3">
      <c r="B562" s="43"/>
      <c r="C562" s="40"/>
      <c r="D562" s="40"/>
      <c r="E562" s="40"/>
      <c r="F562" s="40"/>
      <c r="G562" s="40"/>
      <c r="H562" s="40"/>
      <c r="I562" s="40"/>
      <c r="K562" s="40"/>
      <c r="L562" s="40"/>
      <c r="M562" s="40"/>
      <c r="N562" s="40"/>
      <c r="O562" s="40"/>
      <c r="P562" s="40"/>
      <c r="Q562" s="40"/>
      <c r="R562" s="40"/>
      <c r="T562" s="40"/>
      <c r="U562" s="40"/>
    </row>
  </sheetData>
  <sheetProtection sheet="1" objects="1" scenarios="1"/>
  <protectedRanges>
    <protectedRange sqref="B1" name="Bereich60"/>
    <protectedRange sqref="M18:Q24" name="Bereich111"/>
    <protectedRange sqref="M6:Q12" name="Bereich109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D542:H548" name="Bereich53"/>
    <protectedRange sqref="D522:H528" name="Bereich51"/>
    <protectedRange sqref="D502:H508" name="Bereich49"/>
    <protectedRange sqref="D482:H488" name="Bereich47"/>
    <protectedRange sqref="D462:H468" name="Bereich45"/>
    <protectedRange sqref="D442:H448" name="Bereich43"/>
    <protectedRange sqref="D422:H428" name="Bereich41"/>
    <protectedRange sqref="D402:H408" name="Bereich39"/>
    <protectedRange sqref="D382:H388" name="Bereich37"/>
    <protectedRange sqref="D362:H368" name="Bereich35"/>
    <protectedRange sqref="D342:H348" name="Bereich33"/>
    <protectedRange sqref="D322:H328" name="Bereich31"/>
    <protectedRange sqref="D302:H308" name="Bereich29"/>
    <protectedRange sqref="D282:H288" name="Bereich27"/>
    <protectedRange sqref="D262:H268" name="Bereich25"/>
    <protectedRange sqref="D242:H248" name="Bereich23"/>
    <protectedRange sqref="D222:H228" name="Bereich21"/>
    <protectedRange sqref="D202:H208" name="Bereich19"/>
    <protectedRange sqref="D182:H188" name="Bereich17"/>
    <protectedRange sqref="D162:H168" name="Bereich15"/>
    <protectedRange sqref="D152:H158" name="Bereich13"/>
    <protectedRange sqref="D132:H138" name="Bereich11"/>
    <protectedRange sqref="D112:H118" name="Bereich9"/>
    <protectedRange sqref="D92:H98" name="Bereich7"/>
    <protectedRange sqref="D72:H78" name="Bereich5"/>
    <protectedRange sqref="D52:H58" name="Bereich3"/>
    <protectedRange sqref="D32:H38" name="Bereich1"/>
    <protectedRange sqref="D42:H48" name="Bereich2"/>
    <protectedRange sqref="D62:H68" name="Bereich4"/>
    <protectedRange sqref="D82:H88" name="Bereich6"/>
    <protectedRange sqref="D102:H108" name="Bereich8"/>
    <protectedRange sqref="D122:H128" name="Bereich10"/>
    <protectedRange sqref="D142:H148" name="Bereich12"/>
    <protectedRange sqref="D152:H158" name="Bereich14"/>
    <protectedRange sqref="D172:H178" name="Bereich16"/>
    <protectedRange sqref="D192:H198" name="Bereich18"/>
    <protectedRange sqref="D212:H218" name="Bereich20"/>
    <protectedRange sqref="D232:H238" name="Bereich22"/>
    <protectedRange sqref="D252:H258" name="Bereich24"/>
    <protectedRange sqref="D272:H278" name="Bereich26"/>
    <protectedRange sqref="D292:H298" name="Bereich28"/>
    <protectedRange sqref="D312:H318" name="Bereich30"/>
    <protectedRange sqref="D332:H338" name="Bereich32"/>
    <protectedRange sqref="D352:H358" name="Bereich34"/>
    <protectedRange sqref="D372:H378" name="Bereich36"/>
    <protectedRange sqref="D392:H398" name="Bereich38"/>
    <protectedRange sqref="D412:H418" name="Bereich40"/>
    <protectedRange sqref="D432:H438" name="Bereich42"/>
    <protectedRange sqref="D452:H458" name="Bereich44"/>
    <protectedRange sqref="D472:H478" name="Bereich46"/>
    <protectedRange sqref="D492:H498" name="Bereich48"/>
    <protectedRange sqref="D512:H518" name="Bereich50"/>
    <protectedRange sqref="D532:H538" name="Bereich52"/>
    <protectedRange sqref="D552:H558" name="Bereich54"/>
    <protectedRange sqref="D6:H12" name="Bereich108"/>
    <protectedRange sqref="D18:H24" name="Bereich110"/>
    <protectedRange sqref="T6:U6" name="Bereich61"/>
  </protectedRanges>
  <mergeCells count="485"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5:U5"/>
    <mergeCell ref="T6:U6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</mergeCells>
  <phoneticPr fontId="4" type="noConversion"/>
  <conditionalFormatting sqref="B32:B560">
    <cfRule type="containsText" dxfId="500" priority="1568" operator="containsText" text="Samstag">
      <formula>NOT(ISERROR(SEARCH("Samstag",B32)))</formula>
    </cfRule>
    <cfRule type="containsText" dxfId="499" priority="1569" operator="containsText" text="Sonntag">
      <formula>NOT(ISERROR(SEARCH("Sonntag",B32)))</formula>
    </cfRule>
  </conditionalFormatting>
  <conditionalFormatting sqref="C32:C562">
    <cfRule type="expression" dxfId="498" priority="1580">
      <formula>VLOOKUP(C32,$AB$22:$AB$23,1,0)</formula>
    </cfRule>
    <cfRule type="expression" dxfId="497" priority="1581">
      <formula>VLOOKUP(C32,$AB$2:$AB$17,1,0)</formula>
    </cfRule>
  </conditionalFormatting>
  <conditionalFormatting sqref="K32:K38">
    <cfRule type="containsText" dxfId="496" priority="8" operator="containsText" text="Samstag">
      <formula>NOT(ISERROR(SEARCH("Samstag",K32)))</formula>
    </cfRule>
    <cfRule type="containsText" dxfId="495" priority="9" operator="containsText" text="Sonntag">
      <formula>NOT(ISERROR(SEARCH("Sonntag",K32)))</formula>
    </cfRule>
  </conditionalFormatting>
  <conditionalFormatting sqref="K39:K551 K559:K560">
    <cfRule type="containsText" dxfId="494" priority="1049" operator="containsText" text="Samstag">
      <formula>NOT(ISERROR(SEARCH("Samstag",K39)))</formula>
    </cfRule>
    <cfRule type="containsText" dxfId="493" priority="1050" operator="containsText" text="Sonntag">
      <formula>NOT(ISERROR(SEARCH("Sonntag",K39)))</formula>
    </cfRule>
  </conditionalFormatting>
  <conditionalFormatting sqref="K552:K558">
    <cfRule type="containsText" dxfId="492" priority="2" operator="containsText" text="Samstag">
      <formula>NOT(ISERROR(SEARCH("Samstag",K552)))</formula>
    </cfRule>
    <cfRule type="containsText" dxfId="491" priority="3" operator="containsText" text="Sonntag">
      <formula>NOT(ISERROR(SEARCH("Sonntag",K552)))</formula>
    </cfRule>
  </conditionalFormatting>
  <conditionalFormatting sqref="L32:L562">
    <cfRule type="expression" dxfId="490" priority="4">
      <formula>VLOOKUP(L32,$AB$22:$AB$23,1,0)</formula>
    </cfRule>
    <cfRule type="expression" dxfId="489" priority="5">
      <formula>VLOOKUP(L32,$AB$2:$AB$17,1,0)</formula>
    </cfRule>
  </conditionalFormatting>
  <conditionalFormatting sqref="O1:O1048576">
    <cfRule type="containsText" dxfId="488" priority="527" operator="containsText" text="F">
      <formula>NOT(ISERROR(SEARCH("F",O1)))</formula>
    </cfRule>
  </conditionalFormatting>
  <conditionalFormatting sqref="O32:O38">
    <cfRule type="containsText" dxfId="487" priority="3141" operator="containsText" text="S">
      <formula>NOT(ISERROR(SEARCH("S",O32)))</formula>
    </cfRule>
    <cfRule type="containsText" dxfId="486" priority="3142" operator="containsText" text="UÜ">
      <formula>NOT(ISERROR(SEARCH("UÜ",O32)))</formula>
    </cfRule>
    <cfRule type="containsText" dxfId="485" priority="3143" operator="containsText" text="Ü">
      <formula>NOT(ISERROR(SEARCH("Ü",O32)))</formula>
    </cfRule>
    <cfRule type="containsText" dxfId="484" priority="3144" operator="containsText" text="U">
      <formula>NOT(ISERROR(SEARCH("U",O32)))</formula>
    </cfRule>
    <cfRule type="containsText" dxfId="483" priority="3145" operator="containsText" text="K">
      <formula>NOT(ISERROR(SEARCH("K",O32)))</formula>
    </cfRule>
  </conditionalFormatting>
  <conditionalFormatting sqref="O42:O46">
    <cfRule type="containsText" dxfId="482" priority="522" operator="containsText" text="S">
      <formula>NOT(ISERROR(SEARCH("S",O42)))</formula>
    </cfRule>
    <cfRule type="containsText" dxfId="481" priority="523" operator="containsText" text="UÜ">
      <formula>NOT(ISERROR(SEARCH("UÜ",O42)))</formula>
    </cfRule>
    <cfRule type="containsText" dxfId="480" priority="524" operator="containsText" text="Ü">
      <formula>NOT(ISERROR(SEARCH("Ü",O42)))</formula>
    </cfRule>
    <cfRule type="containsText" dxfId="479" priority="525" operator="containsText" text="U">
      <formula>NOT(ISERROR(SEARCH("U",O42)))</formula>
    </cfRule>
    <cfRule type="containsText" dxfId="478" priority="526" operator="containsText" text="K">
      <formula>NOT(ISERROR(SEARCH("K",O42)))</formula>
    </cfRule>
  </conditionalFormatting>
  <conditionalFormatting sqref="O47:O48">
    <cfRule type="containsText" dxfId="477" priority="783" operator="containsText" text="S">
      <formula>NOT(ISERROR(SEARCH("S",O47)))</formula>
    </cfRule>
    <cfRule type="containsText" dxfId="476" priority="784" operator="containsText" text="UÜ">
      <formula>NOT(ISERROR(SEARCH("UÜ",O47)))</formula>
    </cfRule>
    <cfRule type="containsText" dxfId="475" priority="785" operator="containsText" text="Ü">
      <formula>NOT(ISERROR(SEARCH("Ü",O47)))</formula>
    </cfRule>
    <cfRule type="containsText" dxfId="474" priority="786" operator="containsText" text="U">
      <formula>NOT(ISERROR(SEARCH("U",O47)))</formula>
    </cfRule>
    <cfRule type="containsText" dxfId="473" priority="787" operator="containsText" text="K">
      <formula>NOT(ISERROR(SEARCH("K",O47)))</formula>
    </cfRule>
  </conditionalFormatting>
  <conditionalFormatting sqref="O52:O58">
    <cfRule type="containsText" dxfId="472" priority="512" operator="containsText" text="S">
      <formula>NOT(ISERROR(SEARCH("S",O52)))</formula>
    </cfRule>
    <cfRule type="containsText" dxfId="471" priority="513" operator="containsText" text="UÜ">
      <formula>NOT(ISERROR(SEARCH("UÜ",O52)))</formula>
    </cfRule>
    <cfRule type="containsText" dxfId="470" priority="514" operator="containsText" text="Ü">
      <formula>NOT(ISERROR(SEARCH("Ü",O52)))</formula>
    </cfRule>
    <cfRule type="containsText" dxfId="469" priority="515" operator="containsText" text="U">
      <formula>NOT(ISERROR(SEARCH("U",O52)))</formula>
    </cfRule>
    <cfRule type="containsText" dxfId="468" priority="516" operator="containsText" text="K">
      <formula>NOT(ISERROR(SEARCH("K",O52)))</formula>
    </cfRule>
  </conditionalFormatting>
  <conditionalFormatting sqref="O62:O68">
    <cfRule type="containsText" dxfId="467" priority="502" operator="containsText" text="S">
      <formula>NOT(ISERROR(SEARCH("S",O62)))</formula>
    </cfRule>
    <cfRule type="containsText" dxfId="466" priority="503" operator="containsText" text="UÜ">
      <formula>NOT(ISERROR(SEARCH("UÜ",O62)))</formula>
    </cfRule>
    <cfRule type="containsText" dxfId="465" priority="504" operator="containsText" text="Ü">
      <formula>NOT(ISERROR(SEARCH("Ü",O62)))</formula>
    </cfRule>
    <cfRule type="containsText" dxfId="464" priority="505" operator="containsText" text="U">
      <formula>NOT(ISERROR(SEARCH("U",O62)))</formula>
    </cfRule>
    <cfRule type="containsText" dxfId="463" priority="506" operator="containsText" text="K">
      <formula>NOT(ISERROR(SEARCH("K",O62)))</formula>
    </cfRule>
  </conditionalFormatting>
  <conditionalFormatting sqref="O72:O78">
    <cfRule type="containsText" dxfId="462" priority="492" operator="containsText" text="S">
      <formula>NOT(ISERROR(SEARCH("S",O72)))</formula>
    </cfRule>
    <cfRule type="containsText" dxfId="461" priority="493" operator="containsText" text="UÜ">
      <formula>NOT(ISERROR(SEARCH("UÜ",O72)))</formula>
    </cfRule>
    <cfRule type="containsText" dxfId="460" priority="494" operator="containsText" text="Ü">
      <formula>NOT(ISERROR(SEARCH("Ü",O72)))</formula>
    </cfRule>
    <cfRule type="containsText" dxfId="459" priority="495" operator="containsText" text="U">
      <formula>NOT(ISERROR(SEARCH("U",O72)))</formula>
    </cfRule>
    <cfRule type="containsText" dxfId="458" priority="496" operator="containsText" text="K">
      <formula>NOT(ISERROR(SEARCH("K",O72)))</formula>
    </cfRule>
  </conditionalFormatting>
  <conditionalFormatting sqref="O82:O88">
    <cfRule type="containsText" dxfId="457" priority="482" operator="containsText" text="S">
      <formula>NOT(ISERROR(SEARCH("S",O82)))</formula>
    </cfRule>
    <cfRule type="containsText" dxfId="456" priority="483" operator="containsText" text="UÜ">
      <formula>NOT(ISERROR(SEARCH("UÜ",O82)))</formula>
    </cfRule>
    <cfRule type="containsText" dxfId="455" priority="484" operator="containsText" text="Ü">
      <formula>NOT(ISERROR(SEARCH("Ü",O82)))</formula>
    </cfRule>
    <cfRule type="containsText" dxfId="454" priority="485" operator="containsText" text="U">
      <formula>NOT(ISERROR(SEARCH("U",O82)))</formula>
    </cfRule>
    <cfRule type="containsText" dxfId="453" priority="486" operator="containsText" text="K">
      <formula>NOT(ISERROR(SEARCH("K",O82)))</formula>
    </cfRule>
  </conditionalFormatting>
  <conditionalFormatting sqref="O92:O98">
    <cfRule type="containsText" dxfId="452" priority="472" operator="containsText" text="S">
      <formula>NOT(ISERROR(SEARCH("S",O92)))</formula>
    </cfRule>
    <cfRule type="containsText" dxfId="451" priority="473" operator="containsText" text="UÜ">
      <formula>NOT(ISERROR(SEARCH("UÜ",O92)))</formula>
    </cfRule>
    <cfRule type="containsText" dxfId="450" priority="474" operator="containsText" text="Ü">
      <formula>NOT(ISERROR(SEARCH("Ü",O92)))</formula>
    </cfRule>
    <cfRule type="containsText" dxfId="449" priority="475" operator="containsText" text="U">
      <formula>NOT(ISERROR(SEARCH("U",O92)))</formula>
    </cfRule>
    <cfRule type="containsText" dxfId="448" priority="476" operator="containsText" text="K">
      <formula>NOT(ISERROR(SEARCH("K",O92)))</formula>
    </cfRule>
  </conditionalFormatting>
  <conditionalFormatting sqref="O102:O108">
    <cfRule type="containsText" dxfId="447" priority="462" operator="containsText" text="S">
      <formula>NOT(ISERROR(SEARCH("S",O102)))</formula>
    </cfRule>
    <cfRule type="containsText" dxfId="446" priority="463" operator="containsText" text="UÜ">
      <formula>NOT(ISERROR(SEARCH("UÜ",O102)))</formula>
    </cfRule>
    <cfRule type="containsText" dxfId="445" priority="464" operator="containsText" text="Ü">
      <formula>NOT(ISERROR(SEARCH("Ü",O102)))</formula>
    </cfRule>
    <cfRule type="containsText" dxfId="444" priority="465" operator="containsText" text="U">
      <formula>NOT(ISERROR(SEARCH("U",O102)))</formula>
    </cfRule>
    <cfRule type="containsText" dxfId="443" priority="466" operator="containsText" text="K">
      <formula>NOT(ISERROR(SEARCH("K",O102)))</formula>
    </cfRule>
  </conditionalFormatting>
  <conditionalFormatting sqref="O112:O118">
    <cfRule type="containsText" dxfId="442" priority="452" operator="containsText" text="S">
      <formula>NOT(ISERROR(SEARCH("S",O112)))</formula>
    </cfRule>
    <cfRule type="containsText" dxfId="441" priority="453" operator="containsText" text="UÜ">
      <formula>NOT(ISERROR(SEARCH("UÜ",O112)))</formula>
    </cfRule>
    <cfRule type="containsText" dxfId="440" priority="454" operator="containsText" text="Ü">
      <formula>NOT(ISERROR(SEARCH("Ü",O112)))</formula>
    </cfRule>
    <cfRule type="containsText" dxfId="439" priority="455" operator="containsText" text="U">
      <formula>NOT(ISERROR(SEARCH("U",O112)))</formula>
    </cfRule>
    <cfRule type="containsText" dxfId="438" priority="456" operator="containsText" text="K">
      <formula>NOT(ISERROR(SEARCH("K",O112)))</formula>
    </cfRule>
  </conditionalFormatting>
  <conditionalFormatting sqref="O122:O128">
    <cfRule type="containsText" dxfId="437" priority="442" operator="containsText" text="S">
      <formula>NOT(ISERROR(SEARCH("S",O122)))</formula>
    </cfRule>
    <cfRule type="containsText" dxfId="436" priority="443" operator="containsText" text="UÜ">
      <formula>NOT(ISERROR(SEARCH("UÜ",O122)))</formula>
    </cfRule>
    <cfRule type="containsText" dxfId="435" priority="444" operator="containsText" text="Ü">
      <formula>NOT(ISERROR(SEARCH("Ü",O122)))</formula>
    </cfRule>
    <cfRule type="containsText" dxfId="434" priority="445" operator="containsText" text="U">
      <formula>NOT(ISERROR(SEARCH("U",O122)))</formula>
    </cfRule>
    <cfRule type="containsText" dxfId="433" priority="446" operator="containsText" text="K">
      <formula>NOT(ISERROR(SEARCH("K",O122)))</formula>
    </cfRule>
  </conditionalFormatting>
  <conditionalFormatting sqref="O132:O138">
    <cfRule type="containsText" dxfId="432" priority="432" operator="containsText" text="S">
      <formula>NOT(ISERROR(SEARCH("S",O132)))</formula>
    </cfRule>
    <cfRule type="containsText" dxfId="431" priority="433" operator="containsText" text="UÜ">
      <formula>NOT(ISERROR(SEARCH("UÜ",O132)))</formula>
    </cfRule>
    <cfRule type="containsText" dxfId="430" priority="434" operator="containsText" text="Ü">
      <formula>NOT(ISERROR(SEARCH("Ü",O132)))</formula>
    </cfRule>
    <cfRule type="containsText" dxfId="429" priority="435" operator="containsText" text="U">
      <formula>NOT(ISERROR(SEARCH("U",O132)))</formula>
    </cfRule>
    <cfRule type="containsText" dxfId="428" priority="436" operator="containsText" text="K">
      <formula>NOT(ISERROR(SEARCH("K",O132)))</formula>
    </cfRule>
  </conditionalFormatting>
  <conditionalFormatting sqref="O142:O148">
    <cfRule type="containsText" dxfId="427" priority="422" operator="containsText" text="S">
      <formula>NOT(ISERROR(SEARCH("S",O142)))</formula>
    </cfRule>
    <cfRule type="containsText" dxfId="426" priority="423" operator="containsText" text="UÜ">
      <formula>NOT(ISERROR(SEARCH("UÜ",O142)))</formula>
    </cfRule>
    <cfRule type="containsText" dxfId="425" priority="424" operator="containsText" text="Ü">
      <formula>NOT(ISERROR(SEARCH("Ü",O142)))</formula>
    </cfRule>
    <cfRule type="containsText" dxfId="424" priority="425" operator="containsText" text="U">
      <formula>NOT(ISERROR(SEARCH("U",O142)))</formula>
    </cfRule>
    <cfRule type="containsText" dxfId="423" priority="426" operator="containsText" text="K">
      <formula>NOT(ISERROR(SEARCH("K",O142)))</formula>
    </cfRule>
  </conditionalFormatting>
  <conditionalFormatting sqref="O152:O158">
    <cfRule type="containsText" dxfId="422" priority="412" operator="containsText" text="S">
      <formula>NOT(ISERROR(SEARCH("S",O152)))</formula>
    </cfRule>
    <cfRule type="containsText" dxfId="421" priority="413" operator="containsText" text="UÜ">
      <formula>NOT(ISERROR(SEARCH("UÜ",O152)))</formula>
    </cfRule>
    <cfRule type="containsText" dxfId="420" priority="414" operator="containsText" text="Ü">
      <formula>NOT(ISERROR(SEARCH("Ü",O152)))</formula>
    </cfRule>
    <cfRule type="containsText" dxfId="419" priority="415" operator="containsText" text="U">
      <formula>NOT(ISERROR(SEARCH("U",O152)))</formula>
    </cfRule>
    <cfRule type="containsText" dxfId="418" priority="416" operator="containsText" text="K">
      <formula>NOT(ISERROR(SEARCH("K",O152)))</formula>
    </cfRule>
  </conditionalFormatting>
  <conditionalFormatting sqref="O162:O168">
    <cfRule type="containsText" dxfId="417" priority="402" operator="containsText" text="S">
      <formula>NOT(ISERROR(SEARCH("S",O162)))</formula>
    </cfRule>
    <cfRule type="containsText" dxfId="416" priority="403" operator="containsText" text="UÜ">
      <formula>NOT(ISERROR(SEARCH("UÜ",O162)))</formula>
    </cfRule>
    <cfRule type="containsText" dxfId="415" priority="404" operator="containsText" text="Ü">
      <formula>NOT(ISERROR(SEARCH("Ü",O162)))</formula>
    </cfRule>
    <cfRule type="containsText" dxfId="414" priority="405" operator="containsText" text="U">
      <formula>NOT(ISERROR(SEARCH("U",O162)))</formula>
    </cfRule>
    <cfRule type="containsText" dxfId="413" priority="406" operator="containsText" text="K">
      <formula>NOT(ISERROR(SEARCH("K",O162)))</formula>
    </cfRule>
  </conditionalFormatting>
  <conditionalFormatting sqref="O172:O178">
    <cfRule type="containsText" dxfId="412" priority="392" operator="containsText" text="S">
      <formula>NOT(ISERROR(SEARCH("S",O172)))</formula>
    </cfRule>
    <cfRule type="containsText" dxfId="411" priority="393" operator="containsText" text="UÜ">
      <formula>NOT(ISERROR(SEARCH("UÜ",O172)))</formula>
    </cfRule>
    <cfRule type="containsText" dxfId="410" priority="394" operator="containsText" text="Ü">
      <formula>NOT(ISERROR(SEARCH("Ü",O172)))</formula>
    </cfRule>
    <cfRule type="containsText" dxfId="409" priority="395" operator="containsText" text="U">
      <formula>NOT(ISERROR(SEARCH("U",O172)))</formula>
    </cfRule>
    <cfRule type="containsText" dxfId="408" priority="396" operator="containsText" text="K">
      <formula>NOT(ISERROR(SEARCH("K",O172)))</formula>
    </cfRule>
  </conditionalFormatting>
  <conditionalFormatting sqref="O182:O188">
    <cfRule type="containsText" dxfId="407" priority="382" operator="containsText" text="S">
      <formula>NOT(ISERROR(SEARCH("S",O182)))</formula>
    </cfRule>
    <cfRule type="containsText" dxfId="406" priority="383" operator="containsText" text="UÜ">
      <formula>NOT(ISERROR(SEARCH("UÜ",O182)))</formula>
    </cfRule>
    <cfRule type="containsText" dxfId="405" priority="384" operator="containsText" text="Ü">
      <formula>NOT(ISERROR(SEARCH("Ü",O182)))</formula>
    </cfRule>
    <cfRule type="containsText" dxfId="404" priority="385" operator="containsText" text="U">
      <formula>NOT(ISERROR(SEARCH("U",O182)))</formula>
    </cfRule>
    <cfRule type="containsText" dxfId="403" priority="386" operator="containsText" text="K">
      <formula>NOT(ISERROR(SEARCH("K",O182)))</formula>
    </cfRule>
  </conditionalFormatting>
  <conditionalFormatting sqref="O192:O198">
    <cfRule type="containsText" dxfId="402" priority="372" operator="containsText" text="S">
      <formula>NOT(ISERROR(SEARCH("S",O192)))</formula>
    </cfRule>
    <cfRule type="containsText" dxfId="401" priority="373" operator="containsText" text="UÜ">
      <formula>NOT(ISERROR(SEARCH("UÜ",O192)))</formula>
    </cfRule>
    <cfRule type="containsText" dxfId="400" priority="374" operator="containsText" text="Ü">
      <formula>NOT(ISERROR(SEARCH("Ü",O192)))</formula>
    </cfRule>
    <cfRule type="containsText" dxfId="399" priority="375" operator="containsText" text="U">
      <formula>NOT(ISERROR(SEARCH("U",O192)))</formula>
    </cfRule>
    <cfRule type="containsText" dxfId="398" priority="376" operator="containsText" text="K">
      <formula>NOT(ISERROR(SEARCH("K",O192)))</formula>
    </cfRule>
  </conditionalFormatting>
  <conditionalFormatting sqref="O202:O208">
    <cfRule type="containsText" dxfId="397" priority="362" operator="containsText" text="S">
      <formula>NOT(ISERROR(SEARCH("S",O202)))</formula>
    </cfRule>
    <cfRule type="containsText" dxfId="396" priority="363" operator="containsText" text="UÜ">
      <formula>NOT(ISERROR(SEARCH("UÜ",O202)))</formula>
    </cfRule>
    <cfRule type="containsText" dxfId="395" priority="364" operator="containsText" text="Ü">
      <formula>NOT(ISERROR(SEARCH("Ü",O202)))</formula>
    </cfRule>
    <cfRule type="containsText" dxfId="394" priority="365" operator="containsText" text="U">
      <formula>NOT(ISERROR(SEARCH("U",O202)))</formula>
    </cfRule>
    <cfRule type="containsText" dxfId="393" priority="366" operator="containsText" text="K">
      <formula>NOT(ISERROR(SEARCH("K",O202)))</formula>
    </cfRule>
  </conditionalFormatting>
  <conditionalFormatting sqref="O212:O218">
    <cfRule type="containsText" dxfId="392" priority="352" operator="containsText" text="S">
      <formula>NOT(ISERROR(SEARCH("S",O212)))</formula>
    </cfRule>
    <cfRule type="containsText" dxfId="391" priority="353" operator="containsText" text="UÜ">
      <formula>NOT(ISERROR(SEARCH("UÜ",O212)))</formula>
    </cfRule>
    <cfRule type="containsText" dxfId="390" priority="354" operator="containsText" text="Ü">
      <formula>NOT(ISERROR(SEARCH("Ü",O212)))</formula>
    </cfRule>
    <cfRule type="containsText" dxfId="389" priority="355" operator="containsText" text="U">
      <formula>NOT(ISERROR(SEARCH("U",O212)))</formula>
    </cfRule>
    <cfRule type="containsText" dxfId="388" priority="356" operator="containsText" text="K">
      <formula>NOT(ISERROR(SEARCH("K",O212)))</formula>
    </cfRule>
  </conditionalFormatting>
  <conditionalFormatting sqref="O222:O228">
    <cfRule type="containsText" dxfId="387" priority="342" operator="containsText" text="S">
      <formula>NOT(ISERROR(SEARCH("S",O222)))</formula>
    </cfRule>
    <cfRule type="containsText" dxfId="386" priority="343" operator="containsText" text="UÜ">
      <formula>NOT(ISERROR(SEARCH("UÜ",O222)))</formula>
    </cfRule>
    <cfRule type="containsText" dxfId="385" priority="344" operator="containsText" text="Ü">
      <formula>NOT(ISERROR(SEARCH("Ü",O222)))</formula>
    </cfRule>
    <cfRule type="containsText" dxfId="384" priority="345" operator="containsText" text="U">
      <formula>NOT(ISERROR(SEARCH("U",O222)))</formula>
    </cfRule>
    <cfRule type="containsText" dxfId="383" priority="346" operator="containsText" text="K">
      <formula>NOT(ISERROR(SEARCH("K",O222)))</formula>
    </cfRule>
  </conditionalFormatting>
  <conditionalFormatting sqref="O232:O238">
    <cfRule type="containsText" dxfId="382" priority="332" operator="containsText" text="S">
      <formula>NOT(ISERROR(SEARCH("S",O232)))</formula>
    </cfRule>
    <cfRule type="containsText" dxfId="381" priority="333" operator="containsText" text="UÜ">
      <formula>NOT(ISERROR(SEARCH("UÜ",O232)))</formula>
    </cfRule>
    <cfRule type="containsText" dxfId="380" priority="334" operator="containsText" text="Ü">
      <formula>NOT(ISERROR(SEARCH("Ü",O232)))</formula>
    </cfRule>
    <cfRule type="containsText" dxfId="379" priority="335" operator="containsText" text="U">
      <formula>NOT(ISERROR(SEARCH("U",O232)))</formula>
    </cfRule>
    <cfRule type="containsText" dxfId="378" priority="336" operator="containsText" text="K">
      <formula>NOT(ISERROR(SEARCH("K",O232)))</formula>
    </cfRule>
  </conditionalFormatting>
  <conditionalFormatting sqref="O242:O248">
    <cfRule type="containsText" dxfId="377" priority="322" operator="containsText" text="S">
      <formula>NOT(ISERROR(SEARCH("S",O242)))</formula>
    </cfRule>
    <cfRule type="containsText" dxfId="376" priority="323" operator="containsText" text="UÜ">
      <formula>NOT(ISERROR(SEARCH("UÜ",O242)))</formula>
    </cfRule>
    <cfRule type="containsText" dxfId="375" priority="324" operator="containsText" text="Ü">
      <formula>NOT(ISERROR(SEARCH("Ü",O242)))</formula>
    </cfRule>
    <cfRule type="containsText" dxfId="374" priority="325" operator="containsText" text="U">
      <formula>NOT(ISERROR(SEARCH("U",O242)))</formula>
    </cfRule>
    <cfRule type="containsText" dxfId="373" priority="326" operator="containsText" text="K">
      <formula>NOT(ISERROR(SEARCH("K",O242)))</formula>
    </cfRule>
  </conditionalFormatting>
  <conditionalFormatting sqref="O252:O258">
    <cfRule type="containsText" dxfId="372" priority="312" operator="containsText" text="S">
      <formula>NOT(ISERROR(SEARCH("S",O252)))</formula>
    </cfRule>
    <cfRule type="containsText" dxfId="371" priority="313" operator="containsText" text="UÜ">
      <formula>NOT(ISERROR(SEARCH("UÜ",O252)))</formula>
    </cfRule>
    <cfRule type="containsText" dxfId="370" priority="314" operator="containsText" text="Ü">
      <formula>NOT(ISERROR(SEARCH("Ü",O252)))</formula>
    </cfRule>
    <cfRule type="containsText" dxfId="369" priority="315" operator="containsText" text="U">
      <formula>NOT(ISERROR(SEARCH("U",O252)))</formula>
    </cfRule>
    <cfRule type="containsText" dxfId="368" priority="316" operator="containsText" text="K">
      <formula>NOT(ISERROR(SEARCH("K",O252)))</formula>
    </cfRule>
  </conditionalFormatting>
  <conditionalFormatting sqref="O262:O268">
    <cfRule type="containsText" dxfId="367" priority="302" operator="containsText" text="S">
      <formula>NOT(ISERROR(SEARCH("S",O262)))</formula>
    </cfRule>
    <cfRule type="containsText" dxfId="366" priority="303" operator="containsText" text="UÜ">
      <formula>NOT(ISERROR(SEARCH("UÜ",O262)))</formula>
    </cfRule>
    <cfRule type="containsText" dxfId="365" priority="304" operator="containsText" text="Ü">
      <formula>NOT(ISERROR(SEARCH("Ü",O262)))</formula>
    </cfRule>
    <cfRule type="containsText" dxfId="364" priority="305" operator="containsText" text="U">
      <formula>NOT(ISERROR(SEARCH("U",O262)))</formula>
    </cfRule>
    <cfRule type="containsText" dxfId="363" priority="306" operator="containsText" text="K">
      <formula>NOT(ISERROR(SEARCH("K",O262)))</formula>
    </cfRule>
  </conditionalFormatting>
  <conditionalFormatting sqref="O272:O278">
    <cfRule type="containsText" dxfId="362" priority="292" operator="containsText" text="S">
      <formula>NOT(ISERROR(SEARCH("S",O272)))</formula>
    </cfRule>
    <cfRule type="containsText" dxfId="361" priority="293" operator="containsText" text="UÜ">
      <formula>NOT(ISERROR(SEARCH("UÜ",O272)))</formula>
    </cfRule>
    <cfRule type="containsText" dxfId="360" priority="294" operator="containsText" text="Ü">
      <formula>NOT(ISERROR(SEARCH("Ü",O272)))</formula>
    </cfRule>
    <cfRule type="containsText" dxfId="359" priority="295" operator="containsText" text="U">
      <formula>NOT(ISERROR(SEARCH("U",O272)))</formula>
    </cfRule>
    <cfRule type="containsText" dxfId="358" priority="296" operator="containsText" text="K">
      <formula>NOT(ISERROR(SEARCH("K",O272)))</formula>
    </cfRule>
  </conditionalFormatting>
  <conditionalFormatting sqref="O282:O288">
    <cfRule type="containsText" dxfId="357" priority="282" operator="containsText" text="S">
      <formula>NOT(ISERROR(SEARCH("S",O282)))</formula>
    </cfRule>
    <cfRule type="containsText" dxfId="356" priority="283" operator="containsText" text="UÜ">
      <formula>NOT(ISERROR(SEARCH("UÜ",O282)))</formula>
    </cfRule>
    <cfRule type="containsText" dxfId="355" priority="284" operator="containsText" text="Ü">
      <formula>NOT(ISERROR(SEARCH("Ü",O282)))</formula>
    </cfRule>
    <cfRule type="containsText" dxfId="354" priority="285" operator="containsText" text="U">
      <formula>NOT(ISERROR(SEARCH("U",O282)))</formula>
    </cfRule>
    <cfRule type="containsText" dxfId="353" priority="286" operator="containsText" text="K">
      <formula>NOT(ISERROR(SEARCH("K",O282)))</formula>
    </cfRule>
  </conditionalFormatting>
  <conditionalFormatting sqref="O292:O298">
    <cfRule type="containsText" dxfId="352" priority="272" operator="containsText" text="S">
      <formula>NOT(ISERROR(SEARCH("S",O292)))</formula>
    </cfRule>
    <cfRule type="containsText" dxfId="351" priority="273" operator="containsText" text="UÜ">
      <formula>NOT(ISERROR(SEARCH("UÜ",O292)))</formula>
    </cfRule>
    <cfRule type="containsText" dxfId="350" priority="274" operator="containsText" text="Ü">
      <formula>NOT(ISERROR(SEARCH("Ü",O292)))</formula>
    </cfRule>
    <cfRule type="containsText" dxfId="349" priority="275" operator="containsText" text="U">
      <formula>NOT(ISERROR(SEARCH("U",O292)))</formula>
    </cfRule>
    <cfRule type="containsText" dxfId="348" priority="276" operator="containsText" text="K">
      <formula>NOT(ISERROR(SEARCH("K",O292)))</formula>
    </cfRule>
  </conditionalFormatting>
  <conditionalFormatting sqref="O302:O308">
    <cfRule type="containsText" dxfId="347" priority="262" operator="containsText" text="S">
      <formula>NOT(ISERROR(SEARCH("S",O302)))</formula>
    </cfRule>
    <cfRule type="containsText" dxfId="346" priority="263" operator="containsText" text="UÜ">
      <formula>NOT(ISERROR(SEARCH("UÜ",O302)))</formula>
    </cfRule>
    <cfRule type="containsText" dxfId="345" priority="264" operator="containsText" text="Ü">
      <formula>NOT(ISERROR(SEARCH("Ü",O302)))</formula>
    </cfRule>
    <cfRule type="containsText" dxfId="344" priority="265" operator="containsText" text="U">
      <formula>NOT(ISERROR(SEARCH("U",O302)))</formula>
    </cfRule>
    <cfRule type="containsText" dxfId="343" priority="266" operator="containsText" text="K">
      <formula>NOT(ISERROR(SEARCH("K",O302)))</formula>
    </cfRule>
  </conditionalFormatting>
  <conditionalFormatting sqref="O312:O318">
    <cfRule type="containsText" dxfId="342" priority="252" operator="containsText" text="S">
      <formula>NOT(ISERROR(SEARCH("S",O312)))</formula>
    </cfRule>
    <cfRule type="containsText" dxfId="341" priority="253" operator="containsText" text="UÜ">
      <formula>NOT(ISERROR(SEARCH("UÜ",O312)))</formula>
    </cfRule>
    <cfRule type="containsText" dxfId="340" priority="254" operator="containsText" text="Ü">
      <formula>NOT(ISERROR(SEARCH("Ü",O312)))</formula>
    </cfRule>
    <cfRule type="containsText" dxfId="339" priority="255" operator="containsText" text="U">
      <formula>NOT(ISERROR(SEARCH("U",O312)))</formula>
    </cfRule>
    <cfRule type="containsText" dxfId="338" priority="256" operator="containsText" text="K">
      <formula>NOT(ISERROR(SEARCH("K",O312)))</formula>
    </cfRule>
  </conditionalFormatting>
  <conditionalFormatting sqref="O322:O328">
    <cfRule type="containsText" dxfId="337" priority="242" operator="containsText" text="S">
      <formula>NOT(ISERROR(SEARCH("S",O322)))</formula>
    </cfRule>
    <cfRule type="containsText" dxfId="336" priority="243" operator="containsText" text="UÜ">
      <formula>NOT(ISERROR(SEARCH("UÜ",O322)))</formula>
    </cfRule>
    <cfRule type="containsText" dxfId="335" priority="244" operator="containsText" text="Ü">
      <formula>NOT(ISERROR(SEARCH("Ü",O322)))</formula>
    </cfRule>
    <cfRule type="containsText" dxfId="334" priority="245" operator="containsText" text="U">
      <formula>NOT(ISERROR(SEARCH("U",O322)))</formula>
    </cfRule>
    <cfRule type="containsText" dxfId="333" priority="246" operator="containsText" text="K">
      <formula>NOT(ISERROR(SEARCH("K",O322)))</formula>
    </cfRule>
  </conditionalFormatting>
  <conditionalFormatting sqref="O332:O338">
    <cfRule type="containsText" dxfId="332" priority="232" operator="containsText" text="S">
      <formula>NOT(ISERROR(SEARCH("S",O332)))</formula>
    </cfRule>
    <cfRule type="containsText" dxfId="331" priority="233" operator="containsText" text="UÜ">
      <formula>NOT(ISERROR(SEARCH("UÜ",O332)))</formula>
    </cfRule>
    <cfRule type="containsText" dxfId="330" priority="234" operator="containsText" text="Ü">
      <formula>NOT(ISERROR(SEARCH("Ü",O332)))</formula>
    </cfRule>
    <cfRule type="containsText" dxfId="329" priority="235" operator="containsText" text="U">
      <formula>NOT(ISERROR(SEARCH("U",O332)))</formula>
    </cfRule>
    <cfRule type="containsText" dxfId="328" priority="236" operator="containsText" text="K">
      <formula>NOT(ISERROR(SEARCH("K",O332)))</formula>
    </cfRule>
  </conditionalFormatting>
  <conditionalFormatting sqref="O342:O348">
    <cfRule type="containsText" dxfId="327" priority="222" operator="containsText" text="S">
      <formula>NOT(ISERROR(SEARCH("S",O342)))</formula>
    </cfRule>
    <cfRule type="containsText" dxfId="326" priority="223" operator="containsText" text="UÜ">
      <formula>NOT(ISERROR(SEARCH("UÜ",O342)))</formula>
    </cfRule>
    <cfRule type="containsText" dxfId="325" priority="224" operator="containsText" text="Ü">
      <formula>NOT(ISERROR(SEARCH("Ü",O342)))</formula>
    </cfRule>
    <cfRule type="containsText" dxfId="324" priority="225" operator="containsText" text="U">
      <formula>NOT(ISERROR(SEARCH("U",O342)))</formula>
    </cfRule>
    <cfRule type="containsText" dxfId="323" priority="226" operator="containsText" text="K">
      <formula>NOT(ISERROR(SEARCH("K",O342)))</formula>
    </cfRule>
  </conditionalFormatting>
  <conditionalFormatting sqref="O352:O358">
    <cfRule type="containsText" dxfId="322" priority="212" operator="containsText" text="S">
      <formula>NOT(ISERROR(SEARCH("S",O352)))</formula>
    </cfRule>
    <cfRule type="containsText" dxfId="321" priority="213" operator="containsText" text="UÜ">
      <formula>NOT(ISERROR(SEARCH("UÜ",O352)))</formula>
    </cfRule>
    <cfRule type="containsText" dxfId="320" priority="214" operator="containsText" text="Ü">
      <formula>NOT(ISERROR(SEARCH("Ü",O352)))</formula>
    </cfRule>
    <cfRule type="containsText" dxfId="319" priority="215" operator="containsText" text="U">
      <formula>NOT(ISERROR(SEARCH("U",O352)))</formula>
    </cfRule>
    <cfRule type="containsText" dxfId="318" priority="216" operator="containsText" text="K">
      <formula>NOT(ISERROR(SEARCH("K",O352)))</formula>
    </cfRule>
  </conditionalFormatting>
  <conditionalFormatting sqref="O362:O368">
    <cfRule type="containsText" dxfId="317" priority="202" operator="containsText" text="S">
      <formula>NOT(ISERROR(SEARCH("S",O362)))</formula>
    </cfRule>
    <cfRule type="containsText" dxfId="316" priority="203" operator="containsText" text="UÜ">
      <formula>NOT(ISERROR(SEARCH("UÜ",O362)))</formula>
    </cfRule>
    <cfRule type="containsText" dxfId="315" priority="204" operator="containsText" text="Ü">
      <formula>NOT(ISERROR(SEARCH("Ü",O362)))</formula>
    </cfRule>
    <cfRule type="containsText" dxfId="314" priority="205" operator="containsText" text="U">
      <formula>NOT(ISERROR(SEARCH("U",O362)))</formula>
    </cfRule>
    <cfRule type="containsText" dxfId="313" priority="206" operator="containsText" text="K">
      <formula>NOT(ISERROR(SEARCH("K",O362)))</formula>
    </cfRule>
  </conditionalFormatting>
  <conditionalFormatting sqref="O372:O378">
    <cfRule type="containsText" dxfId="312" priority="192" operator="containsText" text="S">
      <formula>NOT(ISERROR(SEARCH("S",O372)))</formula>
    </cfRule>
    <cfRule type="containsText" dxfId="311" priority="193" operator="containsText" text="UÜ">
      <formula>NOT(ISERROR(SEARCH("UÜ",O372)))</formula>
    </cfRule>
    <cfRule type="containsText" dxfId="310" priority="194" operator="containsText" text="Ü">
      <formula>NOT(ISERROR(SEARCH("Ü",O372)))</formula>
    </cfRule>
    <cfRule type="containsText" dxfId="309" priority="195" operator="containsText" text="U">
      <formula>NOT(ISERROR(SEARCH("U",O372)))</formula>
    </cfRule>
    <cfRule type="containsText" dxfId="308" priority="196" operator="containsText" text="K">
      <formula>NOT(ISERROR(SEARCH("K",O372)))</formula>
    </cfRule>
  </conditionalFormatting>
  <conditionalFormatting sqref="O382:O388">
    <cfRule type="containsText" dxfId="307" priority="182" operator="containsText" text="S">
      <formula>NOT(ISERROR(SEARCH("S",O382)))</formula>
    </cfRule>
    <cfRule type="containsText" dxfId="306" priority="183" operator="containsText" text="UÜ">
      <formula>NOT(ISERROR(SEARCH("UÜ",O382)))</formula>
    </cfRule>
    <cfRule type="containsText" dxfId="305" priority="184" operator="containsText" text="Ü">
      <formula>NOT(ISERROR(SEARCH("Ü",O382)))</formula>
    </cfRule>
    <cfRule type="containsText" dxfId="304" priority="185" operator="containsText" text="U">
      <formula>NOT(ISERROR(SEARCH("U",O382)))</formula>
    </cfRule>
    <cfRule type="containsText" dxfId="303" priority="186" operator="containsText" text="K">
      <formula>NOT(ISERROR(SEARCH("K",O382)))</formula>
    </cfRule>
  </conditionalFormatting>
  <conditionalFormatting sqref="O392:O398">
    <cfRule type="containsText" dxfId="302" priority="172" operator="containsText" text="S">
      <formula>NOT(ISERROR(SEARCH("S",O392)))</formula>
    </cfRule>
    <cfRule type="containsText" dxfId="301" priority="173" operator="containsText" text="UÜ">
      <formula>NOT(ISERROR(SEARCH("UÜ",O392)))</formula>
    </cfRule>
    <cfRule type="containsText" dxfId="300" priority="174" operator="containsText" text="Ü">
      <formula>NOT(ISERROR(SEARCH("Ü",O392)))</formula>
    </cfRule>
    <cfRule type="containsText" dxfId="299" priority="175" operator="containsText" text="U">
      <formula>NOT(ISERROR(SEARCH("U",O392)))</formula>
    </cfRule>
    <cfRule type="containsText" dxfId="298" priority="176" operator="containsText" text="K">
      <formula>NOT(ISERROR(SEARCH("K",O392)))</formula>
    </cfRule>
  </conditionalFormatting>
  <conditionalFormatting sqref="O402:O408">
    <cfRule type="containsText" dxfId="297" priority="162" operator="containsText" text="S">
      <formula>NOT(ISERROR(SEARCH("S",O402)))</formula>
    </cfRule>
    <cfRule type="containsText" dxfId="296" priority="163" operator="containsText" text="UÜ">
      <formula>NOT(ISERROR(SEARCH("UÜ",O402)))</formula>
    </cfRule>
    <cfRule type="containsText" dxfId="295" priority="164" operator="containsText" text="Ü">
      <formula>NOT(ISERROR(SEARCH("Ü",O402)))</formula>
    </cfRule>
    <cfRule type="containsText" dxfId="294" priority="165" operator="containsText" text="U">
      <formula>NOT(ISERROR(SEARCH("U",O402)))</formula>
    </cfRule>
    <cfRule type="containsText" dxfId="293" priority="166" operator="containsText" text="K">
      <formula>NOT(ISERROR(SEARCH("K",O402)))</formula>
    </cfRule>
  </conditionalFormatting>
  <conditionalFormatting sqref="O412:O418">
    <cfRule type="containsText" dxfId="292" priority="152" operator="containsText" text="S">
      <formula>NOT(ISERROR(SEARCH("S",O412)))</formula>
    </cfRule>
    <cfRule type="containsText" dxfId="291" priority="153" operator="containsText" text="UÜ">
      <formula>NOT(ISERROR(SEARCH("UÜ",O412)))</formula>
    </cfRule>
    <cfRule type="containsText" dxfId="290" priority="154" operator="containsText" text="Ü">
      <formula>NOT(ISERROR(SEARCH("Ü",O412)))</formula>
    </cfRule>
    <cfRule type="containsText" dxfId="289" priority="155" operator="containsText" text="U">
      <formula>NOT(ISERROR(SEARCH("U",O412)))</formula>
    </cfRule>
    <cfRule type="containsText" dxfId="288" priority="156" operator="containsText" text="K">
      <formula>NOT(ISERROR(SEARCH("K",O412)))</formula>
    </cfRule>
  </conditionalFormatting>
  <conditionalFormatting sqref="O422:O428">
    <cfRule type="containsText" dxfId="287" priority="142" operator="containsText" text="S">
      <formula>NOT(ISERROR(SEARCH("S",O422)))</formula>
    </cfRule>
    <cfRule type="containsText" dxfId="286" priority="143" operator="containsText" text="UÜ">
      <formula>NOT(ISERROR(SEARCH("UÜ",O422)))</formula>
    </cfRule>
    <cfRule type="containsText" dxfId="285" priority="144" operator="containsText" text="Ü">
      <formula>NOT(ISERROR(SEARCH("Ü",O422)))</formula>
    </cfRule>
    <cfRule type="containsText" dxfId="284" priority="145" operator="containsText" text="U">
      <formula>NOT(ISERROR(SEARCH("U",O422)))</formula>
    </cfRule>
    <cfRule type="containsText" dxfId="283" priority="146" operator="containsText" text="K">
      <formula>NOT(ISERROR(SEARCH("K",O422)))</formula>
    </cfRule>
  </conditionalFormatting>
  <conditionalFormatting sqref="O432:O438">
    <cfRule type="containsText" dxfId="282" priority="132" operator="containsText" text="S">
      <formula>NOT(ISERROR(SEARCH("S",O432)))</formula>
    </cfRule>
    <cfRule type="containsText" dxfId="281" priority="133" operator="containsText" text="UÜ">
      <formula>NOT(ISERROR(SEARCH("UÜ",O432)))</formula>
    </cfRule>
    <cfRule type="containsText" dxfId="280" priority="134" operator="containsText" text="Ü">
      <formula>NOT(ISERROR(SEARCH("Ü",O432)))</formula>
    </cfRule>
    <cfRule type="containsText" dxfId="279" priority="135" operator="containsText" text="U">
      <formula>NOT(ISERROR(SEARCH("U",O432)))</formula>
    </cfRule>
    <cfRule type="containsText" dxfId="278" priority="136" operator="containsText" text="K">
      <formula>NOT(ISERROR(SEARCH("K",O432)))</formula>
    </cfRule>
  </conditionalFormatting>
  <conditionalFormatting sqref="O442:O448">
    <cfRule type="containsText" dxfId="277" priority="122" operator="containsText" text="S">
      <formula>NOT(ISERROR(SEARCH("S",O442)))</formula>
    </cfRule>
    <cfRule type="containsText" dxfId="276" priority="123" operator="containsText" text="UÜ">
      <formula>NOT(ISERROR(SEARCH("UÜ",O442)))</formula>
    </cfRule>
    <cfRule type="containsText" dxfId="275" priority="124" operator="containsText" text="Ü">
      <formula>NOT(ISERROR(SEARCH("Ü",O442)))</formula>
    </cfRule>
    <cfRule type="containsText" dxfId="274" priority="125" operator="containsText" text="U">
      <formula>NOT(ISERROR(SEARCH("U",O442)))</formula>
    </cfRule>
    <cfRule type="containsText" dxfId="273" priority="126" operator="containsText" text="K">
      <formula>NOT(ISERROR(SEARCH("K",O442)))</formula>
    </cfRule>
  </conditionalFormatting>
  <conditionalFormatting sqref="O452:O458">
    <cfRule type="containsText" dxfId="272" priority="112" operator="containsText" text="S">
      <formula>NOT(ISERROR(SEARCH("S",O452)))</formula>
    </cfRule>
    <cfRule type="containsText" dxfId="271" priority="113" operator="containsText" text="UÜ">
      <formula>NOT(ISERROR(SEARCH("UÜ",O452)))</formula>
    </cfRule>
    <cfRule type="containsText" dxfId="270" priority="114" operator="containsText" text="Ü">
      <formula>NOT(ISERROR(SEARCH("Ü",O452)))</formula>
    </cfRule>
    <cfRule type="containsText" dxfId="269" priority="115" operator="containsText" text="U">
      <formula>NOT(ISERROR(SEARCH("U",O452)))</formula>
    </cfRule>
    <cfRule type="containsText" dxfId="268" priority="116" operator="containsText" text="K">
      <formula>NOT(ISERROR(SEARCH("K",O452)))</formula>
    </cfRule>
  </conditionalFormatting>
  <conditionalFormatting sqref="O462:O468">
    <cfRule type="containsText" dxfId="267" priority="102" operator="containsText" text="S">
      <formula>NOT(ISERROR(SEARCH("S",O462)))</formula>
    </cfRule>
    <cfRule type="containsText" dxfId="266" priority="103" operator="containsText" text="UÜ">
      <formula>NOT(ISERROR(SEARCH("UÜ",O462)))</formula>
    </cfRule>
    <cfRule type="containsText" dxfId="265" priority="104" operator="containsText" text="Ü">
      <formula>NOT(ISERROR(SEARCH("Ü",O462)))</formula>
    </cfRule>
    <cfRule type="containsText" dxfId="264" priority="105" operator="containsText" text="U">
      <formula>NOT(ISERROR(SEARCH("U",O462)))</formula>
    </cfRule>
    <cfRule type="containsText" dxfId="263" priority="106" operator="containsText" text="K">
      <formula>NOT(ISERROR(SEARCH("K",O462)))</formula>
    </cfRule>
  </conditionalFormatting>
  <conditionalFormatting sqref="O472:O478">
    <cfRule type="containsText" dxfId="262" priority="92" operator="containsText" text="S">
      <formula>NOT(ISERROR(SEARCH("S",O472)))</formula>
    </cfRule>
    <cfRule type="containsText" dxfId="261" priority="93" operator="containsText" text="UÜ">
      <formula>NOT(ISERROR(SEARCH("UÜ",O472)))</formula>
    </cfRule>
    <cfRule type="containsText" dxfId="260" priority="94" operator="containsText" text="Ü">
      <formula>NOT(ISERROR(SEARCH("Ü",O472)))</formula>
    </cfRule>
    <cfRule type="containsText" dxfId="259" priority="95" operator="containsText" text="U">
      <formula>NOT(ISERROR(SEARCH("U",O472)))</formula>
    </cfRule>
    <cfRule type="containsText" dxfId="258" priority="96" operator="containsText" text="K">
      <formula>NOT(ISERROR(SEARCH("K",O472)))</formula>
    </cfRule>
  </conditionalFormatting>
  <conditionalFormatting sqref="O482:O488">
    <cfRule type="containsText" dxfId="257" priority="82" operator="containsText" text="S">
      <formula>NOT(ISERROR(SEARCH("S",O482)))</formula>
    </cfRule>
    <cfRule type="containsText" dxfId="256" priority="83" operator="containsText" text="UÜ">
      <formula>NOT(ISERROR(SEARCH("UÜ",O482)))</formula>
    </cfRule>
    <cfRule type="containsText" dxfId="255" priority="84" operator="containsText" text="Ü">
      <formula>NOT(ISERROR(SEARCH("Ü",O482)))</formula>
    </cfRule>
    <cfRule type="containsText" dxfId="254" priority="85" operator="containsText" text="U">
      <formula>NOT(ISERROR(SEARCH("U",O482)))</formula>
    </cfRule>
    <cfRule type="containsText" dxfId="253" priority="86" operator="containsText" text="K">
      <formula>NOT(ISERROR(SEARCH("K",O482)))</formula>
    </cfRule>
  </conditionalFormatting>
  <conditionalFormatting sqref="O492:O498">
    <cfRule type="containsText" dxfId="252" priority="72" operator="containsText" text="S">
      <formula>NOT(ISERROR(SEARCH("S",O492)))</formula>
    </cfRule>
    <cfRule type="containsText" dxfId="251" priority="73" operator="containsText" text="UÜ">
      <formula>NOT(ISERROR(SEARCH("UÜ",O492)))</formula>
    </cfRule>
    <cfRule type="containsText" dxfId="250" priority="74" operator="containsText" text="Ü">
      <formula>NOT(ISERROR(SEARCH("Ü",O492)))</formula>
    </cfRule>
    <cfRule type="containsText" dxfId="249" priority="75" operator="containsText" text="U">
      <formula>NOT(ISERROR(SEARCH("U",O492)))</formula>
    </cfRule>
    <cfRule type="containsText" dxfId="248" priority="76" operator="containsText" text="K">
      <formula>NOT(ISERROR(SEARCH("K",O492)))</formula>
    </cfRule>
  </conditionalFormatting>
  <conditionalFormatting sqref="O502:O508">
    <cfRule type="containsText" dxfId="247" priority="62" operator="containsText" text="S">
      <formula>NOT(ISERROR(SEARCH("S",O502)))</formula>
    </cfRule>
    <cfRule type="containsText" dxfId="246" priority="63" operator="containsText" text="UÜ">
      <formula>NOT(ISERROR(SEARCH("UÜ",O502)))</formula>
    </cfRule>
    <cfRule type="containsText" dxfId="245" priority="64" operator="containsText" text="Ü">
      <formula>NOT(ISERROR(SEARCH("Ü",O502)))</formula>
    </cfRule>
    <cfRule type="containsText" dxfId="244" priority="65" operator="containsText" text="U">
      <formula>NOT(ISERROR(SEARCH("U",O502)))</formula>
    </cfRule>
    <cfRule type="containsText" dxfId="243" priority="66" operator="containsText" text="K">
      <formula>NOT(ISERROR(SEARCH("K",O502)))</formula>
    </cfRule>
  </conditionalFormatting>
  <conditionalFormatting sqref="O512:O518">
    <cfRule type="containsText" dxfId="242" priority="52" operator="containsText" text="S">
      <formula>NOT(ISERROR(SEARCH("S",O512)))</formula>
    </cfRule>
    <cfRule type="containsText" dxfId="241" priority="53" operator="containsText" text="UÜ">
      <formula>NOT(ISERROR(SEARCH("UÜ",O512)))</formula>
    </cfRule>
    <cfRule type="containsText" dxfId="240" priority="54" operator="containsText" text="Ü">
      <formula>NOT(ISERROR(SEARCH("Ü",O512)))</formula>
    </cfRule>
    <cfRule type="containsText" dxfId="239" priority="55" operator="containsText" text="U">
      <formula>NOT(ISERROR(SEARCH("U",O512)))</formula>
    </cfRule>
    <cfRule type="containsText" dxfId="238" priority="56" operator="containsText" text="K">
      <formula>NOT(ISERROR(SEARCH("K",O512)))</formula>
    </cfRule>
  </conditionalFormatting>
  <conditionalFormatting sqref="O522:O528">
    <cfRule type="containsText" dxfId="237" priority="42" operator="containsText" text="S">
      <formula>NOT(ISERROR(SEARCH("S",O522)))</formula>
    </cfRule>
    <cfRule type="containsText" dxfId="236" priority="43" operator="containsText" text="UÜ">
      <formula>NOT(ISERROR(SEARCH("UÜ",O522)))</formula>
    </cfRule>
    <cfRule type="containsText" dxfId="235" priority="44" operator="containsText" text="Ü">
      <formula>NOT(ISERROR(SEARCH("Ü",O522)))</formula>
    </cfRule>
    <cfRule type="containsText" dxfId="234" priority="45" operator="containsText" text="U">
      <formula>NOT(ISERROR(SEARCH("U",O522)))</formula>
    </cfRule>
    <cfRule type="containsText" dxfId="233" priority="46" operator="containsText" text="K">
      <formula>NOT(ISERROR(SEARCH("K",O522)))</formula>
    </cfRule>
  </conditionalFormatting>
  <conditionalFormatting sqref="O532:O538">
    <cfRule type="containsText" dxfId="232" priority="32" operator="containsText" text="S">
      <formula>NOT(ISERROR(SEARCH("S",O532)))</formula>
    </cfRule>
    <cfRule type="containsText" dxfId="231" priority="33" operator="containsText" text="UÜ">
      <formula>NOT(ISERROR(SEARCH("UÜ",O532)))</formula>
    </cfRule>
    <cfRule type="containsText" dxfId="230" priority="34" operator="containsText" text="Ü">
      <formula>NOT(ISERROR(SEARCH("Ü",O532)))</formula>
    </cfRule>
    <cfRule type="containsText" dxfId="229" priority="35" operator="containsText" text="U">
      <formula>NOT(ISERROR(SEARCH("U",O532)))</formula>
    </cfRule>
    <cfRule type="containsText" dxfId="228" priority="36" operator="containsText" text="K">
      <formula>NOT(ISERROR(SEARCH("K",O532)))</formula>
    </cfRule>
  </conditionalFormatting>
  <conditionalFormatting sqref="O542:O548">
    <cfRule type="containsText" dxfId="227" priority="22" operator="containsText" text="S">
      <formula>NOT(ISERROR(SEARCH("S",O542)))</formula>
    </cfRule>
    <cfRule type="containsText" dxfId="226" priority="23" operator="containsText" text="UÜ">
      <formula>NOT(ISERROR(SEARCH("UÜ",O542)))</formula>
    </cfRule>
    <cfRule type="containsText" dxfId="225" priority="24" operator="containsText" text="Ü">
      <formula>NOT(ISERROR(SEARCH("Ü",O542)))</formula>
    </cfRule>
    <cfRule type="containsText" dxfId="224" priority="25" operator="containsText" text="U">
      <formula>NOT(ISERROR(SEARCH("U",O542)))</formula>
    </cfRule>
    <cfRule type="containsText" dxfId="223" priority="26" operator="containsText" text="K">
      <formula>NOT(ISERROR(SEARCH("K",O542)))</formula>
    </cfRule>
  </conditionalFormatting>
  <conditionalFormatting sqref="O552:O558">
    <cfRule type="containsText" dxfId="222" priority="12" operator="containsText" text="S">
      <formula>NOT(ISERROR(SEARCH("S",O552)))</formula>
    </cfRule>
    <cfRule type="containsText" dxfId="221" priority="13" operator="containsText" text="UÜ">
      <formula>NOT(ISERROR(SEARCH("UÜ",O552)))</formula>
    </cfRule>
    <cfRule type="containsText" dxfId="220" priority="14" operator="containsText" text="Ü">
      <formula>NOT(ISERROR(SEARCH("Ü",O552)))</formula>
    </cfRule>
    <cfRule type="containsText" dxfId="219" priority="15" operator="containsText" text="U">
      <formula>NOT(ISERROR(SEARCH("U",O552)))</formula>
    </cfRule>
    <cfRule type="containsText" dxfId="218" priority="16" operator="containsText" text="K">
      <formula>NOT(ISERROR(SEARCH("K",O552)))</formula>
    </cfRule>
  </conditionalFormatting>
  <conditionalFormatting sqref="T32:T38">
    <cfRule type="cellIs" dxfId="217" priority="4027" operator="lessThan">
      <formula>0</formula>
    </cfRule>
    <cfRule type="cellIs" dxfId="216" priority="4028" operator="greaterThan">
      <formula>0</formula>
    </cfRule>
  </conditionalFormatting>
  <conditionalFormatting sqref="T32:U38">
    <cfRule type="containsText" dxfId="215" priority="6" operator="containsText" text="__:__">
      <formula>NOT(ISERROR(SEARCH("__:__",T32)))</formula>
    </cfRule>
  </conditionalFormatting>
  <conditionalFormatting sqref="T42:U48">
    <cfRule type="cellIs" dxfId="214" priority="3133" operator="lessThan">
      <formula>0</formula>
    </cfRule>
    <cfRule type="cellIs" dxfId="213" priority="3134" operator="greaterThan">
      <formula>0</formula>
    </cfRule>
  </conditionalFormatting>
  <conditionalFormatting sqref="T52:U58">
    <cfRule type="cellIs" dxfId="212" priority="797" operator="lessThan">
      <formula>0</formula>
    </cfRule>
    <cfRule type="cellIs" dxfId="211" priority="798" operator="greaterThan">
      <formula>0</formula>
    </cfRule>
  </conditionalFormatting>
  <conditionalFormatting sqref="T62:U68">
    <cfRule type="cellIs" dxfId="210" priority="3094" operator="lessThan">
      <formula>0</formula>
    </cfRule>
    <cfRule type="cellIs" dxfId="209" priority="3095" operator="greaterThan">
      <formula>0</formula>
    </cfRule>
  </conditionalFormatting>
  <conditionalFormatting sqref="T72:U78">
    <cfRule type="cellIs" dxfId="208" priority="3078" operator="lessThan">
      <formula>0</formula>
    </cfRule>
    <cfRule type="cellIs" dxfId="207" priority="3079" operator="greaterThan">
      <formula>0</formula>
    </cfRule>
  </conditionalFormatting>
  <conditionalFormatting sqref="T82:U88">
    <cfRule type="cellIs" dxfId="206" priority="3060" operator="lessThan">
      <formula>0</formula>
    </cfRule>
    <cfRule type="cellIs" dxfId="205" priority="3061" operator="greaterThan">
      <formula>0</formula>
    </cfRule>
  </conditionalFormatting>
  <conditionalFormatting sqref="T92:U98">
    <cfRule type="cellIs" dxfId="204" priority="3044" operator="lessThan">
      <formula>0</formula>
    </cfRule>
    <cfRule type="cellIs" dxfId="203" priority="3045" operator="greaterThan">
      <formula>0</formula>
    </cfRule>
  </conditionalFormatting>
  <conditionalFormatting sqref="T102:U108">
    <cfRule type="cellIs" dxfId="202" priority="3028" operator="lessThan">
      <formula>0</formula>
    </cfRule>
    <cfRule type="cellIs" dxfId="201" priority="3029" operator="greaterThan">
      <formula>0</formula>
    </cfRule>
  </conditionalFormatting>
  <conditionalFormatting sqref="T112:U118">
    <cfRule type="cellIs" dxfId="200" priority="3012" operator="lessThan">
      <formula>0</formula>
    </cfRule>
    <cfRule type="cellIs" dxfId="199" priority="3013" operator="greaterThan">
      <formula>0</formula>
    </cfRule>
  </conditionalFormatting>
  <conditionalFormatting sqref="T122:U128">
    <cfRule type="cellIs" dxfId="198" priority="2996" operator="lessThan">
      <formula>0</formula>
    </cfRule>
    <cfRule type="cellIs" dxfId="197" priority="2997" operator="greaterThan">
      <formula>0</formula>
    </cfRule>
  </conditionalFormatting>
  <conditionalFormatting sqref="T132:U138">
    <cfRule type="cellIs" dxfId="196" priority="2980" operator="lessThan">
      <formula>0</formula>
    </cfRule>
    <cfRule type="cellIs" dxfId="195" priority="2981" operator="greaterThan">
      <formula>0</formula>
    </cfRule>
  </conditionalFormatting>
  <conditionalFormatting sqref="T142:U148">
    <cfRule type="cellIs" dxfId="194" priority="2964" operator="lessThan">
      <formula>0</formula>
    </cfRule>
    <cfRule type="cellIs" dxfId="193" priority="2965" operator="greaterThan">
      <formula>0</formula>
    </cfRule>
  </conditionalFormatting>
  <conditionalFormatting sqref="T152:U158">
    <cfRule type="cellIs" dxfId="192" priority="2948" operator="lessThan">
      <formula>0</formula>
    </cfRule>
    <cfRule type="cellIs" dxfId="191" priority="2949" operator="greaterThan">
      <formula>0</formula>
    </cfRule>
  </conditionalFormatting>
  <conditionalFormatting sqref="T162:U168">
    <cfRule type="cellIs" dxfId="190" priority="2932" operator="lessThan">
      <formula>0</formula>
    </cfRule>
    <cfRule type="cellIs" dxfId="189" priority="2933" operator="greaterThan">
      <formula>0</formula>
    </cfRule>
  </conditionalFormatting>
  <conditionalFormatting sqref="T172:U178">
    <cfRule type="cellIs" dxfId="188" priority="2916" operator="lessThan">
      <formula>0</formula>
    </cfRule>
    <cfRule type="cellIs" dxfId="187" priority="2917" operator="greaterThan">
      <formula>0</formula>
    </cfRule>
  </conditionalFormatting>
  <conditionalFormatting sqref="T182:U188">
    <cfRule type="cellIs" dxfId="186" priority="2900" operator="lessThan">
      <formula>0</formula>
    </cfRule>
    <cfRule type="cellIs" dxfId="185" priority="2901" operator="greaterThan">
      <formula>0</formula>
    </cfRule>
  </conditionalFormatting>
  <conditionalFormatting sqref="T192:U198">
    <cfRule type="cellIs" dxfId="184" priority="2884" operator="lessThan">
      <formula>0</formula>
    </cfRule>
    <cfRule type="cellIs" dxfId="183" priority="2885" operator="greaterThan">
      <formula>0</formula>
    </cfRule>
  </conditionalFormatting>
  <conditionalFormatting sqref="T202:U208">
    <cfRule type="cellIs" dxfId="182" priority="2868" operator="lessThan">
      <formula>0</formula>
    </cfRule>
    <cfRule type="cellIs" dxfId="181" priority="2869" operator="greaterThan">
      <formula>0</formula>
    </cfRule>
  </conditionalFormatting>
  <conditionalFormatting sqref="T212:U218">
    <cfRule type="cellIs" dxfId="180" priority="2852" operator="lessThan">
      <formula>0</formula>
    </cfRule>
    <cfRule type="cellIs" dxfId="179" priority="2853" operator="greaterThan">
      <formula>0</formula>
    </cfRule>
  </conditionalFormatting>
  <conditionalFormatting sqref="T222:U228">
    <cfRule type="cellIs" dxfId="178" priority="2836" operator="lessThan">
      <formula>0</formula>
    </cfRule>
    <cfRule type="cellIs" dxfId="177" priority="2837" operator="greaterThan">
      <formula>0</formula>
    </cfRule>
  </conditionalFormatting>
  <conditionalFormatting sqref="T232:U238">
    <cfRule type="cellIs" dxfId="176" priority="2820" operator="lessThan">
      <formula>0</formula>
    </cfRule>
    <cfRule type="cellIs" dxfId="175" priority="2821" operator="greaterThan">
      <formula>0</formula>
    </cfRule>
  </conditionalFormatting>
  <conditionalFormatting sqref="T242:U248">
    <cfRule type="cellIs" dxfId="174" priority="2804" operator="lessThan">
      <formula>0</formula>
    </cfRule>
    <cfRule type="cellIs" dxfId="173" priority="2805" operator="greaterThan">
      <formula>0</formula>
    </cfRule>
  </conditionalFormatting>
  <conditionalFormatting sqref="T252:U258">
    <cfRule type="cellIs" dxfId="172" priority="2788" operator="lessThan">
      <formula>0</formula>
    </cfRule>
    <cfRule type="cellIs" dxfId="171" priority="2789" operator="greaterThan">
      <formula>0</formula>
    </cfRule>
  </conditionalFormatting>
  <conditionalFormatting sqref="T262:U268">
    <cfRule type="cellIs" dxfId="170" priority="2772" operator="lessThan">
      <formula>0</formula>
    </cfRule>
    <cfRule type="cellIs" dxfId="169" priority="2773" operator="greaterThan">
      <formula>0</formula>
    </cfRule>
  </conditionalFormatting>
  <conditionalFormatting sqref="T272:U278">
    <cfRule type="cellIs" dxfId="168" priority="2756" operator="lessThan">
      <formula>0</formula>
    </cfRule>
    <cfRule type="cellIs" dxfId="167" priority="2757" operator="greaterThan">
      <formula>0</formula>
    </cfRule>
  </conditionalFormatting>
  <conditionalFormatting sqref="T282:U288">
    <cfRule type="cellIs" dxfId="166" priority="2740" operator="lessThan">
      <formula>0</formula>
    </cfRule>
    <cfRule type="cellIs" dxfId="165" priority="2741" operator="greaterThan">
      <formula>0</formula>
    </cfRule>
  </conditionalFormatting>
  <conditionalFormatting sqref="T292:U298">
    <cfRule type="cellIs" dxfId="164" priority="2724" operator="lessThan">
      <formula>0</formula>
    </cfRule>
    <cfRule type="cellIs" dxfId="163" priority="2725" operator="greaterThan">
      <formula>0</formula>
    </cfRule>
  </conditionalFormatting>
  <conditionalFormatting sqref="T302:U308">
    <cfRule type="cellIs" dxfId="162" priority="2708" operator="lessThan">
      <formula>0</formula>
    </cfRule>
    <cfRule type="cellIs" dxfId="161" priority="2709" operator="greaterThan">
      <formula>0</formula>
    </cfRule>
  </conditionalFormatting>
  <conditionalFormatting sqref="T312:U318">
    <cfRule type="cellIs" dxfId="160" priority="2692" operator="lessThan">
      <formula>0</formula>
    </cfRule>
    <cfRule type="cellIs" dxfId="159" priority="2693" operator="greaterThan">
      <formula>0</formula>
    </cfRule>
  </conditionalFormatting>
  <conditionalFormatting sqref="T322:U328">
    <cfRule type="cellIs" dxfId="158" priority="2676" operator="lessThan">
      <formula>0</formula>
    </cfRule>
    <cfRule type="cellIs" dxfId="157" priority="2677" operator="greaterThan">
      <formula>0</formula>
    </cfRule>
  </conditionalFormatting>
  <conditionalFormatting sqref="T332:U338">
    <cfRule type="cellIs" dxfId="156" priority="2660" operator="lessThan">
      <formula>0</formula>
    </cfRule>
    <cfRule type="cellIs" dxfId="155" priority="2661" operator="greaterThan">
      <formula>0</formula>
    </cfRule>
  </conditionalFormatting>
  <conditionalFormatting sqref="T342:U348">
    <cfRule type="cellIs" dxfId="154" priority="2644" operator="lessThan">
      <formula>0</formula>
    </cfRule>
    <cfRule type="cellIs" dxfId="153" priority="2645" operator="greaterThan">
      <formula>0</formula>
    </cfRule>
  </conditionalFormatting>
  <conditionalFormatting sqref="T352:U358">
    <cfRule type="cellIs" dxfId="152" priority="2628" operator="lessThan">
      <formula>0</formula>
    </cfRule>
    <cfRule type="cellIs" dxfId="151" priority="2629" operator="greaterThan">
      <formula>0</formula>
    </cfRule>
  </conditionalFormatting>
  <conditionalFormatting sqref="T362:U368">
    <cfRule type="cellIs" dxfId="150" priority="2612" operator="lessThan">
      <formula>0</formula>
    </cfRule>
    <cfRule type="cellIs" dxfId="149" priority="2613" operator="greaterThan">
      <formula>0</formula>
    </cfRule>
  </conditionalFormatting>
  <conditionalFormatting sqref="T372:U378">
    <cfRule type="cellIs" dxfId="148" priority="2596" operator="lessThan">
      <formula>0</formula>
    </cfRule>
    <cfRule type="cellIs" dxfId="147" priority="2597" operator="greaterThan">
      <formula>0</formula>
    </cfRule>
  </conditionalFormatting>
  <conditionalFormatting sqref="T382:U388">
    <cfRule type="cellIs" dxfId="146" priority="2580" operator="lessThan">
      <formula>0</formula>
    </cfRule>
    <cfRule type="cellIs" dxfId="145" priority="2581" operator="greaterThan">
      <formula>0</formula>
    </cfRule>
  </conditionalFormatting>
  <conditionalFormatting sqref="T392:U398">
    <cfRule type="cellIs" dxfId="144" priority="2564" operator="lessThan">
      <formula>0</formula>
    </cfRule>
    <cfRule type="cellIs" dxfId="143" priority="2565" operator="greaterThan">
      <formula>0</formula>
    </cfRule>
  </conditionalFormatting>
  <conditionalFormatting sqref="T402:U408">
    <cfRule type="cellIs" dxfId="142" priority="2548" operator="lessThan">
      <formula>0</formula>
    </cfRule>
    <cfRule type="cellIs" dxfId="141" priority="2549" operator="greaterThan">
      <formula>0</formula>
    </cfRule>
  </conditionalFormatting>
  <conditionalFormatting sqref="T412:U418">
    <cfRule type="cellIs" dxfId="140" priority="2532" operator="lessThan">
      <formula>0</formula>
    </cfRule>
    <cfRule type="cellIs" dxfId="139" priority="2533" operator="greaterThan">
      <formula>0</formula>
    </cfRule>
  </conditionalFormatting>
  <conditionalFormatting sqref="T422:U428">
    <cfRule type="cellIs" dxfId="138" priority="2516" operator="lessThan">
      <formula>0</formula>
    </cfRule>
    <cfRule type="cellIs" dxfId="137" priority="2517" operator="greaterThan">
      <formula>0</formula>
    </cfRule>
  </conditionalFormatting>
  <conditionalFormatting sqref="T432:U438">
    <cfRule type="cellIs" dxfId="136" priority="2500" operator="lessThan">
      <formula>0</formula>
    </cfRule>
    <cfRule type="cellIs" dxfId="135" priority="2501" operator="greaterThan">
      <formula>0</formula>
    </cfRule>
  </conditionalFormatting>
  <conditionalFormatting sqref="T442:U448">
    <cfRule type="cellIs" dxfId="134" priority="2484" operator="lessThan">
      <formula>0</formula>
    </cfRule>
    <cfRule type="cellIs" dxfId="133" priority="2485" operator="greaterThan">
      <formula>0</formula>
    </cfRule>
  </conditionalFormatting>
  <conditionalFormatting sqref="T452:U458">
    <cfRule type="cellIs" dxfId="132" priority="2468" operator="lessThan">
      <formula>0</formula>
    </cfRule>
    <cfRule type="cellIs" dxfId="131" priority="2469" operator="greaterThan">
      <formula>0</formula>
    </cfRule>
  </conditionalFormatting>
  <conditionalFormatting sqref="T462:U468">
    <cfRule type="cellIs" dxfId="130" priority="2452" operator="lessThan">
      <formula>0</formula>
    </cfRule>
    <cfRule type="cellIs" dxfId="129" priority="2453" operator="greaterThan">
      <formula>0</formula>
    </cfRule>
  </conditionalFormatting>
  <conditionalFormatting sqref="T472:U478">
    <cfRule type="cellIs" dxfId="128" priority="2436" operator="lessThan">
      <formula>0</formula>
    </cfRule>
    <cfRule type="cellIs" dxfId="127" priority="2437" operator="greaterThan">
      <formula>0</formula>
    </cfRule>
  </conditionalFormatting>
  <conditionalFormatting sqref="T482:U488">
    <cfRule type="cellIs" dxfId="126" priority="2420" operator="lessThan">
      <formula>0</formula>
    </cfRule>
    <cfRule type="cellIs" dxfId="125" priority="2421" operator="greaterThan">
      <formula>0</formula>
    </cfRule>
  </conditionalFormatting>
  <conditionalFormatting sqref="T492:U498">
    <cfRule type="cellIs" dxfId="124" priority="2404" operator="lessThan">
      <formula>0</formula>
    </cfRule>
    <cfRule type="cellIs" dxfId="123" priority="2405" operator="greaterThan">
      <formula>0</formula>
    </cfRule>
  </conditionalFormatting>
  <conditionalFormatting sqref="T502:U508">
    <cfRule type="cellIs" dxfId="122" priority="2388" operator="lessThan">
      <formula>0</formula>
    </cfRule>
    <cfRule type="cellIs" dxfId="121" priority="2389" operator="greaterThan">
      <formula>0</formula>
    </cfRule>
  </conditionalFormatting>
  <conditionalFormatting sqref="T512:U518">
    <cfRule type="cellIs" dxfId="120" priority="2372" operator="lessThan">
      <formula>0</formula>
    </cfRule>
    <cfRule type="cellIs" dxfId="119" priority="2373" operator="greaterThan">
      <formula>0</formula>
    </cfRule>
  </conditionalFormatting>
  <conditionalFormatting sqref="T522:U528">
    <cfRule type="cellIs" dxfId="118" priority="2356" operator="lessThan">
      <formula>0</formula>
    </cfRule>
    <cfRule type="cellIs" dxfId="117" priority="2357" operator="greaterThan">
      <formula>0</formula>
    </cfRule>
  </conditionalFormatting>
  <conditionalFormatting sqref="T532:U538">
    <cfRule type="cellIs" dxfId="116" priority="2340" operator="lessThan">
      <formula>0</formula>
    </cfRule>
    <cfRule type="cellIs" dxfId="115" priority="2341" operator="greaterThan">
      <formula>0</formula>
    </cfRule>
  </conditionalFormatting>
  <conditionalFormatting sqref="T542:U548">
    <cfRule type="cellIs" dxfId="114" priority="2324" operator="lessThan">
      <formula>0</formula>
    </cfRule>
    <cfRule type="cellIs" dxfId="113" priority="2325" operator="greaterThan">
      <formula>0</formula>
    </cfRule>
  </conditionalFormatting>
  <conditionalFormatting sqref="T552:U558">
    <cfRule type="containsText" dxfId="112" priority="1" operator="containsText" text="__:__">
      <formula>NOT(ISERROR(SEARCH("__:__",T552)))</formula>
    </cfRule>
    <cfRule type="cellIs" dxfId="111" priority="2308" operator="lessThan">
      <formula>0</formula>
    </cfRule>
    <cfRule type="cellIs" dxfId="110" priority="2309" operator="greaterThan">
      <formula>0</formula>
    </cfRule>
  </conditionalFormatting>
  <conditionalFormatting sqref="X8">
    <cfRule type="cellIs" dxfId="109" priority="3073" operator="lessThan">
      <formula>0</formula>
    </cfRule>
    <cfRule type="cellIs" dxfId="108" priority="3074" operator="greaterThan">
      <formula>0</formula>
    </cfRule>
  </conditionalFormatting>
  <conditionalFormatting sqref="X34">
    <cfRule type="cellIs" dxfId="107" priority="4025" operator="lessThan">
      <formula>0</formula>
    </cfRule>
    <cfRule type="cellIs" dxfId="106" priority="4026" operator="greaterThan">
      <formula>0</formula>
    </cfRule>
  </conditionalFormatting>
  <conditionalFormatting sqref="X44">
    <cfRule type="cellIs" dxfId="105" priority="3131" operator="lessThan">
      <formula>0</formula>
    </cfRule>
    <cfRule type="cellIs" dxfId="104" priority="3132" operator="greaterThan">
      <formula>0</formula>
    </cfRule>
  </conditionalFormatting>
  <conditionalFormatting sqref="X54">
    <cfRule type="cellIs" dxfId="103" priority="795" operator="lessThan">
      <formula>0</formula>
    </cfRule>
    <cfRule type="cellIs" dxfId="102" priority="796" operator="greaterThan">
      <formula>0</formula>
    </cfRule>
  </conditionalFormatting>
  <conditionalFormatting sqref="X64">
    <cfRule type="cellIs" dxfId="101" priority="3092" operator="lessThan">
      <formula>0</formula>
    </cfRule>
    <cfRule type="cellIs" dxfId="100" priority="3093" operator="greaterThan">
      <formula>0</formula>
    </cfRule>
  </conditionalFormatting>
  <conditionalFormatting sqref="X74">
    <cfRule type="cellIs" dxfId="99" priority="3076" operator="lessThan">
      <formula>0</formula>
    </cfRule>
    <cfRule type="cellIs" dxfId="98" priority="3077" operator="greaterThan">
      <formula>0</formula>
    </cfRule>
  </conditionalFormatting>
  <conditionalFormatting sqref="X84">
    <cfRule type="cellIs" dxfId="97" priority="3058" operator="lessThan">
      <formula>0</formula>
    </cfRule>
    <cfRule type="cellIs" dxfId="96" priority="3059" operator="greaterThan">
      <formula>0</formula>
    </cfRule>
  </conditionalFormatting>
  <conditionalFormatting sqref="X94">
    <cfRule type="cellIs" dxfId="95" priority="3042" operator="lessThan">
      <formula>0</formula>
    </cfRule>
    <cfRule type="cellIs" dxfId="94" priority="3043" operator="greaterThan">
      <formula>0</formula>
    </cfRule>
  </conditionalFormatting>
  <conditionalFormatting sqref="X104">
    <cfRule type="cellIs" dxfId="93" priority="3026" operator="lessThan">
      <formula>0</formula>
    </cfRule>
    <cfRule type="cellIs" dxfId="92" priority="3027" operator="greaterThan">
      <formula>0</formula>
    </cfRule>
  </conditionalFormatting>
  <conditionalFormatting sqref="X114">
    <cfRule type="cellIs" dxfId="91" priority="3010" operator="lessThan">
      <formula>0</formula>
    </cfRule>
    <cfRule type="cellIs" dxfId="90" priority="3011" operator="greaterThan">
      <formula>0</formula>
    </cfRule>
  </conditionalFormatting>
  <conditionalFormatting sqref="X124">
    <cfRule type="cellIs" dxfId="89" priority="2994" operator="lessThan">
      <formula>0</formula>
    </cfRule>
    <cfRule type="cellIs" dxfId="88" priority="2995" operator="greaterThan">
      <formula>0</formula>
    </cfRule>
  </conditionalFormatting>
  <conditionalFormatting sqref="X134">
    <cfRule type="cellIs" dxfId="87" priority="2978" operator="lessThan">
      <formula>0</formula>
    </cfRule>
    <cfRule type="cellIs" dxfId="86" priority="2979" operator="greaterThan">
      <formula>0</formula>
    </cfRule>
  </conditionalFormatting>
  <conditionalFormatting sqref="X144">
    <cfRule type="cellIs" dxfId="85" priority="2962" operator="lessThan">
      <formula>0</formula>
    </cfRule>
    <cfRule type="cellIs" dxfId="84" priority="2963" operator="greaterThan">
      <formula>0</formula>
    </cfRule>
  </conditionalFormatting>
  <conditionalFormatting sqref="X154">
    <cfRule type="cellIs" dxfId="83" priority="2946" operator="lessThan">
      <formula>0</formula>
    </cfRule>
    <cfRule type="cellIs" dxfId="82" priority="2947" operator="greaterThan">
      <formula>0</formula>
    </cfRule>
  </conditionalFormatting>
  <conditionalFormatting sqref="X164">
    <cfRule type="cellIs" dxfId="81" priority="2930" operator="lessThan">
      <formula>0</formula>
    </cfRule>
    <cfRule type="cellIs" dxfId="80" priority="2931" operator="greaterThan">
      <formula>0</formula>
    </cfRule>
  </conditionalFormatting>
  <conditionalFormatting sqref="X174">
    <cfRule type="cellIs" dxfId="79" priority="2914" operator="lessThan">
      <formula>0</formula>
    </cfRule>
    <cfRule type="cellIs" dxfId="78" priority="2915" operator="greaterThan">
      <formula>0</formula>
    </cfRule>
  </conditionalFormatting>
  <conditionalFormatting sqref="X184">
    <cfRule type="cellIs" dxfId="77" priority="2898" operator="lessThan">
      <formula>0</formula>
    </cfRule>
    <cfRule type="cellIs" dxfId="76" priority="2899" operator="greaterThan">
      <formula>0</formula>
    </cfRule>
  </conditionalFormatting>
  <conditionalFormatting sqref="X194">
    <cfRule type="cellIs" dxfId="75" priority="2882" operator="lessThan">
      <formula>0</formula>
    </cfRule>
    <cfRule type="cellIs" dxfId="74" priority="2883" operator="greaterThan">
      <formula>0</formula>
    </cfRule>
  </conditionalFormatting>
  <conditionalFormatting sqref="X204">
    <cfRule type="cellIs" dxfId="73" priority="2866" operator="lessThan">
      <formula>0</formula>
    </cfRule>
    <cfRule type="cellIs" dxfId="72" priority="2867" operator="greaterThan">
      <formula>0</formula>
    </cfRule>
  </conditionalFormatting>
  <conditionalFormatting sqref="X214">
    <cfRule type="cellIs" dxfId="71" priority="2850" operator="lessThan">
      <formula>0</formula>
    </cfRule>
    <cfRule type="cellIs" dxfId="70" priority="2851" operator="greaterThan">
      <formula>0</formula>
    </cfRule>
  </conditionalFormatting>
  <conditionalFormatting sqref="X224">
    <cfRule type="cellIs" dxfId="69" priority="2834" operator="lessThan">
      <formula>0</formula>
    </cfRule>
    <cfRule type="cellIs" dxfId="68" priority="2835" operator="greaterThan">
      <formula>0</formula>
    </cfRule>
  </conditionalFormatting>
  <conditionalFormatting sqref="X234">
    <cfRule type="cellIs" dxfId="67" priority="2818" operator="lessThan">
      <formula>0</formula>
    </cfRule>
    <cfRule type="cellIs" dxfId="66" priority="2819" operator="greaterThan">
      <formula>0</formula>
    </cfRule>
  </conditionalFormatting>
  <conditionalFormatting sqref="X244">
    <cfRule type="cellIs" dxfId="65" priority="2802" operator="lessThan">
      <formula>0</formula>
    </cfRule>
    <cfRule type="cellIs" dxfId="64" priority="2803" operator="greaterThan">
      <formula>0</formula>
    </cfRule>
  </conditionalFormatting>
  <conditionalFormatting sqref="X254">
    <cfRule type="cellIs" dxfId="63" priority="2786" operator="lessThan">
      <formula>0</formula>
    </cfRule>
    <cfRule type="cellIs" dxfId="62" priority="2787" operator="greaterThan">
      <formula>0</formula>
    </cfRule>
  </conditionalFormatting>
  <conditionalFormatting sqref="X264">
    <cfRule type="cellIs" dxfId="61" priority="2770" operator="lessThan">
      <formula>0</formula>
    </cfRule>
    <cfRule type="cellIs" dxfId="60" priority="2771" operator="greaterThan">
      <formula>0</formula>
    </cfRule>
  </conditionalFormatting>
  <conditionalFormatting sqref="X274">
    <cfRule type="cellIs" dxfId="59" priority="2754" operator="lessThan">
      <formula>0</formula>
    </cfRule>
    <cfRule type="cellIs" dxfId="58" priority="2755" operator="greaterThan">
      <formula>0</formula>
    </cfRule>
  </conditionalFormatting>
  <conditionalFormatting sqref="X284">
    <cfRule type="cellIs" dxfId="57" priority="2738" operator="lessThan">
      <formula>0</formula>
    </cfRule>
    <cfRule type="cellIs" dxfId="56" priority="2739" operator="greaterThan">
      <formula>0</formula>
    </cfRule>
  </conditionalFormatting>
  <conditionalFormatting sqref="X294">
    <cfRule type="cellIs" dxfId="55" priority="2722" operator="lessThan">
      <formula>0</formula>
    </cfRule>
    <cfRule type="cellIs" dxfId="54" priority="2723" operator="greaterThan">
      <formula>0</formula>
    </cfRule>
  </conditionalFormatting>
  <conditionalFormatting sqref="X304">
    <cfRule type="cellIs" dxfId="53" priority="2706" operator="lessThan">
      <formula>0</formula>
    </cfRule>
    <cfRule type="cellIs" dxfId="52" priority="2707" operator="greaterThan">
      <formula>0</formula>
    </cfRule>
  </conditionalFormatting>
  <conditionalFormatting sqref="X314">
    <cfRule type="cellIs" dxfId="51" priority="2690" operator="lessThan">
      <formula>0</formula>
    </cfRule>
    <cfRule type="cellIs" dxfId="50" priority="2691" operator="greaterThan">
      <formula>0</formula>
    </cfRule>
  </conditionalFormatting>
  <conditionalFormatting sqref="X324">
    <cfRule type="cellIs" dxfId="49" priority="2674" operator="lessThan">
      <formula>0</formula>
    </cfRule>
    <cfRule type="cellIs" dxfId="48" priority="2675" operator="greaterThan">
      <formula>0</formula>
    </cfRule>
  </conditionalFormatting>
  <conditionalFormatting sqref="X334">
    <cfRule type="cellIs" dxfId="47" priority="2658" operator="lessThan">
      <formula>0</formula>
    </cfRule>
    <cfRule type="cellIs" dxfId="46" priority="2659" operator="greaterThan">
      <formula>0</formula>
    </cfRule>
  </conditionalFormatting>
  <conditionalFormatting sqref="X344">
    <cfRule type="cellIs" dxfId="45" priority="2642" operator="lessThan">
      <formula>0</formula>
    </cfRule>
    <cfRule type="cellIs" dxfId="44" priority="2643" operator="greaterThan">
      <formula>0</formula>
    </cfRule>
  </conditionalFormatting>
  <conditionalFormatting sqref="X354">
    <cfRule type="cellIs" dxfId="43" priority="2626" operator="lessThan">
      <formula>0</formula>
    </cfRule>
    <cfRule type="cellIs" dxfId="42" priority="2627" operator="greaterThan">
      <formula>0</formula>
    </cfRule>
  </conditionalFormatting>
  <conditionalFormatting sqref="X364">
    <cfRule type="cellIs" dxfId="41" priority="2610" operator="lessThan">
      <formula>0</formula>
    </cfRule>
    <cfRule type="cellIs" dxfId="40" priority="2611" operator="greaterThan">
      <formula>0</formula>
    </cfRule>
  </conditionalFormatting>
  <conditionalFormatting sqref="X374">
    <cfRule type="cellIs" dxfId="39" priority="2594" operator="lessThan">
      <formula>0</formula>
    </cfRule>
    <cfRule type="cellIs" dxfId="38" priority="2595" operator="greaterThan">
      <formula>0</formula>
    </cfRule>
  </conditionalFormatting>
  <conditionalFormatting sqref="X384">
    <cfRule type="cellIs" dxfId="37" priority="2578" operator="lessThan">
      <formula>0</formula>
    </cfRule>
    <cfRule type="cellIs" dxfId="36" priority="2579" operator="greaterThan">
      <formula>0</formula>
    </cfRule>
  </conditionalFormatting>
  <conditionalFormatting sqref="X394">
    <cfRule type="cellIs" dxfId="35" priority="2562" operator="lessThan">
      <formula>0</formula>
    </cfRule>
    <cfRule type="cellIs" dxfId="34" priority="2563" operator="greaterThan">
      <formula>0</formula>
    </cfRule>
  </conditionalFormatting>
  <conditionalFormatting sqref="X404">
    <cfRule type="cellIs" dxfId="33" priority="2546" operator="lessThan">
      <formula>0</formula>
    </cfRule>
    <cfRule type="cellIs" dxfId="32" priority="2547" operator="greaterThan">
      <formula>0</formula>
    </cfRule>
  </conditionalFormatting>
  <conditionalFormatting sqref="X414">
    <cfRule type="cellIs" dxfId="31" priority="2530" operator="lessThan">
      <formula>0</formula>
    </cfRule>
    <cfRule type="cellIs" dxfId="30" priority="2531" operator="greaterThan">
      <formula>0</formula>
    </cfRule>
  </conditionalFormatting>
  <conditionalFormatting sqref="X424">
    <cfRule type="cellIs" dxfId="29" priority="2514" operator="lessThan">
      <formula>0</formula>
    </cfRule>
    <cfRule type="cellIs" dxfId="28" priority="2515" operator="greaterThan">
      <formula>0</formula>
    </cfRule>
  </conditionalFormatting>
  <conditionalFormatting sqref="X434">
    <cfRule type="cellIs" dxfId="27" priority="2498" operator="lessThan">
      <formula>0</formula>
    </cfRule>
    <cfRule type="cellIs" dxfId="26" priority="2499" operator="greaterThan">
      <formula>0</formula>
    </cfRule>
  </conditionalFormatting>
  <conditionalFormatting sqref="X444">
    <cfRule type="cellIs" dxfId="25" priority="2482" operator="lessThan">
      <formula>0</formula>
    </cfRule>
    <cfRule type="cellIs" dxfId="24" priority="2483" operator="greaterThan">
      <formula>0</formula>
    </cfRule>
  </conditionalFormatting>
  <conditionalFormatting sqref="X454">
    <cfRule type="cellIs" dxfId="23" priority="2466" operator="lessThan">
      <formula>0</formula>
    </cfRule>
    <cfRule type="cellIs" dxfId="22" priority="2467" operator="greaterThan">
      <formula>0</formula>
    </cfRule>
  </conditionalFormatting>
  <conditionalFormatting sqref="X464">
    <cfRule type="cellIs" dxfId="21" priority="2450" operator="lessThan">
      <formula>0</formula>
    </cfRule>
    <cfRule type="cellIs" dxfId="20" priority="2451" operator="greaterThan">
      <formula>0</formula>
    </cfRule>
  </conditionalFormatting>
  <conditionalFormatting sqref="X474">
    <cfRule type="cellIs" dxfId="19" priority="2434" operator="lessThan">
      <formula>0</formula>
    </cfRule>
    <cfRule type="cellIs" dxfId="18" priority="2435" operator="greaterThan">
      <formula>0</formula>
    </cfRule>
  </conditionalFormatting>
  <conditionalFormatting sqref="X484">
    <cfRule type="cellIs" dxfId="17" priority="2418" operator="lessThan">
      <formula>0</formula>
    </cfRule>
    <cfRule type="cellIs" dxfId="16" priority="2419" operator="greaterThan">
      <formula>0</formula>
    </cfRule>
  </conditionalFormatting>
  <conditionalFormatting sqref="X494">
    <cfRule type="cellIs" dxfId="15" priority="2402" operator="lessThan">
      <formula>0</formula>
    </cfRule>
    <cfRule type="cellIs" dxfId="14" priority="2403" operator="greaterThan">
      <formula>0</formula>
    </cfRule>
  </conditionalFormatting>
  <conditionalFormatting sqref="X504">
    <cfRule type="cellIs" dxfId="13" priority="2386" operator="lessThan">
      <formula>0</formula>
    </cfRule>
    <cfRule type="cellIs" dxfId="12" priority="2387" operator="greaterThan">
      <formula>0</formula>
    </cfRule>
  </conditionalFormatting>
  <conditionalFormatting sqref="X514">
    <cfRule type="cellIs" dxfId="11" priority="2370" operator="lessThan">
      <formula>0</formula>
    </cfRule>
    <cfRule type="cellIs" dxfId="10" priority="2371" operator="greaterThan">
      <formula>0</formula>
    </cfRule>
  </conditionalFormatting>
  <conditionalFormatting sqref="X524">
    <cfRule type="cellIs" dxfId="9" priority="2354" operator="lessThan">
      <formula>0</formula>
    </cfRule>
    <cfRule type="cellIs" dxfId="8" priority="2355" operator="greaterThan">
      <formula>0</formula>
    </cfRule>
  </conditionalFormatting>
  <conditionalFormatting sqref="X534">
    <cfRule type="cellIs" dxfId="7" priority="2338" operator="lessThan">
      <formula>0</formula>
    </cfRule>
    <cfRule type="cellIs" dxfId="6" priority="2339" operator="greaterThan">
      <formula>0</formula>
    </cfRule>
  </conditionalFormatting>
  <conditionalFormatting sqref="X544">
    <cfRule type="cellIs" dxfId="5" priority="2322" operator="lessThan">
      <formula>0</formula>
    </cfRule>
    <cfRule type="cellIs" dxfId="4" priority="2323" operator="greaterThan">
      <formula>0</formula>
    </cfRule>
  </conditionalFormatting>
  <conditionalFormatting sqref="X554">
    <cfRule type="cellIs" dxfId="3" priority="2306" operator="lessThan">
      <formula>0</formula>
    </cfRule>
    <cfRule type="cellIs" dxfId="2" priority="2307" operator="greaterThan">
      <formula>0</formula>
    </cfRule>
  </conditionalFormatting>
  <conditionalFormatting sqref="Z8">
    <cfRule type="cellIs" dxfId="1" priority="2303" operator="lessThan">
      <formula>0</formula>
    </cfRule>
    <cfRule type="cellIs" dxfId="0" priority="2304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VORLAGE_Zeiterfassung_20--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2025-01-21T18:07:52Z</dcterms:modified>
</cp:coreProperties>
</file>