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<sst xmlns="http://schemas.openxmlformats.org/spreadsheetml/2006/main" count="650" uniqueCount="647">
  <si>
    <t>class, NOCom, NCLOC, DCP</t>
  </si>
  <si>
    <t>NoCom</t>
  </si>
  <si>
    <t>NCLOC</t>
  </si>
  <si>
    <t>DCP</t>
  </si>
  <si>
    <t>NoCom (Extr)</t>
  </si>
  <si>
    <t>NCLOC (Extr)</t>
  </si>
  <si>
    <t>DCP (Extr)</t>
  </si>
  <si>
    <t>NoCom (name)</t>
  </si>
  <si>
    <t>NCLOC (name)</t>
  </si>
  <si>
    <t>DCP (name)</t>
  </si>
  <si>
    <t>./src/main/java/org/jfree/chart/annotations/AbstractAnnotation.java,4,68,65.66</t>
  </si>
  <si>
    <t>Median</t>
  </si>
  <si>
    <t>./src/main/java/org/jfree/chart/annotations/AbstractXYAnnotation.java,6,77,58.6</t>
  </si>
  <si>
    <t>Upper Median</t>
  </si>
  <si>
    <t>./src/main/java/org/jfree/chart/annotations/Annotation.java,5,7,87.72</t>
  </si>
  <si>
    <t xml:space="preserve">Lower Median </t>
  </si>
  <si>
    <t>./src/main/java/org/jfree/chart/annotations/CategoryAnnotation.java,4,10,83.33</t>
  </si>
  <si>
    <t>Max</t>
  </si>
  <si>
    <t>./src/main/java/org/jfree/chart/annotations/CategoryLineAnnotation.java,12,198,49.23</t>
  </si>
  <si>
    <t>Min</t>
  </si>
  <si>
    <t>./src/main/java/org/jfree/chart/annotations/CategoryPointerAnnotation.java,12,238,50.42</t>
  </si>
  <si>
    <t>./src/main/java/org/jfree/chart/annotations/CategoryTextAnnotation.java,8,123,50</t>
  </si>
  <si>
    <t>./src/main/java/org/jfree/chart/annotations/TextAnnotation.java,11,137,56.37</t>
  </si>
  <si>
    <t>./src/main/java/org/jfree/chart/annotations/XYAnnotation.java,4,11,82.81</t>
  </si>
  <si>
    <t>./src/main/java/org/jfree/chart/annotations/XYAnnotationBoundsInfo.java,5,7,89.06</t>
  </si>
  <si>
    <t>./src/main/java/org/jfree/chart/annotations/XYBoxAnnotation.java,10,176,48.54</t>
  </si>
  <si>
    <t>./src/main/java/org/jfree/chart/annotations/XYDataImageAnnotation.java,10,159,52.54</t>
  </si>
  <si>
    <t>./src/main/java/org/jfree/chart/annotations/XYDrawableAnnotation.java,12,143,47.04</t>
  </si>
  <si>
    <t>./src/main/java/org/jfree/chart/annotations/XYImageAnnotation.java,12,134,50.74</t>
  </si>
  <si>
    <t>./src/main/java/org/jfree/chart/annotations/XYLineAnnotation.java,13,180,45.62</t>
  </si>
  <si>
    <t>./src/main/java/org/jfree/chart/annotations/XYPointerAnnotation.java,12,252,48.99</t>
  </si>
  <si>
    <t>./src/main/java/org/jfree/chart/annotations/XYPolygonAnnotation.java,13,171,46.73</t>
  </si>
  <si>
    <t>./src/main/java/org/jfree/chart/annotations/XYShapeAnnotation.java,11,152,44.12</t>
  </si>
  <si>
    <t>./src/main/java/org/jfree/chart/annotations/XYTextAnnotation.java,14,282,51.63</t>
  </si>
  <si>
    <t>./src/main/java/org/jfree/chart/annotations/XYTitleAnnotation.java,15,212,40.95</t>
  </si>
  <si>
    <t>./src/main/java/org/jfree/chart/api/HorizontalAlignment.java,2,6,87.5</t>
  </si>
  <si>
    <t>./src/main/java/org/jfree/chart/api/Layer.java,2,5,86.49</t>
  </si>
  <si>
    <t>./src/main/java/org/jfree/chart/api/LengthAdjustmentType.java,2,6,87.23</t>
  </si>
  <si>
    <t>./src/main/java/org/jfree/chart/api/PublicCloneable.java,2,5,90.57</t>
  </si>
  <si>
    <t>./src/main/java/org/jfree/chart/api/RectangleAlignment.java,2,80,37.5</t>
  </si>
  <si>
    <t>./src/main/java/org/jfree/chart/api/RectangleAnchor.java,3,95,37.5</t>
  </si>
  <si>
    <t>./src/main/java/org/jfree/chart/api/RectangleEdge.java,2,42,60.75</t>
  </si>
  <si>
    <t>./src/main/java/org/jfree/chart/api/RectangleInsets.java,5,245,49.28</t>
  </si>
  <si>
    <t>./src/main/java/org/jfree/chart/api/Rotation.java,2,12,82.09</t>
  </si>
  <si>
    <t>./src/main/java/org/jfree/chart/api/SortOrder.java,2,5,88.64</t>
  </si>
  <si>
    <t>./src/main/java/org/jfree/chart/api/TableOrder.java,2,5,88.64</t>
  </si>
  <si>
    <t>./src/main/java/org/jfree/chart/api/UnitType.java,2,5,88.64</t>
  </si>
  <si>
    <t>./src/main/java/org/jfree/chart/api/VerticalAlignment.java,2,6,87.5</t>
  </si>
  <si>
    <t>./src/main/java/org/jfree/chart/api/XYCoordinateType.java,3,6,88.68</t>
  </si>
  <si>
    <t>./src/main/java/org/jfree/chart/axis/Axis.java,15,789,48.63</t>
  </si>
  <si>
    <t>./src/main/java/org/jfree/chart/axis/AxisCollection.java,8,49,61.42</t>
  </si>
  <si>
    <t>./src/main/java/org/jfree/chart/axis/AxisLabelLocation.java,5,6,87.23</t>
  </si>
  <si>
    <t>./src/main/java/org/jfree/chart/axis/AxisLocation.java,9,26,67.9</t>
  </si>
  <si>
    <t>./src/main/java/org/jfree/chart/axis/AxisSpace.java,7,189,44.74</t>
  </si>
  <si>
    <t>./src/main/java/org/jfree/chart/axis/AxisState.java,7,66,62.29</t>
  </si>
  <si>
    <t>./src/main/java/org/jfree/chart/axis/CategoryAnchor.java,6,6,87.5</t>
  </si>
  <si>
    <t>./src/main/java/org/jfree/chart/axis/CategoryAxis.java,16,726,43.98</t>
  </si>
  <si>
    <t>./src/main/java/org/jfree/chart/axis/CategoryLabelPosition.java,8,99,56.77</t>
  </si>
  <si>
    <t>./src/main/java/org/jfree/chart/axis/CategoryLabelPositions.java,8,217,40.71</t>
  </si>
  <si>
    <t>./src/main/java/org/jfree/chart/axis/CategoryLabelWidthType.java,7,5,88.89</t>
  </si>
  <si>
    <t>./src/main/java/org/jfree/chart/axis/CategoryTick.java,6,55,58.33</t>
  </si>
  <si>
    <t>./src/main/java/org/jfree/chart/axis/CompassFormat.java,5,48,65.71</t>
  </si>
  <si>
    <t>./src/main/java/org/jfree/chart/axis/CyclicNumberAxis.java,11,653,37.69</t>
  </si>
  <si>
    <t>./src/main/java/org/jfree/chart/axis/DateAxis.java,17,1063,36.35</t>
  </si>
  <si>
    <t>./src/main/java/org/jfree/chart/axis/DateTick.java,8,42,65</t>
  </si>
  <si>
    <t>./src/main/java/org/jfree/chart/axis/DateTickMarkPosition.java,5,6,88.68</t>
  </si>
  <si>
    <t>./src/main/java/org/jfree/chart/axis/DateTickUnit.java,9,140,55.84</t>
  </si>
  <si>
    <t>./src/main/java/org/jfree/chart/axis/DateTickUnitType.java,4,18,75.68</t>
  </si>
  <si>
    <t>./src/main/java/org/jfree/chart/axis/ExtendedCategoryAxis.java,8,106,53.91</t>
  </si>
  <si>
    <t>./src/main/java/org/jfree/chart/axis/LogarithmicAxis.java,7,561,41.01</t>
  </si>
  <si>
    <t>./src/main/java/org/jfree/chart/axis/LogAxis.java,12,565,41.45</t>
  </si>
  <si>
    <t>./src/main/java/org/jfree/chart/axis/LogTick.java,4,14,80.56</t>
  </si>
  <si>
    <t>./src/main/java/org/jfree/chart/axis/MarkerAxisBand.java,9,133,45.04</t>
  </si>
  <si>
    <t>./src/main/java/org/jfree/chart/axis/ModuloAxis.java,6,215,45.98</t>
  </si>
  <si>
    <t>./src/main/java/org/jfree/chart/axis/MonthDateFormat.java,5,98,57.39</t>
  </si>
  <si>
    <t>./src/main/java/org/jfree/chart/axis/NumberAxis.java,10,597,41.7</t>
  </si>
  <si>
    <t>./src/main/java/org/jfree/chart/axis/NumberTick.java,6,19,77.38</t>
  </si>
  <si>
    <t>./src/main/java/org/jfree/chart/axis/NumberTickUnit.java,6,55,60.43</t>
  </si>
  <si>
    <t>./src/main/java/org/jfree/chart/axis/NumberTickUnitSource.java,6,157,26.64</t>
  </si>
  <si>
    <t>./src/main/java/org/jfree/chart/axis/PeriodAxis.java,14,670,38.98</t>
  </si>
  <si>
    <t>./src/main/java/org/jfree/chart/axis/PeriodAxisLabelInfo.java,9,158,50.63</t>
  </si>
  <si>
    <t>./src/main/java/org/jfree/chart/axis/QuarterDateFormat.java,5,81,54.24</t>
  </si>
  <si>
    <t>./src/main/java/org/jfree/chart/axis/StandardTickUnitSource.java,3,39,67.23</t>
  </si>
  <si>
    <t>./src/main/java/org/jfree/chart/axis/SubCategoryAxis.java,11,233,41.31</t>
  </si>
  <si>
    <t>./src/main/java/org/jfree/chart/axis/SymbolAxis.java,11,423,37.89</t>
  </si>
  <si>
    <t>./src/main/java/org/jfree/chart/axis/Tick.java,7,65,58.6</t>
  </si>
  <si>
    <t>./src/main/java/org/jfree/chart/axis/TickType.java,4,5,88.89</t>
  </si>
  <si>
    <t>./src/main/java/org/jfree/chart/axis/TickUnit.java,4,64,61.68</t>
  </si>
  <si>
    <t>./src/main/java/org/jfree/chart/axis/TickUnits.java,2,72,63.08</t>
  </si>
  <si>
    <t>./src/main/java/org/jfree/chart/axis/TickUnitSource.java,4,6,91.89</t>
  </si>
  <si>
    <t>./src/main/java/org/jfree/chart/axis/Timeline.java,4,11,91.73</t>
  </si>
  <si>
    <t>./src/main/java/org/jfree/chart/axis/ValueAxis.java,14,767,49.64</t>
  </si>
  <si>
    <t>./src/main/java/org/jfree/chart/axis/ValueTick.java,6,42,65.85</t>
  </si>
  <si>
    <t>./src/main/java/org/jfree/chart/block/AbstractBlock.java,13,259,55.73</t>
  </si>
  <si>
    <t>./src/main/java/org/jfree/chart/block/Arrangement.java,5,7,89.71</t>
  </si>
  <si>
    <t>./src/main/java/org/jfree/chart/block/Block.java,6,13,87.13</t>
  </si>
  <si>
    <t>./src/main/java/org/jfree/chart/block/BlockBorder.java,9,101,52.8</t>
  </si>
  <si>
    <t>./src/main/java/org/jfree/chart/block/BlockContainer.java,10,126,50.39</t>
  </si>
  <si>
    <t>./src/main/java/org/jfree/chart/block/BlockFrame.java,7,9,85</t>
  </si>
  <si>
    <t>./src/main/java/org/jfree/chart/block/BlockParams.java,2,30,76</t>
  </si>
  <si>
    <t>./src/main/java/org/jfree/chart/block/BlockResult.java,2,15,79.17</t>
  </si>
  <si>
    <t>./src/main/java/org/jfree/chart/block/BorderArrangement.java,6,382,25.24</t>
  </si>
  <si>
    <t>./src/main/java/org/jfree/chart/block/CenterArrangement.java,5,140,53.33</t>
  </si>
  <si>
    <t>./src/main/java/org/jfree/chart/block/ColorBlock.java,7,72,58.86</t>
  </si>
  <si>
    <t>./src/main/java/org/jfree/chart/block/ColumnArrangement.java,6,208,41.57</t>
  </si>
  <si>
    <t>./src/main/java/org/jfree/chart/block/EmptyBlock.java,5,33,70.27</t>
  </si>
  <si>
    <t>./src/main/java/org/jfree/chart/block/EntityBlockParams.java,3,4,92.59</t>
  </si>
  <si>
    <t>./src/main/java/org/jfree/chart/block/EntityBlockResult.java,3,5,90.57</t>
  </si>
  <si>
    <t>./src/main/java/org/jfree/chart/block/FlowArrangement.java,7,234,43.07</t>
  </si>
  <si>
    <t>./src/main/java/org/jfree/chart/block/GridArrangement.java,7,242,40.69</t>
  </si>
  <si>
    <t>./src/main/java/org/jfree/chart/block/LabelBlock.java,14,179,53.26</t>
  </si>
  <si>
    <t>./src/main/java/org/jfree/chart/block/LengthConstraintType.java,5,6,88.46</t>
  </si>
  <si>
    <t>./src/main/java/org/jfree/chart/block/LineBorder.java,11,118,44.86</t>
  </si>
  <si>
    <t>./src/main/java/org/jfree/chart/block/RectangleConstraint.java,7,149,53.44</t>
  </si>
  <si>
    <t>./src/main/java/org/jfree/chart/block/Size2D.java,2,59,60.4</t>
  </si>
  <si>
    <t>./src/main/java/org/jfree/chart/ChartColor.java,3,70,53.02</t>
  </si>
  <si>
    <t>./src/main/java/org/jfree/chart/ChartElement.java,2,4,91.67</t>
  </si>
  <si>
    <t>./src/main/java/org/jfree/chart/ChartElementVisitor.java,2,4,91.49</t>
  </si>
  <si>
    <t>./src/main/java/org/jfree/chart/ChartFactory.java,22,1000,46.52</t>
  </si>
  <si>
    <t>./src/main/java/org/jfree/chart/ChartHints.java,4,25,73.12</t>
  </si>
  <si>
    <t>./src/main/java/org/jfree/chart/ChartRenderingInfo.java,7,97,58.01</t>
  </si>
  <si>
    <t>./src/main/java/org/jfree/chart/ChartTheme.java,5,4,92.16</t>
  </si>
  <si>
    <t>./src/main/java/org/jfree/chart/ChartTransferable.java,7,102,55.84</t>
  </si>
  <si>
    <t>./src/main/java/org/jfree/chart/ChartUtils.java,10,235,62.7</t>
  </si>
  <si>
    <t>./src/main/java/org/jfree/chart/date/MonthConstants.java,5,15,76.92</t>
  </si>
  <si>
    <t>./src/main/java/org/jfree/chart/date/SerialDate.java,8,355,58.53</t>
  </si>
  <si>
    <t>./src/main/java/org/jfree/chart/date/SpreadsheetDate.java,6,175,56.79</t>
  </si>
  <si>
    <t>./src/main/java/org/jfree/chart/Drawable.java,2,6,86.05</t>
  </si>
  <si>
    <t>./src/main/java/org/jfree/chart/encoders/EncoderUtil.java,2,53,70.22</t>
  </si>
  <si>
    <t>./src/main/java/org/jfree/chart/encoders/ImageEncoder.java,3,13,86.32</t>
  </si>
  <si>
    <t>./src/main/java/org/jfree/chart/encoders/ImageEncoderFactory.java,4,52,63.64</t>
  </si>
  <si>
    <t>./src/main/java/org/jfree/chart/encoders/ImageFormat.java,3,6,88.46</t>
  </si>
  <si>
    <t>./src/main/java/org/jfree/chart/encoders/SunJPEGEncoderAdapter.java,5,59,62.18</t>
  </si>
  <si>
    <t>./src/main/java/org/jfree/chart/encoders/SunPNGEncoderAdapter.java,4,36,69.23</t>
  </si>
  <si>
    <t>./src/main/java/org/jfree/chart/entity/AxisEntity.java,10,79,58.64</t>
  </si>
  <si>
    <t>./src/main/java/org/jfree/chart/entity/CategoryItemEntity.java,11,65,62.86</t>
  </si>
  <si>
    <t>./src/main/java/org/jfree/chart/entity/CategoryLabelEntity.java,8,45,61.54</t>
  </si>
  <si>
    <t>./src/main/java/org/jfree/chart/entity/ChartEntity.java,9,181,51.21</t>
  </si>
  <si>
    <t>./src/main/java/org/jfree/chart/entity/EntityCollection.java,5,13,86.32</t>
  </si>
  <si>
    <t>./src/main/java/org/jfree/chart/entity/FlowEntity.java,2,38,63.46</t>
  </si>
  <si>
    <t>./src/main/java/org/jfree/chart/entity/JFreeChartEntity.java,10,79,58.42</t>
  </si>
  <si>
    <t>./src/main/java/org/jfree/chart/entity/LegendItemEntity.java,7,56,63.64</t>
  </si>
  <si>
    <t>./src/main/java/org/jfree/chart/entity/NodeEntity.java,2,23,73.86</t>
  </si>
  <si>
    <t>./src/main/java/org/jfree/chart/entity/PieSectionEntity.java,7,81,61.61</t>
  </si>
  <si>
    <t>./src/main/java/org/jfree/chart/entity/PlotEntity.java,10,79,58.42</t>
  </si>
  <si>
    <t>./src/main/java/org/jfree/chart/entity/StandardEntityCollection.java,8,86,54.74</t>
  </si>
  <si>
    <t>./src/main/java/org/jfree/chart/entity/TickLabelEntity.java,3,10,82.46</t>
  </si>
  <si>
    <t>./src/main/java/org/jfree/chart/entity/TitleEntity.java,10,79,58.42</t>
  </si>
  <si>
    <t>./src/main/java/org/jfree/chart/entity/XYAnnotationEntity.java,3,35,65.35</t>
  </si>
  <si>
    <t>./src/main/java/org/jfree/chart/entity/XYItemEntity.java,3,56,63.4</t>
  </si>
  <si>
    <t>./src/main/java/org/jfree/chart/event/AnnotationChangeEvent.java,7,14,78.79</t>
  </si>
  <si>
    <t>./src/main/java/org/jfree/chart/event/AnnotationChangeListener.java,5,6,88</t>
  </si>
  <si>
    <t>./src/main/java/org/jfree/chart/event/AxisChangeEvent.java,3,12,80.65</t>
  </si>
  <si>
    <t>./src/main/java/org/jfree/chart/event/AxisChangeListener.java,4,5,90.91</t>
  </si>
  <si>
    <t>./src/main/java/org/jfree/chart/event/ChartChangeEvent.java,4,34,70.43</t>
  </si>
  <si>
    <t>./src/main/java/org/jfree/chart/event/ChartChangeEventType.java,6,6,87.23</t>
  </si>
  <si>
    <t>./src/main/java/org/jfree/chart/event/ChartChangeListener.java,5,5,90.38</t>
  </si>
  <si>
    <t>./src/main/java/org/jfree/chart/event/ChartProgressEvent.java,4,35,69.57</t>
  </si>
  <si>
    <t>./src/main/java/org/jfree/chart/event/ChartProgressEventType.java,3,5,88.89</t>
  </si>
  <si>
    <t>./src/main/java/org/jfree/chart/event/ChartProgressListener.java,4,5,89.8</t>
  </si>
  <si>
    <t>./src/main/java/org/jfree/chart/event/MarkerChangeEvent.java,5,12,80.95</t>
  </si>
  <si>
    <t>./src/main/java/org/jfree/chart/event/MarkerChangeListener.java,5,6,88</t>
  </si>
  <si>
    <t>./src/main/java/org/jfree/chart/event/PlotChangeEvent.java,3,12,81.25</t>
  </si>
  <si>
    <t>./src/main/java/org/jfree/chart/event/PlotChangeListener.java,4,5,90</t>
  </si>
  <si>
    <t>./src/main/java/org/jfree/chart/event/RendererChangeEvent.java,5,19,78.16</t>
  </si>
  <si>
    <t>./src/main/java/org/jfree/chart/event/RendererChangeListener.java,4,5,89.8</t>
  </si>
  <si>
    <t>./src/main/java/org/jfree/chart/event/TitleChangeEvent.java,3,12,80.33</t>
  </si>
  <si>
    <t>./src/main/java/org/jfree/chart/event/TitleChangeListener.java,4,5,90</t>
  </si>
  <si>
    <t>./src/main/java/org/jfree/chart/imagemap/DynamicDriveToolTipTagFragmentGenerator.java,3,20,76.74</t>
  </si>
  <si>
    <t>./src/main/java/org/jfree/chart/imagemap/ImageMapUtils.java,6,123,48.54</t>
  </si>
  <si>
    <t>./src/main/java/org/jfree/chart/imagemap/OverLIBToolTipTagFragmentGenerator.java,3,13,81.16</t>
  </si>
  <si>
    <t>./src/main/java/org/jfree/chart/imagemap/StandardToolTipTagFragmentGenerator.java,3,12,81.54</t>
  </si>
  <si>
    <t>./src/main/java/org/jfree/chart/imagemap/StandardURLTagFragmentGenerator.java,2,11,83.33</t>
  </si>
  <si>
    <t>./src/main/java/org/jfree/chart/imagemap/ToolTipTagFragmentGenerator.java,4,4,93.44</t>
  </si>
  <si>
    <t>./src/main/java/org/jfree/chart/imagemap/URLTagFragmentGenerator.java,4,8,87.1</t>
  </si>
  <si>
    <t>./src/main/java/org/jfree/chart/internal/Args.java,3,34,70.18</t>
  </si>
  <si>
    <t>./src/main/java/org/jfree/chart/internal/ArrayUtils.java,2,106,43.62</t>
  </si>
  <si>
    <t>./src/main/java/org/jfree/chart/internal/CloneUtils.java,6,89,48.85</t>
  </si>
  <si>
    <t>./src/main/java/org/jfree/chart/internal/HashUtils.java,7,65,66.15</t>
  </si>
  <si>
    <t>./src/main/java/org/jfree/chart/internal/LineUtils.java,3,84,44.37</t>
  </si>
  <si>
    <t>./src/main/java/org/jfree/chart/internal/PaintUtils.java,3,117,41.79</t>
  </si>
  <si>
    <t>./src/main/java/org/jfree/chart/internal/SerialUtils.java,4,418,34.07</t>
  </si>
  <si>
    <t>./src/main/java/org/jfree/chart/internal/ShapeUtils.java,5,262,46.42</t>
  </si>
  <si>
    <t>./src/main/java/org/jfree/chart/JFreeChart.java,24,780,48.14</t>
  </si>
  <si>
    <t>./src/main/java/org/jfree/chart/labels/AbstractCategoryItemLabelGenerator.java,12,135,52.8</t>
  </si>
  <si>
    <t>./src/main/java/org/jfree/chart/labels/AbstractPieItemLabelGenerator.java,7,103,51.64</t>
  </si>
  <si>
    <t>./src/main/java/org/jfree/chart/labels/AbstractXYItemLabelGenerator.java,10,155,50.79</t>
  </si>
  <si>
    <t>./src/main/java/org/jfree/chart/labels/BoxAndWhiskerToolTipGenerator.java,5,52,60.9</t>
  </si>
  <si>
    <t>./src/main/java/org/jfree/chart/labels/BoxAndWhiskerXYToolTipGenerator.java,3,57,59.86</t>
  </si>
  <si>
    <t>./src/main/java/org/jfree/chart/labels/BubbleXYItemLabelGenerator.java,9,115,52.48</t>
  </si>
  <si>
    <t>./src/main/java/org/jfree/chart/labels/CategoryItemLabelGenerator.java,6,7,90.91</t>
  </si>
  <si>
    <t>./src/main/java/org/jfree/chart/labels/CategorySeriesLabelGenerator.java,5,5,91.07</t>
  </si>
  <si>
    <t>./src/main/java/org/jfree/chart/labels/CategoryToolTipGenerator.java,5,5,91.8</t>
  </si>
  <si>
    <t>./src/main/java/org/jfree/chart/labels/CrosshairLabelGenerator.java,5,5,90</t>
  </si>
  <si>
    <t>./src/main/java/org/jfree/chart/labels/CustomXYToolTipGenerator.java,5,77,54.44</t>
  </si>
  <si>
    <t>./src/main/java/org/jfree/chart/labels/FlowLabelGenerator.java,2,6,88.89</t>
  </si>
  <si>
    <t>./src/main/java/org/jfree/chart/labels/HighLowItemLabelGenerator.java,6,106,46.46</t>
  </si>
  <si>
    <t>./src/main/java/org/jfree/chart/labels/IntervalCategoryItemLabelGenerator.java,6,54,55.74</t>
  </si>
  <si>
    <t>./src/main/java/org/jfree/chart/labels/IntervalCategoryToolTipGenerator.java,4,64,54.61</t>
  </si>
  <si>
    <t>./src/main/java/org/jfree/chart/labels/IntervalXYItemLabelGenerator.java,6,128,48.18</t>
  </si>
  <si>
    <t>./src/main/java/org/jfree/chart/labels/IntervalXYToolTipGenerator.java,6,124,48.97</t>
  </si>
  <si>
    <t>./src/main/java/org/jfree/chart/labels/ItemLabelAnchor.java,7,28,69.57</t>
  </si>
  <si>
    <t>./src/main/java/org/jfree/chart/labels/ItemLabelPosition.java,9,76,55.29</t>
  </si>
  <si>
    <t>./src/main/java/org/jfree/chart/labels/MultipleXYSeriesLabelGenerator.java,10,112,47.17</t>
  </si>
  <si>
    <t>./src/main/java/org/jfree/chart/labels/PieSectionLabelGenerator.java,6,11,87.06</t>
  </si>
  <si>
    <t>./src/main/java/org/jfree/chart/labels/PieToolTipGenerator.java,4,5,90.74</t>
  </si>
  <si>
    <t>./src/main/java/org/jfree/chart/labels/StandardCategoryItemLabelGenerator.java,6,47,64.66</t>
  </si>
  <si>
    <t>./src/main/java/org/jfree/chart/labels/StandardCategorySeriesLabelGenerator.java,8,57,60.42</t>
  </si>
  <si>
    <t>./src/main/java/org/jfree/chart/labels/StandardCategoryToolTipGenerator.java,3,43,63.87</t>
  </si>
  <si>
    <t>./src/main/java/org/jfree/chart/labels/StandardCrosshairLabelGenerator.java,5,57,58.39</t>
  </si>
  <si>
    <t>./src/main/java/org/jfree/chart/labels/StandardFlowLabelGenerator.java,2,47,59.13</t>
  </si>
  <si>
    <t>./src/main/java/org/jfree/chart/labels/StandardPieSectionLabelGenerator.java,7,85,63.04</t>
  </si>
  <si>
    <t>./src/main/java/org/jfree/chart/labels/StandardPieToolTipGenerator.java,8,37,71.32</t>
  </si>
  <si>
    <t>./src/main/java/org/jfree/chart/labels/StandardXYItemLabelGenerator.java,6,58,66.47</t>
  </si>
  <si>
    <t>./src/main/java/org/jfree/chart/labels/StandardXYSeriesLabelGenerator.java,9,58,61.59</t>
  </si>
  <si>
    <t>./src/main/java/org/jfree/chart/labels/StandardXYToolTipGenerator.java,6,59,66.09</t>
  </si>
  <si>
    <t>./src/main/java/org/jfree/chart/labels/StandardXYZToolTipGenerator.java,7,109,52.81</t>
  </si>
  <si>
    <t>./src/main/java/org/jfree/chart/labels/SymbolicXYItemLabelGenerator.java,5,70,55.13</t>
  </si>
  <si>
    <t>./src/main/java/org/jfree/chart/labels/XYItemLabelGenerator.java,4,5,90.74</t>
  </si>
  <si>
    <t>./src/main/java/org/jfree/chart/labels/XYSeriesLabelGenerator.java,5,5,91.23</t>
  </si>
  <si>
    <t>./src/main/java/org/jfree/chart/labels/XYToolTipGenerator.java,4,5,90.57</t>
  </si>
  <si>
    <t>./src/main/java/org/jfree/chart/labels/XYZToolTipGenerator.java,4,5,90.57</t>
  </si>
  <si>
    <t>./src/main/java/org/jfree/chart/legend/LegendGraphic.java,8,334,51.1</t>
  </si>
  <si>
    <t>./src/main/java/org/jfree/chart/legend/LegendItem.java,6,468,52.39</t>
  </si>
  <si>
    <t>./src/main/java/org/jfree/chart/legend/LegendItemBlockContainer.java,3,69,59.41</t>
  </si>
  <si>
    <t>./src/main/java/org/jfree/chart/legend/LegendItemCollection.java,3,56,60.56</t>
  </si>
  <si>
    <t>./src/main/java/org/jfree/chart/legend/LegendItemSource.java,2,5,90</t>
  </si>
  <si>
    <t>./src/main/java/org/jfree/chart/legend/LegendRenderingOrder.java,2,5,88.89</t>
  </si>
  <si>
    <t>./src/main/java/org/jfree/chart/legend/LegendTitle.java,7,347,43.76</t>
  </si>
  <si>
    <t>./src/main/java/org/jfree/chart/legend/PaintScaleLegend.java,5,392,40.79</t>
  </si>
  <si>
    <t>./src/main/java/org/jfree/chart/plot/CategoryCrosshairState.java,4,64,59.24</t>
  </si>
  <si>
    <t>./src/main/java/org/jfree/chart/plot/CategoryMarker.java,7,69,60.34</t>
  </si>
  <si>
    <t>./src/main/java/org/jfree/chart/plot/CategoryPlot.java,32,2415,46.61</t>
  </si>
  <si>
    <t>./src/main/java/org/jfree/chart/plot/CenterTextMode.java,3,6,87.23</t>
  </si>
  <si>
    <t>./src/main/java/org/jfree/chart/plot/CombinedDomainCategoryPlot.java,14,358,41.6</t>
  </si>
  <si>
    <t>./src/main/java/org/jfree/chart/plot/CombinedDomainXYPlot.java,15,396,42.69</t>
  </si>
  <si>
    <t>./src/main/java/org/jfree/chart/plot/CombinedRangeCategoryPlot.java,12,307,40.39</t>
  </si>
  <si>
    <t>./src/main/java/org/jfree/chart/plot/CombinedRangeXYPlot.java,16,371,42.57</t>
  </si>
  <si>
    <t>./src/main/java/org/jfree/chart/plot/compass/ArrowNeedle.java,2,78,50</t>
  </si>
  <si>
    <t>./src/main/java/org/jfree/chart/plot/compass/CompassPlot.java,5,438,43.56</t>
  </si>
  <si>
    <t>./src/main/java/org/jfree/chart/plot/compass/LineNeedle.java,2,41,62.73</t>
  </si>
  <si>
    <t>./src/main/java/org/jfree/chart/plot/compass/LongNeedle.java,2,87,45.96</t>
  </si>
  <si>
    <t>./src/main/java/org/jfree/chart/plot/compass/MeterNeedle.java,3,178,52.66</t>
  </si>
  <si>
    <t>./src/main/java/org/jfree/chart/plot/compass/MiddlePinNeedle.java,3,61,53.79</t>
  </si>
  <si>
    <t>./src/main/java/org/jfree/chart/plot/compass/PinNeedle.java,3,59,54.62</t>
  </si>
  <si>
    <t>./src/main/java/org/jfree/chart/plot/compass/PlumNeedle.java,2,51,57.5</t>
  </si>
  <si>
    <t>./src/main/java/org/jfree/chart/plot/compass/PointerNeedle.java,2,70,50</t>
  </si>
  <si>
    <t>./src/main/java/org/jfree/chart/plot/compass/ShipNeedle.java,2,49,58.82</t>
  </si>
  <si>
    <t>./src/main/java/org/jfree/chart/plot/compass/WindNeedle.java,2,45,58.72</t>
  </si>
  <si>
    <t>./src/main/java/org/jfree/chart/plot/Crosshair.java,16,298,55.79</t>
  </si>
  <si>
    <t>./src/main/java/org/jfree/chart/plot/CrosshairState.java,7,109,66.36</t>
  </si>
  <si>
    <t>./src/main/java/org/jfree/chart/plot/DatasetRenderingOrder.java,5,5,91.67</t>
  </si>
  <si>
    <t>./src/main/java/org/jfree/chart/plot/DefaultDrawingSupplier.java,8,276,40.39</t>
  </si>
  <si>
    <t>./src/main/java/org/jfree/chart/plot/dial/AbstractDialLayer.java,6,74,61.66</t>
  </si>
  <si>
    <t>./src/main/java/org/jfree/chart/plot/dial/ArcDialFrame.java,10,228,51.18</t>
  </si>
  <si>
    <t>./src/main/java/org/jfree/chart/plot/dial/DialBackground.java,11,100,58.68</t>
  </si>
  <si>
    <t>./src/main/java/org/jfree/chart/plot/dial/DialCap.java,10,131,57.05</t>
  </si>
  <si>
    <t>./src/main/java/org/jfree/chart/plot/dial/DialFrame.java,4,7,88.14</t>
  </si>
  <si>
    <t>./src/main/java/org/jfree/chart/plot/dial/DialLayer.java,4,14,86.27</t>
  </si>
  <si>
    <t>./src/main/java/org/jfree/chart/plot/dial/DialLayerChangeEvent.java,3,12,80.65</t>
  </si>
  <si>
    <t>./src/main/java/org/jfree/chart/plot/dial/DialLayerChangeListener.java,4,5,90.2</t>
  </si>
  <si>
    <t>./src/main/java/org/jfree/chart/plot/dial/DialPlot.java,16,373,50.4</t>
  </si>
  <si>
    <t>./src/main/java/org/jfree/chart/plot/dial/DialPointer.java,10,279,50.36</t>
  </si>
  <si>
    <t>./src/main/java/org/jfree/chart/plot/dial/DialScale.java,4,5,92.06</t>
  </si>
  <si>
    <t>./src/main/java/org/jfree/chart/plot/dial/DialTextAnnotation.java,12,159,55.96</t>
  </si>
  <si>
    <t>./src/main/java/org/jfree/chart/plot/dial/DialValueIndicator.java,16,327,52.61</t>
  </si>
  <si>
    <t>./src/main/java/org/jfree/chart/plot/dial/StandardDialFrame.java,10,149,53.73</t>
  </si>
  <si>
    <t>./src/main/java/org/jfree/chart/plot/dial/StandardDialRange.java,10,181,53.71</t>
  </si>
  <si>
    <t>./src/main/java/org/jfree/chart/plot/dial/StandardDialScale.java,11,417,54.58</t>
  </si>
  <si>
    <t>./src/main/java/org/jfree/chart/plot/DialShape.java,6,6,87.5</t>
  </si>
  <si>
    <t>./src/main/java/org/jfree/chart/plot/DrawingSupplier.java,5,12,86.36</t>
  </si>
  <si>
    <t>./src/main/java/org/jfree/chart/plot/FastScatterPlot.java,15,507,47.95</t>
  </si>
  <si>
    <t>./src/main/java/org/jfree/chart/plot/flow/FlowPlot.java,3,455,39.74</t>
  </si>
  <si>
    <t>./src/main/java/org/jfree/chart/plot/IntervalMarker.java,8,82,58.38</t>
  </si>
  <si>
    <t>./src/main/java/org/jfree/chart/plot/Marker.java,13,268,55.56</t>
  </si>
  <si>
    <t>./src/main/java/org/jfree/chart/plot/MeterInterval.java,9,89,55.05</t>
  </si>
  <si>
    <t>./src/main/java/org/jfree/chart/plot/MeterPlot.java,19,643,44.71</t>
  </si>
  <si>
    <t>./src/main/java/org/jfree/chart/plot/Pannable.java,4,11,86.25</t>
  </si>
  <si>
    <t>./src/main/java/org/jfree/chart/plot/pie/AbstractPieLabelDistributor.java,2,24,75</t>
  </si>
  <si>
    <t>./src/main/java/org/jfree/chart/plot/pie/MultiplePiePlot.java,5,355,38.15</t>
  </si>
  <si>
    <t>./src/main/java/org/jfree/chart/plot/pie/PieLabelDistributor.java,2,106,46.46</t>
  </si>
  <si>
    <t>./src/main/java/org/jfree/chart/plot/pie/PieLabelLinkStyle.java,2,6,87.5</t>
  </si>
  <si>
    <t>./src/main/java/org/jfree/chart/plot/pie/PieLabelRecord.java,2,114,54.94</t>
  </si>
  <si>
    <t>./src/main/java/org/jfree/chart/plot/pie/PiePlot.java,6,1547,47.04</t>
  </si>
  <si>
    <t>./src/main/java/org/jfree/chart/plot/pie/PiePlotState.java,2,81,66.11</t>
  </si>
  <si>
    <t>./src/main/java/org/jfree/chart/plot/Plot.java,22,656,50.27</t>
  </si>
  <si>
    <t>./src/main/java/org/jfree/chart/plot/PlotOrientation.java,4,11,83.08</t>
  </si>
  <si>
    <t>./src/main/java/org/jfree/chart/plot/PlotRenderingInfo.java,11,117,55.68</t>
  </si>
  <si>
    <t>./src/main/java/org/jfree/chart/plot/PlotState.java,4,14,77.05</t>
  </si>
  <si>
    <t>./src/main/java/org/jfree/chart/plot/PolarAxisLocation.java,6,11,82.26</t>
  </si>
  <si>
    <t>./src/main/java/org/jfree/chart/plot/PolarPlot.java,27,988,46.33</t>
  </si>
  <si>
    <t>./src/main/java/org/jfree/chart/plot/RingPlot.java,22,331,47.46</t>
  </si>
  <si>
    <t>./src/main/java/org/jfree/chart/plot/SeriesRenderingOrder.java,5,5,91.38</t>
  </si>
  <si>
    <t>./src/main/java/org/jfree/chart/plot/SpiderWebPlot.java,24,677,47.15</t>
  </si>
  <si>
    <t>./src/main/java/org/jfree/chart/plot/ThermometerPlot.java,20,764,47.09</t>
  </si>
  <si>
    <t>./src/main/java/org/jfree/chart/plot/ValueAxisPlot.java,4,6,88.68</t>
  </si>
  <si>
    <t>./src/main/java/org/jfree/chart/plot/ValueMarker.java,4,43,68.15</t>
  </si>
  <si>
    <t>./src/main/java/org/jfree/chart/plot/WaferMapPlot.java,10,237,39.07</t>
  </si>
  <si>
    <t>./src/main/java/org/jfree/chart/plot/XYCrosshairState.java,2,6,88.46</t>
  </si>
  <si>
    <t>./src/main/java/org/jfree/chart/plot/XYPlot.java,31,2732,45.15</t>
  </si>
  <si>
    <t>./src/main/java/org/jfree/chart/plot/Zoomable.java,6,18,88.08</t>
  </si>
  <si>
    <t>./src/main/java/org/jfree/chart/renderer/AbstractRenderer.java,30,1235,55.48</t>
  </si>
  <si>
    <t>./src/main/java/org/jfree/chart/renderer/AreaRendererEndType.java,4,6,89.66</t>
  </si>
  <si>
    <t>./src/main/java/org/jfree/chart/renderer/category/AbstractCategoryItemRenderer.java,28,925,40.01</t>
  </si>
  <si>
    <t>./src/main/java/org/jfree/chart/renderer/category/AreaRenderer.java,10,192,35.79</t>
  </si>
  <si>
    <t>./src/main/java/org/jfree/chart/renderer/category/BarPainter.java,7,11,86.9</t>
  </si>
  <si>
    <t>./src/main/java/org/jfree/chart/renderer/category/BarRenderer.java,16,683,43.08</t>
  </si>
  <si>
    <t>./src/main/java/org/jfree/chart/renderer/category/BoxAndWhiskerRenderer.java,16,596,41.11</t>
  </si>
  <si>
    <t>./src/main/java/org/jfree/chart/renderer/category/CategoryItemRenderer.java,16,170,88.19</t>
  </si>
  <si>
    <t>./src/main/java/org/jfree/chart/renderer/category/CategoryItemRendererState.java,3,64,65.59</t>
  </si>
  <si>
    <t>./src/main/java/org/jfree/chart/renderer/category/CategoryStepRenderer.java,8,174,46.3</t>
  </si>
  <si>
    <t>./src/main/java/org/jfree/chart/renderer/category/DefaultCategoryItemRenderer.java,2,7,86.54</t>
  </si>
  <si>
    <t>./src/main/java/org/jfree/chart/renderer/category/GanttRenderer.java,12,351,36.76</t>
  </si>
  <si>
    <t>./src/main/java/org/jfree/chart/renderer/category/GradientBarPainter.java,7,215,36.76</t>
  </si>
  <si>
    <t>./src/main/java/org/jfree/chart/renderer/category/GroupedStackedBarRenderer.java,9,218,34.34</t>
  </si>
  <si>
    <t>./src/main/java/org/jfree/chart/renderer/category/IntervalBarRenderer.java,6,117,46.82</t>
  </si>
  <si>
    <t>./src/main/java/org/jfree/chart/renderer/category/LayeredBarRenderer.java,12,291,32.01</t>
  </si>
  <si>
    <t>./src/main/java/org/jfree/chart/renderer/category/LevelRenderer.java,12,222,44.91</t>
  </si>
  <si>
    <t>./src/main/java/org/jfree/chart/renderer/category/LineAndShapeRenderer.java,14,379,51.03</t>
  </si>
  <si>
    <t>./src/main/java/org/jfree/chart/renderer/category/MinMaxCategoryRenderer.java,11,268,45.64</t>
  </si>
  <si>
    <t>./src/main/java/org/jfree/chart/renderer/category/ScatterRenderer.java,13,269,49.63</t>
  </si>
  <si>
    <t>./src/main/java/org/jfree/chart/renderer/category/StackedAreaRenderer.java,12,284,35.16</t>
  </si>
  <si>
    <t>./src/main/java/org/jfree/chart/renderer/category/StackedBarRenderer.java,11,216,37.57</t>
  </si>
  <si>
    <t>./src/main/java/org/jfree/chart/renderer/category/StandardBarPainter.java,6,106,47.52</t>
  </si>
  <si>
    <t>./src/main/java/org/jfree/chart/renderer/category/StatisticalBarRenderer.java,12,342,33.98</t>
  </si>
  <si>
    <t>./src/main/java/org/jfree/chart/renderer/category/StatisticalLineAndShapeRenderer.java,11,269,36.85</t>
  </si>
  <si>
    <t>./src/main/java/org/jfree/chart/renderer/category/WaterfallBarRenderer.java,10,261,39.16</t>
  </si>
  <si>
    <t>./src/main/java/org/jfree/chart/renderer/DefaultPolarItemRenderer.java,22,489,41.79</t>
  </si>
  <si>
    <t>./src/main/java/org/jfree/chart/renderer/GrayPaintScale.java,7,82,59.61</t>
  </si>
  <si>
    <t>./src/main/java/org/jfree/chart/renderer/LookupPaintScale.java,9,179,47.97</t>
  </si>
  <si>
    <t>./src/main/java/org/jfree/chart/renderer/NotOutlierException.java,2,6,89.47</t>
  </si>
  <si>
    <t>./src/main/java/org/jfree/chart/renderer/Outlier.java,2,70,64.29</t>
  </si>
  <si>
    <t>./src/main/java/org/jfree/chart/renderer/OutlierList.java,3,49,68.59</t>
  </si>
  <si>
    <t>./src/main/java/org/jfree/chart/renderer/OutlierListCollection.java,6,49,68.79</t>
  </si>
  <si>
    <t>./src/main/java/org/jfree/chart/renderer/PaintScale.java,5,8,89.04</t>
  </si>
  <si>
    <t>./src/main/java/org/jfree/chart/renderer/PolarItemRenderer.java,8,35,80.77</t>
  </si>
  <si>
    <t>./src/main/java/org/jfree/chart/renderer/RendererState.java,3,31,69.9</t>
  </si>
  <si>
    <t>./src/main/java/org/jfree/chart/renderer/RendererUtils.java,4,153,38.06</t>
  </si>
  <si>
    <t>./src/main/java/org/jfree/chart/renderer/WaferMapRenderer.java,5,204,40.7</t>
  </si>
  <si>
    <t>./src/main/java/org/jfree/chart/renderer/xy/AbstractXYItemRenderer.java,30,974,36.09</t>
  </si>
  <si>
    <t>./src/main/java/org/jfree/chart/renderer/xy/CandlestickRenderer.java,15,429,47.56</t>
  </si>
  <si>
    <t>./src/main/java/org/jfree/chart/renderer/xy/ClusteredXYBarRenderer.java,12,200,39.02</t>
  </si>
  <si>
    <t>./src/main/java/org/jfree/chart/renderer/xy/CyclicXYItemRenderer.java,4,249,43.02</t>
  </si>
  <si>
    <t>./src/main/java/org/jfree/chart/renderer/xy/DefaultXYItemRenderer.java,2,6,88.46</t>
  </si>
  <si>
    <t>./src/main/java/org/jfree/chart/renderer/xy/DeviationRenderer.java,8,168,50.88</t>
  </si>
  <si>
    <t>./src/main/java/org/jfree/chart/renderer/xy/DeviationStepRenderer.java,3,173,38.65</t>
  </si>
  <si>
    <t>./src/main/java/org/jfree/chart/renderer/xy/GradientXYBarPainter.java,8,214,36.87</t>
  </si>
  <si>
    <t>./src/main/java/org/jfree/chart/renderer/xy/HighLowRenderer.java,10,243,45.76</t>
  </si>
  <si>
    <t>./src/main/java/org/jfree/chart/renderer/xy/SamplingXYLineRenderer.java,13,170,48.95</t>
  </si>
  <si>
    <t>./src/main/java/org/jfree/chart/renderer/xy/StackedXYAreaRenderer.java,10,335,44.99</t>
  </si>
  <si>
    <t>./src/main/java/org/jfree/chart/renderer/xy/StackedXYAreaRenderer2.java,9,325,34.08</t>
  </si>
  <si>
    <t>./src/main/java/org/jfree/chart/renderer/xy/StackedXYBarRenderer.java,11,224,40.11</t>
  </si>
  <si>
    <t>./src/main/java/org/jfree/chart/renderer/xy/StandardXYBarPainter.java,7,106,47.52</t>
  </si>
  <si>
    <t>./src/main/java/org/jfree/chart/renderer/xy/StandardXYItemRenderer.java,20,466,48.34</t>
  </si>
  <si>
    <t>./src/main/java/org/jfree/chart/renderer/xy/VectorRenderer.java,8,207,34.08</t>
  </si>
  <si>
    <t>./src/main/java/org/jfree/chart/renderer/xy/WindItemRenderer.java,8,84,46.5</t>
  </si>
  <si>
    <t>./src/main/java/org/jfree/chart/renderer/xy/XYAreaRenderer.java,17,387,40.37</t>
  </si>
  <si>
    <t>./src/main/java/org/jfree/chart/renderer/xy/XYAreaRenderer2.java,13,234,40.31</t>
  </si>
  <si>
    <t>./src/main/java/org/jfree/chart/renderer/xy/XYBarPainter.java,7,11,86.25</t>
  </si>
  <si>
    <t>./src/main/java/org/jfree/chart/renderer/xy/XYBarRenderer.java,18,623,42.53</t>
  </si>
  <si>
    <t>./src/main/java/org/jfree/chart/renderer/xy/XYBlockRenderer.java,17,258,46.69</t>
  </si>
  <si>
    <t>./src/main/java/org/jfree/chart/renderer/xy/XYBoxAndWhiskerRenderer.java,12,434,40.79</t>
  </si>
  <si>
    <t>./src/main/java/org/jfree/chart/renderer/xy/XYBubbleRenderer.java,10,192,38.26</t>
  </si>
  <si>
    <t>./src/main/java/org/jfree/chart/renderer/xy/XYDifferenceRenderer.java,15,708,33.02</t>
  </si>
  <si>
    <t>./src/main/java/org/jfree/chart/renderer/xy/XYDotRenderer.java,12,169,49.7</t>
  </si>
  <si>
    <t>./src/main/java/org/jfree/chart/renderer/xy/XYErrorRenderer.java,10,213,48.67</t>
  </si>
  <si>
    <t>./src/main/java/org/jfree/chart/renderer/xy/XYItemRenderer.java,19,169,87.26</t>
  </si>
  <si>
    <t>./src/main/java/org/jfree/chart/renderer/xy/XYItemRendererState.java,2,37,79.67</t>
  </si>
  <si>
    <t>./src/main/java/org/jfree/chart/renderer/xy/XYLineAndShapeRenderer.java,21,521,51.67</t>
  </si>
  <si>
    <t>./src/main/java/org/jfree/chart/renderer/xy/XYShapeRenderer.java,14,272,51.6</t>
  </si>
  <si>
    <t>./src/main/java/org/jfree/chart/renderer/xy/XYSplineRenderer.java,13,258,44.28</t>
  </si>
  <si>
    <t>./src/main/java/org/jfree/chart/renderer/xy/XYStepAreaRenderer.java,11,293,48.14</t>
  </si>
  <si>
    <t>./src/main/java/org/jfree/chart/renderer/xy/XYStepRenderer.java,15,167,47.15</t>
  </si>
  <si>
    <t>./src/main/java/org/jfree/chart/renderer/xy/YIntervalRenderer.java,10,142,48.74</t>
  </si>
  <si>
    <t>./src/main/java/org/jfree/chart/StandardChartTheme.java,20,947,42.4</t>
  </si>
  <si>
    <t>./src/main/java/org/jfree/chart/swing/AbstractOverlay.java,3,32,68.32</t>
  </si>
  <si>
    <t>./src/main/java/org/jfree/chart/swing/ApplicationFrame.java,2,35,69.3</t>
  </si>
  <si>
    <t>./src/main/java/org/jfree/chart/swing/ChartFrame.java,2,25,69.88</t>
  </si>
  <si>
    <t>./src/main/java/org/jfree/chart/swing/ChartMouseEvent.java,2,28,70.83</t>
  </si>
  <si>
    <t>./src/main/java/org/jfree/chart/swing/ChartMouseListener.java,2,7,88.14</t>
  </si>
  <si>
    <t>./src/main/java/org/jfree/chart/swing/ChartPanel.java,9,1575,42.73</t>
  </si>
  <si>
    <t>./src/main/java/org/jfree/chart/swing/CrosshairOverlay.java,8,398,29.81</t>
  </si>
  <si>
    <t>./src/main/java/org/jfree/chart/swing/DefaultSelectionZoomStrategy.java,4,156,34.73</t>
  </si>
  <si>
    <t>./src/main/java/org/jfree/chart/swing/editor/ChartEditor.java,2,6,88.46</t>
  </si>
  <si>
    <t>./src/main/java/org/jfree/chart/swing/editor/ChartEditorFactory.java,2,5,90</t>
  </si>
  <si>
    <t>./src/main/java/org/jfree/chart/swing/editor/ChartEditorManager.java,3,18,77.78</t>
  </si>
  <si>
    <t>./src/main/java/org/jfree/chart/swing/editor/DefaultAxisEditor.java,5,221,50.11</t>
  </si>
  <si>
    <t>./src/main/java/org/jfree/chart/swing/editor/DefaultChartEditor.java,4,143,38.63</t>
  </si>
  <si>
    <t>./src/main/java/org/jfree/chart/swing/editor/DefaultChartEditorFactory.java,2,10,82.76</t>
  </si>
  <si>
    <t>./src/main/java/org/jfree/chart/swing/editor/DefaultLogAxisEditor.java,2,82,44.59</t>
  </si>
  <si>
    <t>./src/main/java/org/jfree/chart/swing/editor/DefaultNumberAxisEditor.java,3,97,35.76</t>
  </si>
  <si>
    <t>./src/main/java/org/jfree/chart/swing/editor/DefaultPlotEditor.java,5,365,34.94</t>
  </si>
  <si>
    <t>./src/main/java/org/jfree/chart/swing/editor/DefaultPolarPlotEditor.java,3,110,41.18</t>
  </si>
  <si>
    <t>./src/main/java/org/jfree/chart/swing/editor/DefaultTitleEditor.java,4,155,38.74</t>
  </si>
  <si>
    <t>./src/main/java/org/jfree/chart/swing/editor/DefaultValueAxisEditor.java,4,226,38.42</t>
  </si>
  <si>
    <t>./src/main/java/org/jfree/chart/swing/editor/FontChooserPanel.java,3,113,37.91</t>
  </si>
  <si>
    <t>./src/main/java/org/jfree/chart/swing/editor/FontDisplayField.java,3,29,66.28</t>
  </si>
  <si>
    <t>./src/main/java/org/jfree/chart/swing/editor/LCBLayout.java,2,147,37.71</t>
  </si>
  <si>
    <t>./src/main/java/org/jfree/chart/swing/editor/PaintSample.java,2,43,57</t>
  </si>
  <si>
    <t>./src/main/java/org/jfree/chart/swing/editor/StrokeChooserPanel.java,2,30,63.86</t>
  </si>
  <si>
    <t>./src/main/java/org/jfree/chart/swing/editor/StrokeSample.java,2,72,50.68</t>
  </si>
  <si>
    <t>./src/main/java/org/jfree/chart/swing/MouseWheelHandler.java,4,65,53.24</t>
  </si>
  <si>
    <t>./src/main/java/org/jfree/chart/swing/NumberCellRenderer.java,2,30,61.54</t>
  </si>
  <si>
    <t>./src/main/java/org/jfree/chart/swing/Overlay.java,3,7,91.03</t>
  </si>
  <si>
    <t>./src/main/java/org/jfree/chart/swing/OverlayChangeEvent.java,2,7,86</t>
  </si>
  <si>
    <t>./src/main/java/org/jfree/chart/swing/OverlayChangeListener.java,2,5,89.58</t>
  </si>
  <si>
    <t>./src/main/java/org/jfree/chart/swing/PolarChartPanel.java,2,116,46.05</t>
  </si>
  <si>
    <t>./src/main/java/org/jfree/chart/swing/SelectionZoomStrategy.java,4,24,85</t>
  </si>
  <si>
    <t>./src/main/java/org/jfree/chart/swing/UIUtils.java,2,85,53.04</t>
  </si>
  <si>
    <t>./src/main/java/org/jfree/chart/text/AttributedStringUtils.java,3,43,51.14</t>
  </si>
  <si>
    <t>./src/main/java/org/jfree/chart/text/format/HexNumberFormat.java,2,46,66.18</t>
  </si>
  <si>
    <t>./src/main/java/org/jfree/chart/text/format/HMSNumberFormat.java,2,32,69.52</t>
  </si>
  <si>
    <t>./src/main/java/org/jfree/chart/text/format/LogFormat.java,2,98,55.86</t>
  </si>
  <si>
    <t>./src/main/java/org/jfree/chart/text/format/RelativeDateFormat.java,2,229,54.29</t>
  </si>
  <si>
    <t>./src/main/java/org/jfree/chart/text/G2TextMeasurer.java,3,18,71.43</t>
  </si>
  <si>
    <t>./src/main/java/org/jfree/chart/text/TextAnchor.java,3,51,64.83</t>
  </si>
  <si>
    <t>./src/main/java/org/jfree/chart/text/TextBlock.java,11,137,49.63</t>
  </si>
  <si>
    <t>./src/main/java/org/jfree/chart/text/TextBlockAnchor.java,5,12,78.18</t>
  </si>
  <si>
    <t>./src/main/java/org/jfree/chart/text/TextBox.java,8,204,46.03</t>
  </si>
  <si>
    <t>./src/main/java/org/jfree/chart/text/TextFragment.java,9,126,52.99</t>
  </si>
  <si>
    <t>./src/main/java/org/jfree/chart/text/TextLine.java,10,108,51.35</t>
  </si>
  <si>
    <t>./src/main/java/org/jfree/chart/text/TextMeasurer.java,4,4,90.91</t>
  </si>
  <si>
    <t>./src/main/java/org/jfree/chart/text/TextUtils.java,6,393,43.78</t>
  </si>
  <si>
    <t>./src/main/java/org/jfree/chart/title/CompositeTitle.java,8,97,56.5</t>
  </si>
  <si>
    <t>./src/main/java/org/jfree/chart/title/DateTitle.java,7,37,75.97</t>
  </si>
  <si>
    <t>./src/main/java/org/jfree/chart/title/ImageTitle.java,7,176,46.67</t>
  </si>
  <si>
    <t>./src/main/java/org/jfree/chart/title/ShortTextTitle.java,6,119,46.64</t>
  </si>
  <si>
    <t>./src/main/java/org/jfree/chart/title/TextTitle.java,13,469,41.38</t>
  </si>
  <si>
    <t>./src/main/java/org/jfree/chart/title/Title.java,9,180,54.55</t>
  </si>
  <si>
    <t>./src/main/java/org/jfree/chart/urls/CategoryURLGenerator.java,4,6,91.78</t>
  </si>
  <si>
    <t>./src/main/java/org/jfree/chart/urls/CustomCategoryURLGenerator.java,5,88,50.84</t>
  </si>
  <si>
    <t>./src/main/java/org/jfree/chart/urls/CustomPieURLGenerator.java,8,95,53.43</t>
  </si>
  <si>
    <t>./src/main/java/org/jfree/chart/urls/CustomXYURLGenerator.java,4,89,53.89</t>
  </si>
  <si>
    <t>./src/main/java/org/jfree/chart/urls/PieURLGenerator.java,5,5,92.19</t>
  </si>
  <si>
    <t>./src/main/java/org/jfree/chart/urls/StandardCategoryURLGenerator.java,6,86,51.96</t>
  </si>
  <si>
    <t>./src/main/java/org/jfree/chart/urls/StandardPieURLGenerator.java,6,70,53.64</t>
  </si>
  <si>
    <t>./src/main/java/org/jfree/chart/urls/StandardXYURLGenerator.java,8,58,58.57</t>
  </si>
  <si>
    <t>./src/main/java/org/jfree/chart/urls/StandardXYZURLGenerator.java,2,9,85</t>
  </si>
  <si>
    <t>./src/main/java/org/jfree/chart/urls/TimeSeriesURLGenerator.java,5,90,50.82</t>
  </si>
  <si>
    <t>./src/main/java/org/jfree/chart/urls/XYURLGenerator.java,3,5,92.42</t>
  </si>
  <si>
    <t>./src/main/java/org/jfree/chart/urls/XYZURLGenerator.java,3,5,91.8</t>
  </si>
  <si>
    <t>./src/main/java/org/jfree/chart/util/AttrStringUtils.java,8,182,39.13</t>
  </si>
  <si>
    <t>./src/main/java/org/jfree/chart/util/DefaultShadowGenerator.java,8,158,44.37</t>
  </si>
  <si>
    <t>./src/main/java/org/jfree/chart/util/DirectionalGradientPaintTransformer.java,6,48,61.6</t>
  </si>
  <si>
    <t>./src/main/java/org/jfree/chart/util/ExportUtils.java,12,112,46.92</t>
  </si>
  <si>
    <t>./src/main/java/org/jfree/chart/util/GradientPaintTransformer.java,2,6,87.23</t>
  </si>
  <si>
    <t>./src/main/java/org/jfree/chart/util/GradientPaintTransformType.java,2,7,82.5</t>
  </si>
  <si>
    <t>./src/main/java/org/jfree/chart/util/PaintAlpha.java,5,144,59.44</t>
  </si>
  <si>
    <t>./src/main/java/org/jfree/chart/util/ShadowGenerator.java,4,7,89.71</t>
  </si>
  <si>
    <t>./src/main/java/org/jfree/chart/util/StandardGradientPaintTransformer.java,2,79,49.36</t>
  </si>
  <si>
    <t>./src/main/java/org/jfree/chart/util/StringUtils.java,5,25,71.26</t>
  </si>
  <si>
    <t>./src/main/java/org/jfree/data/category/CategoryDataset.java,4,6,90.77</t>
  </si>
  <si>
    <t>./src/main/java/org/jfree/data/category/CategoryRangeInfo.java,3,7,88.71</t>
  </si>
  <si>
    <t>./src/main/java/org/jfree/data/category/CategoryToPieDataset.java,8,155,48.68</t>
  </si>
  <si>
    <t>./src/main/java/org/jfree/data/category/DefaultCategoryDataset.java,7,146,64.56</t>
  </si>
  <si>
    <t>./src/main/java/org/jfree/data/category/DefaultIntervalCategoryDataset.java,8,380,48.79</t>
  </si>
  <si>
    <t>./src/main/java/org/jfree/data/category/IntervalCategoryDataset.java,5,8,90.8</t>
  </si>
  <si>
    <t>./src/main/java/org/jfree/data/category/SlidingCategoryDataset.java,8,152,56.32</t>
  </si>
  <si>
    <t>./src/main/java/org/jfree/data/ComparableObjectItem.java,8,56,63.4</t>
  </si>
  <si>
    <t>./src/main/java/org/jfree/data/ComparableObjectSeries.java,12,209,50.94</t>
  </si>
  <si>
    <t>./src/main/java/org/jfree/data/DataUtils.java,7,126,48.99</t>
  </si>
  <si>
    <t>./src/main/java/org/jfree/data/DefaultKeyedValue.java,7,56,62.42</t>
  </si>
  <si>
    <t>./src/main/java/org/jfree/data/DefaultKeyedValues.java,9,203,50.85</t>
  </si>
  <si>
    <t>./src/main/java/org/jfree/data/DefaultKeyedValues2D.java,13,255,49.7</t>
  </si>
  <si>
    <t>./src/main/java/org/jfree/data/DomainInfo.java,5,6,91.89</t>
  </si>
  <si>
    <t>./src/main/java/org/jfree/data/DomainOrder.java,6,6,87.23</t>
  </si>
  <si>
    <t>./src/main/java/org/jfree/data/flow/DefaultFlowDataset.java,2,181,48.29</t>
  </si>
  <si>
    <t>./src/main/java/org/jfree/data/flow/FlowDataset.java,2,14,88.62</t>
  </si>
  <si>
    <t>./src/main/java/org/jfree/data/flow/FlowDatasetUtils.java,2,93,52.06</t>
  </si>
  <si>
    <t>./src/main/java/org/jfree/data/flow/FlowKey.java,2,66,57.69</t>
  </si>
  <si>
    <t>./src/main/java/org/jfree/data/flow/NodeKey.java,2,56,60</t>
  </si>
  <si>
    <t>./src/main/java/org/jfree/data/function/Function2D.java,4,4,92.59</t>
  </si>
  <si>
    <t>./src/main/java/org/jfree/data/function/LineFunction2D.java,4,42,65.29</t>
  </si>
  <si>
    <t>./src/main/java/org/jfree/data/function/NormalDistributionFunction2D.java,4,50,61.24</t>
  </si>
  <si>
    <t>./src/main/java/org/jfree/data/function/PolynomialFunction2D.java,6,38,67.52</t>
  </si>
  <si>
    <t>./src/main/java/org/jfree/data/function/PowerFunction2D.java,4,42,65.29</t>
  </si>
  <si>
    <t>./src/main/java/org/jfree/data/gantt/GanttCategoryDataset.java,4,15,90.63</t>
  </si>
  <si>
    <t>./src/main/java/org/jfree/data/gantt/SlidingGanttCategoryDataset.java,6,283,54.13</t>
  </si>
  <si>
    <t>./src/main/java/org/jfree/data/gantt/Task.java,8,98,57.21</t>
  </si>
  <si>
    <t>./src/main/java/org/jfree/data/gantt/TaskSeries.java,8,79,57.07</t>
  </si>
  <si>
    <t>./src/main/java/org/jfree/data/gantt/TaskSeriesCollection.java,11,316,50.08</t>
  </si>
  <si>
    <t>./src/main/java/org/jfree/data/gantt/XYTaskDataset.java,6,203,54.38</t>
  </si>
  <si>
    <t>./src/main/java/org/jfree/data/general/AbstractDataset.java,7,70,68.33</t>
  </si>
  <si>
    <t>./src/main/java/org/jfree/data/general/AbstractSeriesDataset.java,3,28,72</t>
  </si>
  <si>
    <t>./src/main/java/org/jfree/data/general/Dataset.java,4,5,91.23</t>
  </si>
  <si>
    <t>./src/main/java/org/jfree/data/general/DatasetChangeEvent.java,3,11,86.25</t>
  </si>
  <si>
    <t>./src/main/java/org/jfree/data/general/DatasetChangeListener.java,3,5,91.23</t>
  </si>
  <si>
    <t>./src/main/java/org/jfree/data/general/DatasetUtils.java,13,1459,37.27</t>
  </si>
  <si>
    <t>./src/main/java/org/jfree/data/general/DefaultHeatMapDataset.java,7,136,55.7</t>
  </si>
  <si>
    <t>./src/main/java/org/jfree/data/general/DefaultKeyedValueDataset.java,4,78,56.91</t>
  </si>
  <si>
    <t>./src/main/java/org/jfree/data/general/DefaultKeyedValues2DDataset.java,3,8,85.96</t>
  </si>
  <si>
    <t>./src/main/java/org/jfree/data/general/DefaultKeyedValuesDataset.java,3,5,89.13</t>
  </si>
  <si>
    <t>./src/main/java/org/jfree/data/general/DefaultPieDataset.java,14,127,60.68</t>
  </si>
  <si>
    <t>./src/main/java/org/jfree/data/general/DefaultValueDataset.java,6,42,67.19</t>
  </si>
  <si>
    <t>./src/main/java/org/jfree/data/general/HeatMapDataset.java,3,13,90.78</t>
  </si>
  <si>
    <t>./src/main/java/org/jfree/data/general/HeatMapUtils.java,4,50,57.98</t>
  </si>
  <si>
    <t>./src/main/java/org/jfree/data/general/KeyedValueDataset.java,2,4,91.49</t>
  </si>
  <si>
    <t>./src/main/java/org/jfree/data/general/KeyedValues2DDataset.java,3,4,91.49</t>
  </si>
  <si>
    <t>./src/main/java/org/jfree/data/general/KeyedValuesDataset.java,3,4,90.7</t>
  </si>
  <si>
    <t>./src/main/java/org/jfree/data/general/PieDataset.java,5,5,89.8</t>
  </si>
  <si>
    <t>./src/main/java/org/jfree/data/general/Series.java,12,79,64.25</t>
  </si>
  <si>
    <t>./src/main/java/org/jfree/data/general/SeriesChangeEvent.java,2,9,84.48</t>
  </si>
  <si>
    <t>./src/main/java/org/jfree/data/general/SeriesChangeListener.java,3,5,90.74</t>
  </si>
  <si>
    <t>./src/main/java/org/jfree/data/general/SeriesDataset.java,6,11,85.9</t>
  </si>
  <si>
    <t>./src/main/java/org/jfree/data/general/SeriesException.java,2,8,86.21</t>
  </si>
  <si>
    <t>./src/main/java/org/jfree/data/general/ValueDataset.java,2,4,91.49</t>
  </si>
  <si>
    <t>./src/main/java/org/jfree/data/general/WaferMapDataset.java,5,109,60.07</t>
  </si>
  <si>
    <t>./src/main/java/org/jfree/data/io/CSV.java,2,96,48.39</t>
  </si>
  <si>
    <t>./src/main/java/org/jfree/data/ItemKey.java,4,4,91.49</t>
  </si>
  <si>
    <t>./src/main/java/org/jfree/data/json/impl/JSONArray.java,4,72,50</t>
  </si>
  <si>
    <t>./src/main/java/org/jfree/data/json/impl/JSONAware.java,2,4,90.24</t>
  </si>
  <si>
    <t>./src/main/java/org/jfree/data/json/impl/JSONObject.java,4,85,51.43</t>
  </si>
  <si>
    <t>./src/main/java/org/jfree/data/json/impl/JSONStreamAware.java,3,6,86.96</t>
  </si>
  <si>
    <t>./src/main/java/org/jfree/data/json/impl/JSONValue.java,4,156,50.32</t>
  </si>
  <si>
    <t>./src/main/java/org/jfree/data/json/JSONUtils.java,7,102,45.45</t>
  </si>
  <si>
    <t>./src/main/java/org/jfree/data/KeyedObject.java,8,56,58.52</t>
  </si>
  <si>
    <t>./src/main/java/org/jfree/data/KeyedObjects.java,8,149,52.7</t>
  </si>
  <si>
    <t>./src/main/java/org/jfree/data/KeyedObjects2D.java,7,244,47.19</t>
  </si>
  <si>
    <t>./src/main/java/org/jfree/data/KeyedValue.java,4,4,92</t>
  </si>
  <si>
    <t>./src/main/java/org/jfree/data/KeyedValueComparator.java,9,84,44.37</t>
  </si>
  <si>
    <t>./src/main/java/org/jfree/data/KeyedValueComparatorType.java,5,5,90.38</t>
  </si>
  <si>
    <t>./src/main/java/org/jfree/data/KeyedValues.java,5,8,91.01</t>
  </si>
  <si>
    <t>./src/main/java/org/jfree/data/KeyedValues2D.java,6,12,88.35</t>
  </si>
  <si>
    <t>./src/main/java/org/jfree/data/KeyedValues2DItemKey.java,9,72,48.94</t>
  </si>
  <si>
    <t>./src/main/java/org/jfree/data/KeyedValuesItemKey.java,7,49,54.21</t>
  </si>
  <si>
    <t>./src/main/java/org/jfree/data/KeyToGroupMap.java,16,162,43.55</t>
  </si>
  <si>
    <t>./src/main/java/org/jfree/data/Range.java,8,196,53.77</t>
  </si>
  <si>
    <t>./src/main/java/org/jfree/data/RangeInfo.java,4,6,91.43</t>
  </si>
  <si>
    <t>./src/main/java/org/jfree/data/RangeType.java,5,6,88.68</t>
  </si>
  <si>
    <t>./src/main/java/org/jfree/data/resources/DataPackageResources.java,2,12,80.65</t>
  </si>
  <si>
    <t>./src/main/java/org/jfree/data/resources/DataPackageResources_de.java,2,12,80.65</t>
  </si>
  <si>
    <t>./src/main/java/org/jfree/data/resources/DataPackageResources_es.java,2,12,80.65</t>
  </si>
  <si>
    <t>./src/main/java/org/jfree/data/resources/DataPackageResources_fr.java,2,12,80.33</t>
  </si>
  <si>
    <t>./src/main/java/org/jfree/data/resources/DataPackageResources_pl.java,2,12,80.95</t>
  </si>
  <si>
    <t>./src/main/java/org/jfree/data/resources/DataPackageResources_ru.java,2,12,79.66</t>
  </si>
  <si>
    <t>./src/main/java/org/jfree/data/statistics/BoxAndWhiskerCalculator.java,7,110,44.72</t>
  </si>
  <si>
    <t>./src/main/java/org/jfree/data/statistics/BoxAndWhiskerCategoryDataset.java,4,24,88.99</t>
  </si>
  <si>
    <t>./src/main/java/org/jfree/data/statistics/BoxAndWhiskerItem.java,7,125,52.47</t>
  </si>
  <si>
    <t>./src/main/java/org/jfree/data/statistics/BoxAndWhiskerXYDataset.java,5,17,89.7</t>
  </si>
  <si>
    <t>./src/main/java/org/jfree/data/statistics/DefaultBoxAndWhiskerCategoryDataset.java,8,412,52.59</t>
  </si>
  <si>
    <t>./src/main/java/org/jfree/data/statistics/DefaultBoxAndWhiskerXYDataset.java,7,239,54.3</t>
  </si>
  <si>
    <t>./src/main/java/org/jfree/data/statistics/DefaultMultiValueCategoryDataset.java,7,196,48.42</t>
  </si>
  <si>
    <t>./src/main/java/org/jfree/data/statistics/DefaultStatisticalCategoryDataset.java,8,363,46.93</t>
  </si>
  <si>
    <t>./src/main/java/org/jfree/data/statistics/HistogramBin.java,3,62,60.26</t>
  </si>
  <si>
    <t>./src/main/java/org/jfree/data/statistics/HistogramDataset.java,8,213,54.19</t>
  </si>
  <si>
    <t>./src/main/java/org/jfree/data/statistics/HistogramType.java,5,6,88.46</t>
  </si>
  <si>
    <t>./src/main/java/org/jfree/data/statistics/MeanAndStandardDeviation.java,6,65,60.37</t>
  </si>
  <si>
    <t>./src/main/java/org/jfree/data/statistics/MultiValueCategoryDataset.java,4,8,87.88</t>
  </si>
  <si>
    <t>./src/main/java/org/jfree/data/statistics/Regression.java,4,223,32.42</t>
  </si>
  <si>
    <t>./src/main/java/org/jfree/data/statistics/SimpleHistogramBin.java,7,130,49.81</t>
  </si>
  <si>
    <t>./src/main/java/org/jfree/data/statistics/SimpleHistogramDataset.java,10,188,58.41</t>
  </si>
  <si>
    <t>./src/main/java/org/jfree/data/statistics/StatisticalCategoryDataset.java,4,9,88.75</t>
  </si>
  <si>
    <t>./src/main/java/org/jfree/data/statistics/Statistics.java,5,234,44.29</t>
  </si>
  <si>
    <t>./src/main/java/org/jfree/data/time/DateRange.java,5,44,70.07</t>
  </si>
  <si>
    <t>./src/main/java/org/jfree/data/time/Day.java,11,187,57.01</t>
  </si>
  <si>
    <t>./src/main/java/org/jfree/data/time/DynamicTimeSeriesCollection.java,4,403,53.14</t>
  </si>
  <si>
    <t>./src/main/java/org/jfree/data/time/FixedMillisecond.java,4,111,57.31</t>
  </si>
  <si>
    <t>./src/main/java/org/jfree/data/time/Hour.java,9,197,55.53</t>
  </si>
  <si>
    <t>./src/main/java/org/jfree/data/time/Millisecond.java,8,194,52.91</t>
  </si>
  <si>
    <t>./src/main/java/org/jfree/data/time/Minute.java,9,207,53.79</t>
  </si>
  <si>
    <t>./src/main/java/org/jfree/data/time/Month.java,8,239,51.72</t>
  </si>
  <si>
    <t>./src/main/java/org/jfree/data/time/MovingAverage.java,8,165,44.26</t>
  </si>
  <si>
    <t>./src/main/java/org/jfree/data/time/ohlc/OHLC.java,5,59,59.03</t>
  </si>
  <si>
    <t>./src/main/java/org/jfree/data/time/ohlc/OHLCItem.java,6,51,60.47</t>
  </si>
  <si>
    <t>./src/main/java/org/jfree/data/time/ohlc/OHLCSeries.java,6,38,70.08</t>
  </si>
  <si>
    <t>./src/main/java/org/jfree/data/time/ohlc/OHLCSeriesCollection.java,12,187,58.81</t>
  </si>
  <si>
    <t>./src/main/java/org/jfree/data/time/Quarter.java,11,198,55</t>
  </si>
  <si>
    <t>./src/main/java/org/jfree/data/time/RegularTimePeriod.java,12,110,69.53</t>
  </si>
  <si>
    <t>./src/main/java/org/jfree/data/time/Second.java,9,196,53.33</t>
  </si>
  <si>
    <t>./src/main/java/org/jfree/data/time/SimpleTimePeriod.java,6,91,54.73</t>
  </si>
  <si>
    <t>./src/main/java/org/jfree/data/time/TimePeriod.java,5,6,89.47</t>
  </si>
  <si>
    <t>./src/main/java/org/jfree/data/time/TimePeriodAnchor.java,7,6,87.5</t>
  </si>
  <si>
    <t>./src/main/java/org/jfree/data/time/TimePeriodFormatException.java,3,6,87.76</t>
  </si>
  <si>
    <t>./src/main/java/org/jfree/data/time/TimePeriodValue.java,7,66,60.71</t>
  </si>
  <si>
    <t>./src/main/java/org/jfree/data/time/TimePeriodValues.java,12,221,48</t>
  </si>
  <si>
    <t>./src/main/java/org/jfree/data/time/TimePeriodValuesCollection.java,12,207,49.64</t>
  </si>
  <si>
    <t>./src/main/java/org/jfree/data/time/TimeSeries.java,19,606,48.29</t>
  </si>
  <si>
    <t>./src/main/java/org/jfree/data/time/TimeSeriesCollection.java,18,323,51.28</t>
  </si>
  <si>
    <t>./src/main/java/org/jfree/data/time/TimeSeriesDataItem.java,10,66,65.26</t>
  </si>
  <si>
    <t>./src/main/java/org/jfree/data/time/TimeSeriesTableModel.java,4,127,47.08</t>
  </si>
  <si>
    <t>./src/main/java/org/jfree/data/time/TimeTableXYDataset.java,11,230,59</t>
  </si>
  <si>
    <t>./src/main/java/org/jfree/data/time/Week.java,9,302,49.24</t>
  </si>
  <si>
    <t>./src/main/java/org/jfree/data/time/Year.java,10,141,61.68</t>
  </si>
  <si>
    <t>./src/main/java/org/jfree/data/UnknownKeyException.java,2,6,88.68</t>
  </si>
  <si>
    <t>./src/main/java/org/jfree/data/Value.java,3,4,92.31</t>
  </si>
  <si>
    <t>./src/main/java/org/jfree/data/Values.java,5,5,91.53</t>
  </si>
  <si>
    <t>./src/main/java/org/jfree/data/Values2D.java,4,6,91.3</t>
  </si>
  <si>
    <t>./src/main/java/org/jfree/data/xml/CategoryDatasetHandler.java,3,48,60.33</t>
  </si>
  <si>
    <t>./src/main/java/org/jfree/data/xml/CategorySeriesHandler.java,5,56,58.21</t>
  </si>
  <si>
    <t>./src/main/java/org/jfree/data/xml/DatasetReader.java,5,74,54.04</t>
  </si>
  <si>
    <t>./src/main/java/org/jfree/data/xml/DatasetTags.java,3,9,84.21</t>
  </si>
  <si>
    <t>./src/main/java/org/jfree/data/xml/ItemHandler.java,2,62,58.94</t>
  </si>
  <si>
    <t>./src/main/java/org/jfree/data/xml/KeyHandler.java,2,53,62.41</t>
  </si>
  <si>
    <t>./src/main/java/org/jfree/data/xml/PieDatasetHandler.java,2,45,62.81</t>
  </si>
  <si>
    <t>./src/main/java/org/jfree/data/xml/RootHandler.java,2,39,65.79</t>
  </si>
  <si>
    <t>./src/main/java/org/jfree/data/xml/ValueHandler.java,2,60,59.18</t>
  </si>
  <si>
    <t>./src/main/java/org/jfree/data/xy/AbstractIntervalXYDataset.java,3,41,64.66</t>
  </si>
  <si>
    <t>./src/main/java/org/jfree/data/xy/AbstractXYDataset.java,4,28,68.89</t>
  </si>
  <si>
    <t>./src/main/java/org/jfree/data/xy/AbstractXYZDataset.java,3,13,78.33</t>
  </si>
  <si>
    <t>./src/main/java/org/jfree/data/xy/CategoryTableXYDataset.java,7,143,62.66</t>
  </si>
  <si>
    <t>./src/main/java/org/jfree/data/xy/DefaultHighLowDataset.java,9,155,61.06</t>
  </si>
  <si>
    <t>./src/main/java/org/jfree/data/xy/DefaultIntervalXYDataset.java,8,197,62.48</t>
  </si>
  <si>
    <t>./src/main/java/org/jfree/data/xy/DefaultOHLCDataset.java,6,128,60</t>
  </si>
  <si>
    <t>./src/main/java/org/jfree/data/xy/DefaultTableXYDataset.java,12,293,49.66</t>
  </si>
  <si>
    <t>./src/main/java/org/jfree/data/xy/DefaultWindDataset.java,7,186,52.79</t>
  </si>
  <si>
    <t>./src/main/java/org/jfree/data/xy/DefaultXYDataset.java,8,148,58.77</t>
  </si>
  <si>
    <t>./src/main/java/org/jfree/data/xy/DefaultXYZDataset.java,7,158,60.7</t>
  </si>
  <si>
    <t>./src/main/java/org/jfree/data/xy/IntervalXYDataset.java,4,11,91.97</t>
  </si>
  <si>
    <t>./src/main/java/org/jfree/data/xy/IntervalXYDelegate.java,9,180,58.72</t>
  </si>
  <si>
    <t>./src/main/java/org/jfree/data/xy/IntervalXYZDataset.java,4,10,89.69</t>
  </si>
  <si>
    <t>./src/main/java/org/jfree/data/xy/MatrixSeries.java,4,75,62.5</t>
  </si>
  <si>
    <t>./src/main/java/org/jfree/data/xy/MatrixSeriesCollection.java,8,108,60.29</t>
  </si>
  <si>
    <t>./src/main/java/org/jfree/data/xy/NormalizedMatrixSeries.java,4,35,73.28</t>
  </si>
  <si>
    <t>./src/main/java/org/jfree/data/xy/OHLCDataItem.java,5,77,57.69</t>
  </si>
  <si>
    <t>./src/main/java/org/jfree/data/xy/OHLCDataset.java,3,13,91.28</t>
  </si>
  <si>
    <t>./src/main/java/org/jfree/data/xy/TableXYDataset.java,4,4,92.98</t>
  </si>
  <si>
    <t>./src/main/java/org/jfree/data/xy/Vector.java,3,48,64.44</t>
  </si>
  <si>
    <t>./src/main/java/org/jfree/data/xy/VectorDataItem.java,3,36,69.23</t>
  </si>
  <si>
    <t>./src/main/java/org/jfree/data/xy/VectorSeries.java,3,44,72.84</t>
  </si>
  <si>
    <t>./src/main/java/org/jfree/data/xy/VectorSeriesCollection.java,10,115,62.05</t>
  </si>
  <si>
    <t>./src/main/java/org/jfree/data/xy/VectorXYDataset.java,5,6,91.78</t>
  </si>
  <si>
    <t>./src/main/java/org/jfree/data/xy/WindDataset.java,5,5,92.54</t>
  </si>
  <si>
    <t>./src/main/java/org/jfree/data/xy/XIntervalDataItem.java,6,34,67.31</t>
  </si>
  <si>
    <t>./src/main/java/org/jfree/data/xy/XIntervalSeries.java,3,40,75.31</t>
  </si>
  <si>
    <t>./src/main/java/org/jfree/data/xy/XIntervalSeriesCollection.java,11,140,61.11</t>
  </si>
  <si>
    <t>./src/main/java/org/jfree/data/xy/XisSymbolic.java,4,6,91.67</t>
  </si>
  <si>
    <t>./src/main/java/org/jfree/data/xy/XYBarDataset.java,6,125,64.79</t>
  </si>
  <si>
    <t>./src/main/java/org/jfree/data/xy/XYCoordinate.java,3,71,54.19</t>
  </si>
  <si>
    <t>./src/main/java/org/jfree/data/xy/XYDataItem.java,9,93,58.11</t>
  </si>
  <si>
    <t>./src/main/java/org/jfree/data/xy/XYDataset.java,5,11,89.81</t>
  </si>
  <si>
    <t>./src/main/java/org/jfree/data/xy/XYDatasetTableModel.java,2,73,69.71</t>
  </si>
  <si>
    <t>./src/main/java/org/jfree/data/xy/XYDomainInfo.java,5,6,89.09</t>
  </si>
  <si>
    <t>./src/main/java/org/jfree/data/xy/XYInterval.java,4,58,59.44</t>
  </si>
  <si>
    <t>./src/main/java/org/jfree/data/xy/XYIntervalDataItem.java,5,56,58.21</t>
  </si>
  <si>
    <t>./src/main/java/org/jfree/data/xy/XYIntervalSeries.java,3,49,74.07</t>
  </si>
  <si>
    <t>./src/main/java/org/jfree/data/xy/XYIntervalSeriesCollection.java,10,132,63.03</t>
  </si>
  <si>
    <t>./src/main/java/org/jfree/data/xy/XYItemKey.java,8,70,49.28</t>
  </si>
  <si>
    <t>./src/main/java/org/jfree/data/xy/XYRangeInfo.java,4,6,89.29</t>
  </si>
  <si>
    <t>./src/main/java/org/jfree/data/xy/XYSeries.java,15,425,52.35</t>
  </si>
  <si>
    <t>./src/main/java/org/jfree/data/xy/XYSeriesCollection.java,14,371,47.6</t>
  </si>
  <si>
    <t>./src/main/java/org/jfree/data/xy/XYZDataset.java,4,5,91.67</t>
  </si>
  <si>
    <t>./src/main/java/org/jfree/data/xy/YInterval.java,4,41,63.39</t>
  </si>
  <si>
    <t>./src/main/java/org/jfree/data/xy/YIntervalDataItem.java,5,37,64.08</t>
  </si>
  <si>
    <t>./src/main/java/org/jfree/data/xy/YIntervalSeries.java,3,39,76.07</t>
  </si>
  <si>
    <t>./src/main/java/org/jfree/data/xy/YIntervalSeriesCollection.java,12,122,61.99</t>
  </si>
  <si>
    <t>./src/main/java/org/jfree/data/xy/YisSymbolic.java,4,6,91.78</t>
  </si>
  <si>
    <t>./src/main/java/org/jfree/data/xy/YWithXInterval.java,4,41,64.66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</si>
</sst>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1.0"/>
      <color rgb="FF000000"/>
      <name val="Calibri"/>
    </font>
    <font>
      <b/>
      <color theme="1"/>
      <name val="Arial"/>
      <scheme val="minor"/>
    </font>
    <font>
      <color theme="1"/>
      <name val="Arial"/>
      <scheme val="minor"/>
    </font>
    <font>
      <b/>
      <color rgb="FFFF0000"/>
      <name val="Arial"/>
      <scheme val="minor"/>
    </font>
    <font>
      <b/>
      <color rgb="FF0000FF"/>
      <name val="Arial"/>
      <scheme val="minor"/>
    </font>
    <font>
      <b/>
      <color rgb="FFFF00FF"/>
      <name val="Arial"/>
      <scheme val="minor"/>
    </font>
    <font>
      <color rgb="FFFF0000"/>
      <name val="Arial"/>
      <scheme val="minor"/>
    </font>
    <font>
      <color rgb="FF0000FF"/>
      <name val="Arial"/>
      <scheme val="minor"/>
    </font>
    <font>
      <color rgb="FFFF00FF"/>
      <name val="Arial"/>
      <scheme val="minor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/>
    </xf>
    <xf borderId="1" fillId="0" fontId="3" numFmtId="0" xfId="0" applyBorder="1" applyFont="1"/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Font="1"/>
    <xf borderId="4" fillId="0" fontId="2" numFmtId="0" xfId="0" applyAlignment="1" applyBorder="1" applyFont="1">
      <alignment horizontal="left" readingOrder="0"/>
    </xf>
    <xf borderId="5" fillId="0" fontId="3" numFmtId="0" xfId="0" applyBorder="1" applyFont="1"/>
    <xf borderId="0" fillId="0" fontId="7" numFmtId="0" xfId="0" applyFont="1"/>
    <xf borderId="0" fillId="0" fontId="8" numFmtId="0" xfId="0" applyFont="1"/>
    <xf borderId="0" fillId="0" fontId="9" numFmtId="0" xfId="0" applyFont="1"/>
    <xf borderId="6" fillId="0" fontId="2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H1" s="2" t="s">
        <v>1</v>
      </c>
      <c r="I1" s="2" t="s">
        <v>2</v>
      </c>
      <c r="J1" s="2" t="s">
        <v>3</v>
      </c>
      <c r="L1" s="3"/>
      <c r="M1" s="4" t="s">
        <v>1</v>
      </c>
      <c r="N1" s="4" t="s">
        <v>2</v>
      </c>
      <c r="O1" s="5" t="s">
        <v>3</v>
      </c>
      <c r="Q1" s="6" t="s">
        <v>4</v>
      </c>
      <c r="R1" s="7" t="s">
        <v>5</v>
      </c>
      <c r="S1" s="8" t="s">
        <v>6</v>
      </c>
      <c r="T1" s="6" t="s">
        <v>7</v>
      </c>
      <c r="U1" s="7" t="s">
        <v>8</v>
      </c>
      <c r="V1" s="8" t="s">
        <v>9</v>
      </c>
      <c r="W1" s="8"/>
    </row>
    <row r="2">
      <c r="A2" s="1" t="s">
        <v>10</v>
      </c>
      <c r="G2" s="9" t="str">
        <f>IFERROR(__xludf.DUMMYFUNCTION("SPLIT(A2,"","")"),"./src/main/java/org/jfree/chart/annotations/AbstractAnnotation.java")</f>
        <v>./src/main/java/org/jfree/chart/annotations/AbstractAnnotation.java</v>
      </c>
      <c r="H2" s="9">
        <f>IFERROR(__xludf.DUMMYFUNCTION("""COMPUTED_VALUE"""),4.0)</f>
        <v>4</v>
      </c>
      <c r="I2" s="9">
        <f>IFERROR(__xludf.DUMMYFUNCTION("""COMPUTED_VALUE"""),68.0)</f>
        <v>68</v>
      </c>
      <c r="J2" s="9">
        <f>IFERROR(__xludf.DUMMYFUNCTION("""COMPUTED_VALUE"""),65.66)</f>
        <v>65.66</v>
      </c>
      <c r="L2" s="10" t="s">
        <v>11</v>
      </c>
      <c r="M2" s="11">
        <f t="shared" ref="M2:O2" si="1">MEDIAN(H2:H633)</f>
        <v>5</v>
      </c>
      <c r="N2" s="11">
        <f t="shared" si="1"/>
        <v>71.5</v>
      </c>
      <c r="O2" s="11">
        <f t="shared" si="1"/>
        <v>59.21</v>
      </c>
      <c r="Q2" s="12" t="str">
        <f t="shared" ref="Q2:S2" si="2">IF(H2&gt;M$5, $G2, "")</f>
        <v/>
      </c>
      <c r="R2" s="13" t="str">
        <f t="shared" si="2"/>
        <v/>
      </c>
      <c r="S2" s="14" t="str">
        <f t="shared" si="2"/>
        <v/>
      </c>
      <c r="T2" s="9" t="str">
        <f t="shared" ref="T2:V2" si="3">CONCATENATE(Q2:Q633)</f>
        <v>./src/main/java/org/jfree/chart/ChartFactory.java./src/main/java/org/jfree/chart/JFreeChart.java./src/main/java/org/jfree/chart/plot/CategoryPlot.java./src/main/java/org/jfree/chart/plot/MeterPlot.java./src/main/java/org/jfree/chart/plot/Plot.java./src/main/java/org/jfree/chart/plot/PolarPlot.java./src/main/java/org/jfree/chart/plot/RingPlot.java./src/main/java/org/jfree/chart/plot/SpiderWebPlot.java./src/main/java/org/jfree/chart/plot/ThermometerPlot.java./src/main/java/org/jfree/chart/plot/XYPlot.java./src/main/java/org/jfree/chart/renderer/AbstractRenderer.java./src/main/java/org/jfree/chart/renderer/category/AbstractCategoryItemRenderer.java./src/main/java/org/jfree/chart/renderer/DefaultPolarItemRenderer.java./src/main/java/org/jfree/chart/renderer/xy/AbstractXYItemRenderer.java./src/main/java/org/jfree/chart/renderer/xy/StandardXYItemRenderer.java./src/main/java/org/jfree/chart/renderer/xy/XYItemRenderer.java./src/main/java/org/jfree/chart/renderer/xy/XYLineAndShapeRenderer.java./src/main/java/org/jfree/chart/StandardChartTheme.java./src/main/java/org/jfree/data/time/TimeSeries.java</v>
      </c>
      <c r="U2" s="9" t="str">
        <f t="shared" si="3"/>
        <v>./src/main/java/org/jfree/chart/axis/Axis.java./src/main/java/org/jfree/chart/axis/CategoryAxis.java./src/main/java/org/jfree/chart/axis/CyclicNumberAxis.java./src/main/java/org/jfree/chart/axis/DateAxis.java./src/main/java/org/jfree/chart/axis/LogarithmicAxis.java./src/main/java/org/jfree/chart/axis/LogAxis.java./src/main/java/org/jfree/chart/axis/NumberAxis.java./src/main/java/org/jfree/chart/axis/PeriodAxis.java./src/main/java/org/jfree/chart/axis/ValueAxis.java./src/main/java/org/jfree/chart/ChartFactory.java./src/main/java/org/jfree/chart/JFreeChart.java./src/main/java/org/jfree/chart/legend/LegendItem.java./src/main/java/org/jfree/chart/plot/CategoryPlot.java./src/main/java/org/jfree/chart/plot/compass/CompassPlot.java./src/main/java/org/jfree/chart/plot/FastScatterPlot.java./src/main/java/org/jfree/chart/plot/flow/FlowPlot.java./src/main/java/org/jfree/chart/plot/MeterPlot.java./src/main/java/org/jfree/chart/plot/pie/PiePlot.java./src/main/java/org/jfree/chart/plot/Plot.java./src/main/java/org/jfree/chart/plot/PolarPlot.java./src/main/java/org/jfree/chart/plot/SpiderWebPlot.java./src/main/java/org/jfree/chart/plot/ThermometerPlot.java./src/main/java/org/jfree/chart/plot/XYPlot.java./src/main/java/org/jfree/chart/renderer/AbstractRenderer.java./src/main/java/org/jfree/chart/renderer/category/AbstractCategoryItemRenderer.java./src/main/java/org/jfree/chart/renderer/category/BarRenderer.java./src/main/java/org/jfree/chart/renderer/category/BoxAndWhiskerRenderer.java./src/main/java/org/jfree/chart/renderer/DefaultPolarItemRenderer.java./src/main/java/org/jfree/chart/renderer/xy/AbstractXYItemRenderer.java./src/main/java/org/jfree/chart/renderer/xy/StandardXYItemRenderer.java./src/main/java/org/jfree/chart/renderer/xy/XYBarRenderer.java./src/main/java/org/jfree/chart/renderer/xy/XYBoxAndWhiskerRenderer.java./src/main/java/org/jfree/chart/renderer/xy/XYDifferenceRenderer.java./src/main/java/org/jfree/chart/renderer/xy/XYLineAndShapeRenderer.java./src/main/java/org/jfree/chart/StandardChartTheme.java./src/main/java/org/jfree/chart/swing/ChartPanel.java./src/main/java/org/jfree/chart/title/TextTitle.java./src/main/java/org/jfree/data/general/DatasetUtils.java./src/main/java/org/jfree/data/time/TimeSeries.java</v>
      </c>
      <c r="V2" s="9" t="str">
        <f t="shared" si="3"/>
        <v/>
      </c>
    </row>
    <row r="3">
      <c r="A3" s="1" t="s">
        <v>12</v>
      </c>
      <c r="G3" s="9" t="str">
        <f>IFERROR(__xludf.DUMMYFUNCTION("SPLIT(A3,"","")"),"./src/main/java/org/jfree/chart/annotations/AbstractXYAnnotation.java")</f>
        <v>./src/main/java/org/jfree/chart/annotations/AbstractXYAnnotation.java</v>
      </c>
      <c r="H3" s="9">
        <f>IFERROR(__xludf.DUMMYFUNCTION("""COMPUTED_VALUE"""),6.0)</f>
        <v>6</v>
      </c>
      <c r="I3" s="9">
        <f>IFERROR(__xludf.DUMMYFUNCTION("""COMPUTED_VALUE"""),77.0)</f>
        <v>77</v>
      </c>
      <c r="J3" s="9">
        <f>IFERROR(__xludf.DUMMYFUNCTION("""COMPUTED_VALUE"""),58.6)</f>
        <v>58.6</v>
      </c>
      <c r="L3" s="10" t="s">
        <v>13</v>
      </c>
      <c r="M3" s="11">
        <f t="shared" ref="M3:O3" si="4">QUARTILE(H2:H633, 3)</f>
        <v>9</v>
      </c>
      <c r="N3" s="11">
        <f t="shared" si="4"/>
        <v>180</v>
      </c>
      <c r="O3" s="11">
        <f t="shared" si="4"/>
        <v>82.31</v>
      </c>
      <c r="Q3" s="12" t="str">
        <f t="shared" ref="Q3:S3" si="5">IF(H3&gt;M$5, $G3, "")</f>
        <v/>
      </c>
      <c r="R3" s="13" t="str">
        <f t="shared" si="5"/>
        <v/>
      </c>
      <c r="S3" s="14" t="str">
        <f t="shared" si="5"/>
        <v/>
      </c>
    </row>
    <row r="4">
      <c r="A4" s="1" t="s">
        <v>14</v>
      </c>
      <c r="G4" s="9" t="str">
        <f>IFERROR(__xludf.DUMMYFUNCTION("SPLIT(A4,"","")"),"./src/main/java/org/jfree/chart/annotations/Annotation.java")</f>
        <v>./src/main/java/org/jfree/chart/annotations/Annotation.java</v>
      </c>
      <c r="H4" s="9">
        <f>IFERROR(__xludf.DUMMYFUNCTION("""COMPUTED_VALUE"""),5.0)</f>
        <v>5</v>
      </c>
      <c r="I4" s="9">
        <f>IFERROR(__xludf.DUMMYFUNCTION("""COMPUTED_VALUE"""),7.0)</f>
        <v>7</v>
      </c>
      <c r="J4" s="9">
        <f>IFERROR(__xludf.DUMMYFUNCTION("""COMPUTED_VALUE"""),87.72)</f>
        <v>87.72</v>
      </c>
      <c r="L4" s="10" t="s">
        <v>15</v>
      </c>
      <c r="M4" s="11">
        <f t="shared" ref="M4:O4" si="6">QUARTILE(H2:H633, 1)</f>
        <v>3</v>
      </c>
      <c r="N4" s="11">
        <f t="shared" si="6"/>
        <v>12</v>
      </c>
      <c r="O4" s="11">
        <f t="shared" si="6"/>
        <v>49.27</v>
      </c>
      <c r="Q4" s="12" t="str">
        <f t="shared" ref="Q4:S4" si="7">IF(H4&gt;M$5, $G4, "")</f>
        <v/>
      </c>
      <c r="R4" s="13" t="str">
        <f t="shared" si="7"/>
        <v/>
      </c>
      <c r="S4" s="14" t="str">
        <f t="shared" si="7"/>
        <v/>
      </c>
    </row>
    <row r="5">
      <c r="A5" s="1" t="s">
        <v>16</v>
      </c>
      <c r="G5" s="9" t="str">
        <f>IFERROR(__xludf.DUMMYFUNCTION("SPLIT(A5,"","")"),"./src/main/java/org/jfree/chart/annotations/CategoryAnnotation.java")</f>
        <v>./src/main/java/org/jfree/chart/annotations/CategoryAnnotation.java</v>
      </c>
      <c r="H5" s="9">
        <f>IFERROR(__xludf.DUMMYFUNCTION("""COMPUTED_VALUE"""),4.0)</f>
        <v>4</v>
      </c>
      <c r="I5" s="9">
        <f>IFERROR(__xludf.DUMMYFUNCTION("""COMPUTED_VALUE"""),10.0)</f>
        <v>10</v>
      </c>
      <c r="J5" s="9">
        <f>IFERROR(__xludf.DUMMYFUNCTION("""COMPUTED_VALUE"""),83.33)</f>
        <v>83.33</v>
      </c>
      <c r="L5" s="10" t="s">
        <v>17</v>
      </c>
      <c r="M5" s="11">
        <f>1.5*(M3-M4) + M3</f>
        <v>18</v>
      </c>
      <c r="N5" s="11">
        <f>1.5*(N3-N4) +N3</f>
        <v>432</v>
      </c>
      <c r="O5" s="11">
        <f>1.5*(O3-O4) + O3</f>
        <v>131.87</v>
      </c>
      <c r="Q5" s="12" t="str">
        <f t="shared" ref="Q5:S5" si="8">IF(H5&gt;M$5, $G5, "")</f>
        <v/>
      </c>
      <c r="R5" s="13" t="str">
        <f t="shared" si="8"/>
        <v/>
      </c>
      <c r="S5" s="14" t="str">
        <f t="shared" si="8"/>
        <v/>
      </c>
    </row>
    <row r="6">
      <c r="A6" s="1" t="s">
        <v>18</v>
      </c>
      <c r="G6" s="9" t="str">
        <f>IFERROR(__xludf.DUMMYFUNCTION("SPLIT(A6,"","")"),"./src/main/java/org/jfree/chart/annotations/CategoryLineAnnotation.java")</f>
        <v>./src/main/java/org/jfree/chart/annotations/CategoryLineAnnotation.java</v>
      </c>
      <c r="H6" s="9">
        <f>IFERROR(__xludf.DUMMYFUNCTION("""COMPUTED_VALUE"""),12.0)</f>
        <v>12</v>
      </c>
      <c r="I6" s="9">
        <f>IFERROR(__xludf.DUMMYFUNCTION("""COMPUTED_VALUE"""),198.0)</f>
        <v>198</v>
      </c>
      <c r="J6" s="9">
        <f>IFERROR(__xludf.DUMMYFUNCTION("""COMPUTED_VALUE"""),49.23)</f>
        <v>49.23</v>
      </c>
      <c r="L6" s="15" t="s">
        <v>19</v>
      </c>
      <c r="M6" s="11">
        <f t="shared" ref="M6:O6" si="9">IF((-1.5*(M3-M4)+M4) &gt; 0, (-1.5*(M3-M4)+M4) , 0)</f>
        <v>0</v>
      </c>
      <c r="N6" s="11">
        <f t="shared" si="9"/>
        <v>0</v>
      </c>
      <c r="O6" s="11">
        <f t="shared" si="9"/>
        <v>0</v>
      </c>
      <c r="Q6" s="12" t="str">
        <f t="shared" ref="Q6:S6" si="10">IF(H6&gt;M$5, $G6, "")</f>
        <v/>
      </c>
      <c r="R6" s="13" t="str">
        <f t="shared" si="10"/>
        <v/>
      </c>
      <c r="S6" s="14" t="str">
        <f t="shared" si="10"/>
        <v/>
      </c>
    </row>
    <row r="7">
      <c r="A7" s="1" t="s">
        <v>20</v>
      </c>
      <c r="G7" s="9" t="str">
        <f>IFERROR(__xludf.DUMMYFUNCTION("SPLIT(A7,"","")"),"./src/main/java/org/jfree/chart/annotations/CategoryPointerAnnotation.java")</f>
        <v>./src/main/java/org/jfree/chart/annotations/CategoryPointerAnnotation.java</v>
      </c>
      <c r="H7" s="9">
        <f>IFERROR(__xludf.DUMMYFUNCTION("""COMPUTED_VALUE"""),12.0)</f>
        <v>12</v>
      </c>
      <c r="I7" s="9">
        <f>IFERROR(__xludf.DUMMYFUNCTION("""COMPUTED_VALUE"""),238.0)</f>
        <v>238</v>
      </c>
      <c r="J7" s="9">
        <f>IFERROR(__xludf.DUMMYFUNCTION("""COMPUTED_VALUE"""),50.42)</f>
        <v>50.42</v>
      </c>
      <c r="Q7" s="12" t="str">
        <f t="shared" ref="Q7:S7" si="11">IF(H7&gt;M$5, $G7, "")</f>
        <v/>
      </c>
      <c r="R7" s="13" t="str">
        <f t="shared" si="11"/>
        <v/>
      </c>
      <c r="S7" s="14" t="str">
        <f t="shared" si="11"/>
        <v/>
      </c>
    </row>
    <row r="8">
      <c r="A8" s="1" t="s">
        <v>21</v>
      </c>
      <c r="G8" s="9" t="str">
        <f>IFERROR(__xludf.DUMMYFUNCTION("SPLIT(A8,"","")"),"./src/main/java/org/jfree/chart/annotations/CategoryTextAnnotation.java")</f>
        <v>./src/main/java/org/jfree/chart/annotations/CategoryTextAnnotation.java</v>
      </c>
      <c r="H8" s="9">
        <f>IFERROR(__xludf.DUMMYFUNCTION("""COMPUTED_VALUE"""),8.0)</f>
        <v>8</v>
      </c>
      <c r="I8" s="9">
        <f>IFERROR(__xludf.DUMMYFUNCTION("""COMPUTED_VALUE"""),123.0)</f>
        <v>123</v>
      </c>
      <c r="J8" s="9">
        <f>IFERROR(__xludf.DUMMYFUNCTION("""COMPUTED_VALUE"""),50.0)</f>
        <v>50</v>
      </c>
      <c r="Q8" s="12" t="str">
        <f t="shared" ref="Q8:S8" si="12">IF(H8&gt;M$5, $G8, "")</f>
        <v/>
      </c>
      <c r="R8" s="13" t="str">
        <f t="shared" si="12"/>
        <v/>
      </c>
      <c r="S8" s="14" t="str">
        <f t="shared" si="12"/>
        <v/>
      </c>
    </row>
    <row r="9">
      <c r="A9" s="1" t="s">
        <v>22</v>
      </c>
      <c r="G9" s="9" t="str">
        <f>IFERROR(__xludf.DUMMYFUNCTION("SPLIT(A9,"","")"),"./src/main/java/org/jfree/chart/annotations/TextAnnotation.java")</f>
        <v>./src/main/java/org/jfree/chart/annotations/TextAnnotation.java</v>
      </c>
      <c r="H9" s="9">
        <f>IFERROR(__xludf.DUMMYFUNCTION("""COMPUTED_VALUE"""),11.0)</f>
        <v>11</v>
      </c>
      <c r="I9" s="9">
        <f>IFERROR(__xludf.DUMMYFUNCTION("""COMPUTED_VALUE"""),137.0)</f>
        <v>137</v>
      </c>
      <c r="J9" s="9">
        <f>IFERROR(__xludf.DUMMYFUNCTION("""COMPUTED_VALUE"""),56.37)</f>
        <v>56.37</v>
      </c>
      <c r="Q9" s="12" t="str">
        <f t="shared" ref="Q9:S9" si="13">IF(H9&gt;M$5, $G9, "")</f>
        <v/>
      </c>
      <c r="R9" s="13" t="str">
        <f t="shared" si="13"/>
        <v/>
      </c>
      <c r="S9" s="14" t="str">
        <f t="shared" si="13"/>
        <v/>
      </c>
    </row>
    <row r="10">
      <c r="A10" s="1" t="s">
        <v>23</v>
      </c>
      <c r="G10" s="9" t="str">
        <f>IFERROR(__xludf.DUMMYFUNCTION("SPLIT(A10,"","")"),"./src/main/java/org/jfree/chart/annotations/XYAnnotation.java")</f>
        <v>./src/main/java/org/jfree/chart/annotations/XYAnnotation.java</v>
      </c>
      <c r="H10" s="9">
        <f>IFERROR(__xludf.DUMMYFUNCTION("""COMPUTED_VALUE"""),4.0)</f>
        <v>4</v>
      </c>
      <c r="I10" s="9">
        <f>IFERROR(__xludf.DUMMYFUNCTION("""COMPUTED_VALUE"""),11.0)</f>
        <v>11</v>
      </c>
      <c r="J10" s="9">
        <f>IFERROR(__xludf.DUMMYFUNCTION("""COMPUTED_VALUE"""),82.81)</f>
        <v>82.81</v>
      </c>
      <c r="Q10" s="12" t="str">
        <f t="shared" ref="Q10:S10" si="14">IF(H10&gt;M$5, $G10, "")</f>
        <v/>
      </c>
      <c r="R10" s="13" t="str">
        <f t="shared" si="14"/>
        <v/>
      </c>
      <c r="S10" s="14" t="str">
        <f t="shared" si="14"/>
        <v/>
      </c>
    </row>
    <row r="11">
      <c r="A11" s="1" t="s">
        <v>24</v>
      </c>
      <c r="G11" s="9" t="str">
        <f>IFERROR(__xludf.DUMMYFUNCTION("SPLIT(A11,"","")"),"./src/main/java/org/jfree/chart/annotations/XYAnnotationBoundsInfo.java")</f>
        <v>./src/main/java/org/jfree/chart/annotations/XYAnnotationBoundsInfo.java</v>
      </c>
      <c r="H11" s="9">
        <f>IFERROR(__xludf.DUMMYFUNCTION("""COMPUTED_VALUE"""),5.0)</f>
        <v>5</v>
      </c>
      <c r="I11" s="9">
        <f>IFERROR(__xludf.DUMMYFUNCTION("""COMPUTED_VALUE"""),7.0)</f>
        <v>7</v>
      </c>
      <c r="J11" s="9">
        <f>IFERROR(__xludf.DUMMYFUNCTION("""COMPUTED_VALUE"""),89.06)</f>
        <v>89.06</v>
      </c>
      <c r="Q11" s="12" t="str">
        <f t="shared" ref="Q11:S11" si="15">IF(H11&gt;M$5, $G11, "")</f>
        <v/>
      </c>
      <c r="R11" s="13" t="str">
        <f t="shared" si="15"/>
        <v/>
      </c>
      <c r="S11" s="14" t="str">
        <f t="shared" si="15"/>
        <v/>
      </c>
    </row>
    <row r="12">
      <c r="A12" s="1" t="s">
        <v>25</v>
      </c>
      <c r="G12" s="9" t="str">
        <f>IFERROR(__xludf.DUMMYFUNCTION("SPLIT(A12,"","")"),"./src/main/java/org/jfree/chart/annotations/XYBoxAnnotation.java")</f>
        <v>./src/main/java/org/jfree/chart/annotations/XYBoxAnnotation.java</v>
      </c>
      <c r="H12" s="9">
        <f>IFERROR(__xludf.DUMMYFUNCTION("""COMPUTED_VALUE"""),10.0)</f>
        <v>10</v>
      </c>
      <c r="I12" s="9">
        <f>IFERROR(__xludf.DUMMYFUNCTION("""COMPUTED_VALUE"""),176.0)</f>
        <v>176</v>
      </c>
      <c r="J12" s="9">
        <f>IFERROR(__xludf.DUMMYFUNCTION("""COMPUTED_VALUE"""),48.54)</f>
        <v>48.54</v>
      </c>
      <c r="Q12" s="12" t="str">
        <f t="shared" ref="Q12:S12" si="16">IF(H12&gt;M$5, $G12, "")</f>
        <v/>
      </c>
      <c r="R12" s="13" t="str">
        <f t="shared" si="16"/>
        <v/>
      </c>
      <c r="S12" s="14" t="str">
        <f t="shared" si="16"/>
        <v/>
      </c>
    </row>
    <row r="13">
      <c r="A13" s="1" t="s">
        <v>26</v>
      </c>
      <c r="G13" s="9" t="str">
        <f>IFERROR(__xludf.DUMMYFUNCTION("SPLIT(A13,"","")"),"./src/main/java/org/jfree/chart/annotations/XYDataImageAnnotation.java")</f>
        <v>./src/main/java/org/jfree/chart/annotations/XYDataImageAnnotation.java</v>
      </c>
      <c r="H13" s="9">
        <f>IFERROR(__xludf.DUMMYFUNCTION("""COMPUTED_VALUE"""),10.0)</f>
        <v>10</v>
      </c>
      <c r="I13" s="9">
        <f>IFERROR(__xludf.DUMMYFUNCTION("""COMPUTED_VALUE"""),159.0)</f>
        <v>159</v>
      </c>
      <c r="J13" s="9">
        <f>IFERROR(__xludf.DUMMYFUNCTION("""COMPUTED_VALUE"""),52.54)</f>
        <v>52.54</v>
      </c>
      <c r="Q13" s="12" t="str">
        <f t="shared" ref="Q13:S13" si="17">IF(H13&gt;M$5, $G13, "")</f>
        <v/>
      </c>
      <c r="R13" s="13" t="str">
        <f t="shared" si="17"/>
        <v/>
      </c>
      <c r="S13" s="14" t="str">
        <f t="shared" si="17"/>
        <v/>
      </c>
    </row>
    <row r="14">
      <c r="A14" s="1" t="s">
        <v>27</v>
      </c>
      <c r="G14" s="9" t="str">
        <f>IFERROR(__xludf.DUMMYFUNCTION("SPLIT(A14,"","")"),"./src/main/java/org/jfree/chart/annotations/XYDrawableAnnotation.java")</f>
        <v>./src/main/java/org/jfree/chart/annotations/XYDrawableAnnotation.java</v>
      </c>
      <c r="H14" s="9">
        <f>IFERROR(__xludf.DUMMYFUNCTION("""COMPUTED_VALUE"""),12.0)</f>
        <v>12</v>
      </c>
      <c r="I14" s="9">
        <f>IFERROR(__xludf.DUMMYFUNCTION("""COMPUTED_VALUE"""),143.0)</f>
        <v>143</v>
      </c>
      <c r="J14" s="9">
        <f>IFERROR(__xludf.DUMMYFUNCTION("""COMPUTED_VALUE"""),47.04)</f>
        <v>47.04</v>
      </c>
      <c r="Q14" s="12" t="str">
        <f t="shared" ref="Q14:S14" si="18">IF(H14&gt;M$5, $G14, "")</f>
        <v/>
      </c>
      <c r="R14" s="13" t="str">
        <f t="shared" si="18"/>
        <v/>
      </c>
      <c r="S14" s="14" t="str">
        <f t="shared" si="18"/>
        <v/>
      </c>
    </row>
    <row r="15">
      <c r="A15" s="1" t="s">
        <v>28</v>
      </c>
      <c r="G15" s="9" t="str">
        <f>IFERROR(__xludf.DUMMYFUNCTION("SPLIT(A15,"","")"),"./src/main/java/org/jfree/chart/annotations/XYImageAnnotation.java")</f>
        <v>./src/main/java/org/jfree/chart/annotations/XYImageAnnotation.java</v>
      </c>
      <c r="H15" s="9">
        <f>IFERROR(__xludf.DUMMYFUNCTION("""COMPUTED_VALUE"""),12.0)</f>
        <v>12</v>
      </c>
      <c r="I15" s="9">
        <f>IFERROR(__xludf.DUMMYFUNCTION("""COMPUTED_VALUE"""),134.0)</f>
        <v>134</v>
      </c>
      <c r="J15" s="9">
        <f>IFERROR(__xludf.DUMMYFUNCTION("""COMPUTED_VALUE"""),50.74)</f>
        <v>50.74</v>
      </c>
      <c r="Q15" s="12" t="str">
        <f t="shared" ref="Q15:S15" si="19">IF(H15&gt;M$5, $G15, "")</f>
        <v/>
      </c>
      <c r="R15" s="13" t="str">
        <f t="shared" si="19"/>
        <v/>
      </c>
      <c r="S15" s="14" t="str">
        <f t="shared" si="19"/>
        <v/>
      </c>
    </row>
    <row r="16">
      <c r="A16" s="1" t="s">
        <v>29</v>
      </c>
      <c r="G16" s="9" t="str">
        <f>IFERROR(__xludf.DUMMYFUNCTION("SPLIT(A16,"","")"),"./src/main/java/org/jfree/chart/annotations/XYLineAnnotation.java")</f>
        <v>./src/main/java/org/jfree/chart/annotations/XYLineAnnotation.java</v>
      </c>
      <c r="H16" s="9">
        <f>IFERROR(__xludf.DUMMYFUNCTION("""COMPUTED_VALUE"""),13.0)</f>
        <v>13</v>
      </c>
      <c r="I16" s="9">
        <f>IFERROR(__xludf.DUMMYFUNCTION("""COMPUTED_VALUE"""),180.0)</f>
        <v>180</v>
      </c>
      <c r="J16" s="9">
        <f>IFERROR(__xludf.DUMMYFUNCTION("""COMPUTED_VALUE"""),45.62)</f>
        <v>45.62</v>
      </c>
      <c r="Q16" s="12" t="str">
        <f t="shared" ref="Q16:S16" si="20">IF(H16&gt;M$5, $G16, "")</f>
        <v/>
      </c>
      <c r="R16" s="13" t="str">
        <f t="shared" si="20"/>
        <v/>
      </c>
      <c r="S16" s="14" t="str">
        <f t="shared" si="20"/>
        <v/>
      </c>
    </row>
    <row r="17">
      <c r="A17" s="1" t="s">
        <v>30</v>
      </c>
      <c r="G17" s="9" t="str">
        <f>IFERROR(__xludf.DUMMYFUNCTION("SPLIT(A17,"","")"),"./src/main/java/org/jfree/chart/annotations/XYPointerAnnotation.java")</f>
        <v>./src/main/java/org/jfree/chart/annotations/XYPointerAnnotation.java</v>
      </c>
      <c r="H17" s="9">
        <f>IFERROR(__xludf.DUMMYFUNCTION("""COMPUTED_VALUE"""),12.0)</f>
        <v>12</v>
      </c>
      <c r="I17" s="9">
        <f>IFERROR(__xludf.DUMMYFUNCTION("""COMPUTED_VALUE"""),252.0)</f>
        <v>252</v>
      </c>
      <c r="J17" s="9">
        <f>IFERROR(__xludf.DUMMYFUNCTION("""COMPUTED_VALUE"""),48.99)</f>
        <v>48.99</v>
      </c>
      <c r="Q17" s="12" t="str">
        <f t="shared" ref="Q17:S17" si="21">IF(H17&gt;M$5, $G17, "")</f>
        <v/>
      </c>
      <c r="R17" s="13" t="str">
        <f t="shared" si="21"/>
        <v/>
      </c>
      <c r="S17" s="14" t="str">
        <f t="shared" si="21"/>
        <v/>
      </c>
    </row>
    <row r="18">
      <c r="A18" s="1" t="s">
        <v>31</v>
      </c>
      <c r="G18" s="9" t="str">
        <f>IFERROR(__xludf.DUMMYFUNCTION("SPLIT(A18,"","")"),"./src/main/java/org/jfree/chart/annotations/XYPolygonAnnotation.java")</f>
        <v>./src/main/java/org/jfree/chart/annotations/XYPolygonAnnotation.java</v>
      </c>
      <c r="H18" s="9">
        <f>IFERROR(__xludf.DUMMYFUNCTION("""COMPUTED_VALUE"""),13.0)</f>
        <v>13</v>
      </c>
      <c r="I18" s="9">
        <f>IFERROR(__xludf.DUMMYFUNCTION("""COMPUTED_VALUE"""),171.0)</f>
        <v>171</v>
      </c>
      <c r="J18" s="9">
        <f>IFERROR(__xludf.DUMMYFUNCTION("""COMPUTED_VALUE"""),46.73)</f>
        <v>46.73</v>
      </c>
      <c r="Q18" s="12" t="str">
        <f t="shared" ref="Q18:S18" si="22">IF(H18&gt;M$5, $G18, "")</f>
        <v/>
      </c>
      <c r="R18" s="13" t="str">
        <f t="shared" si="22"/>
        <v/>
      </c>
      <c r="S18" s="14" t="str">
        <f t="shared" si="22"/>
        <v/>
      </c>
    </row>
    <row r="19">
      <c r="A19" s="1" t="s">
        <v>32</v>
      </c>
      <c r="G19" s="9" t="str">
        <f>IFERROR(__xludf.DUMMYFUNCTION("SPLIT(A19,"","")"),"./src/main/java/org/jfree/chart/annotations/XYShapeAnnotation.java")</f>
        <v>./src/main/java/org/jfree/chart/annotations/XYShapeAnnotation.java</v>
      </c>
      <c r="H19" s="9">
        <f>IFERROR(__xludf.DUMMYFUNCTION("""COMPUTED_VALUE"""),11.0)</f>
        <v>11</v>
      </c>
      <c r="I19" s="9">
        <f>IFERROR(__xludf.DUMMYFUNCTION("""COMPUTED_VALUE"""),152.0)</f>
        <v>152</v>
      </c>
      <c r="J19" s="9">
        <f>IFERROR(__xludf.DUMMYFUNCTION("""COMPUTED_VALUE"""),44.12)</f>
        <v>44.12</v>
      </c>
      <c r="Q19" s="12" t="str">
        <f t="shared" ref="Q19:S19" si="23">IF(H19&gt;M$5, $G19, "")</f>
        <v/>
      </c>
      <c r="R19" s="13" t="str">
        <f t="shared" si="23"/>
        <v/>
      </c>
      <c r="S19" s="14" t="str">
        <f t="shared" si="23"/>
        <v/>
      </c>
    </row>
    <row r="20">
      <c r="A20" s="1" t="s">
        <v>33</v>
      </c>
      <c r="G20" s="9" t="str">
        <f>IFERROR(__xludf.DUMMYFUNCTION("SPLIT(A20,"","")"),"./src/main/java/org/jfree/chart/annotations/XYTextAnnotation.java")</f>
        <v>./src/main/java/org/jfree/chart/annotations/XYTextAnnotation.java</v>
      </c>
      <c r="H20" s="9">
        <f>IFERROR(__xludf.DUMMYFUNCTION("""COMPUTED_VALUE"""),14.0)</f>
        <v>14</v>
      </c>
      <c r="I20" s="9">
        <f>IFERROR(__xludf.DUMMYFUNCTION("""COMPUTED_VALUE"""),282.0)</f>
        <v>282</v>
      </c>
      <c r="J20" s="9">
        <f>IFERROR(__xludf.DUMMYFUNCTION("""COMPUTED_VALUE"""),51.63)</f>
        <v>51.63</v>
      </c>
      <c r="Q20" s="12" t="str">
        <f t="shared" ref="Q20:S20" si="24">IF(H20&gt;M$5, $G20, "")</f>
        <v/>
      </c>
      <c r="R20" s="13" t="str">
        <f t="shared" si="24"/>
        <v/>
      </c>
      <c r="S20" s="14" t="str">
        <f t="shared" si="24"/>
        <v/>
      </c>
    </row>
    <row r="21">
      <c r="A21" s="1" t="s">
        <v>34</v>
      </c>
      <c r="G21" s="9" t="str">
        <f>IFERROR(__xludf.DUMMYFUNCTION("SPLIT(A21,"","")"),"./src/main/java/org/jfree/chart/annotations/XYTitleAnnotation.java")</f>
        <v>./src/main/java/org/jfree/chart/annotations/XYTitleAnnotation.java</v>
      </c>
      <c r="H21" s="9">
        <f>IFERROR(__xludf.DUMMYFUNCTION("""COMPUTED_VALUE"""),15.0)</f>
        <v>15</v>
      </c>
      <c r="I21" s="9">
        <f>IFERROR(__xludf.DUMMYFUNCTION("""COMPUTED_VALUE"""),212.0)</f>
        <v>212</v>
      </c>
      <c r="J21" s="9">
        <f>IFERROR(__xludf.DUMMYFUNCTION("""COMPUTED_VALUE"""),40.95)</f>
        <v>40.95</v>
      </c>
      <c r="Q21" s="12" t="str">
        <f t="shared" ref="Q21:S21" si="25">IF(H21&gt;M$5, $G21, "")</f>
        <v/>
      </c>
      <c r="R21" s="13" t="str">
        <f t="shared" si="25"/>
        <v/>
      </c>
      <c r="S21" s="14" t="str">
        <f t="shared" si="25"/>
        <v/>
      </c>
    </row>
    <row r="22">
      <c r="A22" s="1" t="s">
        <v>35</v>
      </c>
      <c r="G22" s="9" t="str">
        <f>IFERROR(__xludf.DUMMYFUNCTION("SPLIT(A22,"","")"),"./src/main/java/org/jfree/chart/api/HorizontalAlignment.java")</f>
        <v>./src/main/java/org/jfree/chart/api/HorizontalAlignment.java</v>
      </c>
      <c r="H22" s="9">
        <f>IFERROR(__xludf.DUMMYFUNCTION("""COMPUTED_VALUE"""),2.0)</f>
        <v>2</v>
      </c>
      <c r="I22" s="9">
        <f>IFERROR(__xludf.DUMMYFUNCTION("""COMPUTED_VALUE"""),6.0)</f>
        <v>6</v>
      </c>
      <c r="J22" s="9">
        <f>IFERROR(__xludf.DUMMYFUNCTION("""COMPUTED_VALUE"""),87.5)</f>
        <v>87.5</v>
      </c>
      <c r="Q22" s="12" t="str">
        <f t="shared" ref="Q22:S22" si="26">IF(H22&gt;M$5, $G22, "")</f>
        <v/>
      </c>
      <c r="R22" s="13" t="str">
        <f t="shared" si="26"/>
        <v/>
      </c>
      <c r="S22" s="14" t="str">
        <f t="shared" si="26"/>
        <v/>
      </c>
    </row>
    <row r="23">
      <c r="A23" s="1" t="s">
        <v>36</v>
      </c>
      <c r="G23" s="9" t="str">
        <f>IFERROR(__xludf.DUMMYFUNCTION("SPLIT(A23,"","")"),"./src/main/java/org/jfree/chart/api/Layer.java")</f>
        <v>./src/main/java/org/jfree/chart/api/Layer.java</v>
      </c>
      <c r="H23" s="9">
        <f>IFERROR(__xludf.DUMMYFUNCTION("""COMPUTED_VALUE"""),2.0)</f>
        <v>2</v>
      </c>
      <c r="I23" s="9">
        <f>IFERROR(__xludf.DUMMYFUNCTION("""COMPUTED_VALUE"""),5.0)</f>
        <v>5</v>
      </c>
      <c r="J23" s="9">
        <f>IFERROR(__xludf.DUMMYFUNCTION("""COMPUTED_VALUE"""),86.49)</f>
        <v>86.49</v>
      </c>
      <c r="Q23" s="12" t="str">
        <f t="shared" ref="Q23:S23" si="27">IF(H23&gt;M$5, $G23, "")</f>
        <v/>
      </c>
      <c r="R23" s="13" t="str">
        <f t="shared" si="27"/>
        <v/>
      </c>
      <c r="S23" s="14" t="str">
        <f t="shared" si="27"/>
        <v/>
      </c>
    </row>
    <row r="24">
      <c r="A24" s="1" t="s">
        <v>37</v>
      </c>
      <c r="G24" s="9" t="str">
        <f>IFERROR(__xludf.DUMMYFUNCTION("SPLIT(A24,"","")"),"./src/main/java/org/jfree/chart/api/LengthAdjustmentType.java")</f>
        <v>./src/main/java/org/jfree/chart/api/LengthAdjustmentType.java</v>
      </c>
      <c r="H24" s="9">
        <f>IFERROR(__xludf.DUMMYFUNCTION("""COMPUTED_VALUE"""),2.0)</f>
        <v>2</v>
      </c>
      <c r="I24" s="9">
        <f>IFERROR(__xludf.DUMMYFUNCTION("""COMPUTED_VALUE"""),6.0)</f>
        <v>6</v>
      </c>
      <c r="J24" s="9">
        <f>IFERROR(__xludf.DUMMYFUNCTION("""COMPUTED_VALUE"""),87.23)</f>
        <v>87.23</v>
      </c>
      <c r="Q24" s="12" t="str">
        <f t="shared" ref="Q24:S24" si="28">IF(H24&gt;M$5, $G24, "")</f>
        <v/>
      </c>
      <c r="R24" s="13" t="str">
        <f t="shared" si="28"/>
        <v/>
      </c>
      <c r="S24" s="14" t="str">
        <f t="shared" si="28"/>
        <v/>
      </c>
    </row>
    <row r="25">
      <c r="A25" s="1" t="s">
        <v>38</v>
      </c>
      <c r="G25" s="9" t="str">
        <f>IFERROR(__xludf.DUMMYFUNCTION("SPLIT(A25,"","")"),"./src/main/java/org/jfree/chart/api/PublicCloneable.java")</f>
        <v>./src/main/java/org/jfree/chart/api/PublicCloneable.java</v>
      </c>
      <c r="H25" s="9">
        <f>IFERROR(__xludf.DUMMYFUNCTION("""COMPUTED_VALUE"""),2.0)</f>
        <v>2</v>
      </c>
      <c r="I25" s="9">
        <f>IFERROR(__xludf.DUMMYFUNCTION("""COMPUTED_VALUE"""),5.0)</f>
        <v>5</v>
      </c>
      <c r="J25" s="9">
        <f>IFERROR(__xludf.DUMMYFUNCTION("""COMPUTED_VALUE"""),90.57)</f>
        <v>90.57</v>
      </c>
      <c r="Q25" s="12" t="str">
        <f t="shared" ref="Q25:S25" si="29">IF(H25&gt;M$5, $G25, "")</f>
        <v/>
      </c>
      <c r="R25" s="13" t="str">
        <f t="shared" si="29"/>
        <v/>
      </c>
      <c r="S25" s="14" t="str">
        <f t="shared" si="29"/>
        <v/>
      </c>
    </row>
    <row r="26">
      <c r="A26" s="1" t="s">
        <v>39</v>
      </c>
      <c r="G26" s="9" t="str">
        <f>IFERROR(__xludf.DUMMYFUNCTION("SPLIT(A26,"","")"),"./src/main/java/org/jfree/chart/api/RectangleAlignment.java")</f>
        <v>./src/main/java/org/jfree/chart/api/RectangleAlignment.java</v>
      </c>
      <c r="H26" s="9">
        <f>IFERROR(__xludf.DUMMYFUNCTION("""COMPUTED_VALUE"""),2.0)</f>
        <v>2</v>
      </c>
      <c r="I26" s="9">
        <f>IFERROR(__xludf.DUMMYFUNCTION("""COMPUTED_VALUE"""),80.0)</f>
        <v>80</v>
      </c>
      <c r="J26" s="9">
        <f>IFERROR(__xludf.DUMMYFUNCTION("""COMPUTED_VALUE"""),37.5)</f>
        <v>37.5</v>
      </c>
      <c r="Q26" s="12" t="str">
        <f t="shared" ref="Q26:S26" si="30">IF(H26&gt;M$5, $G26, "")</f>
        <v/>
      </c>
      <c r="R26" s="13" t="str">
        <f t="shared" si="30"/>
        <v/>
      </c>
      <c r="S26" s="14" t="str">
        <f t="shared" si="30"/>
        <v/>
      </c>
    </row>
    <row r="27">
      <c r="A27" s="1" t="s">
        <v>40</v>
      </c>
      <c r="G27" s="9" t="str">
        <f>IFERROR(__xludf.DUMMYFUNCTION("SPLIT(A27,"","")"),"./src/main/java/org/jfree/chart/api/RectangleAnchor.java")</f>
        <v>./src/main/java/org/jfree/chart/api/RectangleAnchor.java</v>
      </c>
      <c r="H27" s="9">
        <f>IFERROR(__xludf.DUMMYFUNCTION("""COMPUTED_VALUE"""),3.0)</f>
        <v>3</v>
      </c>
      <c r="I27" s="9">
        <f>IFERROR(__xludf.DUMMYFUNCTION("""COMPUTED_VALUE"""),95.0)</f>
        <v>95</v>
      </c>
      <c r="J27" s="9">
        <f>IFERROR(__xludf.DUMMYFUNCTION("""COMPUTED_VALUE"""),37.5)</f>
        <v>37.5</v>
      </c>
      <c r="Q27" s="12" t="str">
        <f t="shared" ref="Q27:S27" si="31">IF(H27&gt;M$5, $G27, "")</f>
        <v/>
      </c>
      <c r="R27" s="13" t="str">
        <f t="shared" si="31"/>
        <v/>
      </c>
      <c r="S27" s="14" t="str">
        <f t="shared" si="31"/>
        <v/>
      </c>
    </row>
    <row r="28">
      <c r="A28" s="1" t="s">
        <v>41</v>
      </c>
      <c r="G28" s="9" t="str">
        <f>IFERROR(__xludf.DUMMYFUNCTION("SPLIT(A28,"","")"),"./src/main/java/org/jfree/chart/api/RectangleEdge.java")</f>
        <v>./src/main/java/org/jfree/chart/api/RectangleEdge.java</v>
      </c>
      <c r="H28" s="9">
        <f>IFERROR(__xludf.DUMMYFUNCTION("""COMPUTED_VALUE"""),2.0)</f>
        <v>2</v>
      </c>
      <c r="I28" s="9">
        <f>IFERROR(__xludf.DUMMYFUNCTION("""COMPUTED_VALUE"""),42.0)</f>
        <v>42</v>
      </c>
      <c r="J28" s="9">
        <f>IFERROR(__xludf.DUMMYFUNCTION("""COMPUTED_VALUE"""),60.75)</f>
        <v>60.75</v>
      </c>
      <c r="Q28" s="12" t="str">
        <f t="shared" ref="Q28:S28" si="32">IF(H28&gt;M$5, $G28, "")</f>
        <v/>
      </c>
      <c r="R28" s="13" t="str">
        <f t="shared" si="32"/>
        <v/>
      </c>
      <c r="S28" s="14" t="str">
        <f t="shared" si="32"/>
        <v/>
      </c>
    </row>
    <row r="29">
      <c r="A29" s="1" t="s">
        <v>42</v>
      </c>
      <c r="G29" s="9" t="str">
        <f>IFERROR(__xludf.DUMMYFUNCTION("SPLIT(A29,"","")"),"./src/main/java/org/jfree/chart/api/RectangleInsets.java")</f>
        <v>./src/main/java/org/jfree/chart/api/RectangleInsets.java</v>
      </c>
      <c r="H29" s="9">
        <f>IFERROR(__xludf.DUMMYFUNCTION("""COMPUTED_VALUE"""),5.0)</f>
        <v>5</v>
      </c>
      <c r="I29" s="9">
        <f>IFERROR(__xludf.DUMMYFUNCTION("""COMPUTED_VALUE"""),245.0)</f>
        <v>245</v>
      </c>
      <c r="J29" s="9">
        <f>IFERROR(__xludf.DUMMYFUNCTION("""COMPUTED_VALUE"""),49.28)</f>
        <v>49.28</v>
      </c>
      <c r="Q29" s="12" t="str">
        <f t="shared" ref="Q29:S29" si="33">IF(H29&gt;M$5, $G29, "")</f>
        <v/>
      </c>
      <c r="R29" s="13" t="str">
        <f t="shared" si="33"/>
        <v/>
      </c>
      <c r="S29" s="14" t="str">
        <f t="shared" si="33"/>
        <v/>
      </c>
    </row>
    <row r="30">
      <c r="A30" s="1" t="s">
        <v>43</v>
      </c>
      <c r="G30" s="9" t="str">
        <f>IFERROR(__xludf.DUMMYFUNCTION("SPLIT(A30,"","")"),"./src/main/java/org/jfree/chart/api/Rotation.java")</f>
        <v>./src/main/java/org/jfree/chart/api/Rotation.java</v>
      </c>
      <c r="H30" s="9">
        <f>IFERROR(__xludf.DUMMYFUNCTION("""COMPUTED_VALUE"""),2.0)</f>
        <v>2</v>
      </c>
      <c r="I30" s="9">
        <f>IFERROR(__xludf.DUMMYFUNCTION("""COMPUTED_VALUE"""),12.0)</f>
        <v>12</v>
      </c>
      <c r="J30" s="9">
        <f>IFERROR(__xludf.DUMMYFUNCTION("""COMPUTED_VALUE"""),82.09)</f>
        <v>82.09</v>
      </c>
      <c r="Q30" s="12" t="str">
        <f t="shared" ref="Q30:S30" si="34">IF(H30&gt;M$5, $G30, "")</f>
        <v/>
      </c>
      <c r="R30" s="13" t="str">
        <f t="shared" si="34"/>
        <v/>
      </c>
      <c r="S30" s="14" t="str">
        <f t="shared" si="34"/>
        <v/>
      </c>
    </row>
    <row r="31">
      <c r="A31" s="1" t="s">
        <v>44</v>
      </c>
      <c r="G31" s="9" t="str">
        <f>IFERROR(__xludf.DUMMYFUNCTION("SPLIT(A31,"","")"),"./src/main/java/org/jfree/chart/api/SortOrder.java")</f>
        <v>./src/main/java/org/jfree/chart/api/SortOrder.java</v>
      </c>
      <c r="H31" s="9">
        <f>IFERROR(__xludf.DUMMYFUNCTION("""COMPUTED_VALUE"""),2.0)</f>
        <v>2</v>
      </c>
      <c r="I31" s="9">
        <f>IFERROR(__xludf.DUMMYFUNCTION("""COMPUTED_VALUE"""),5.0)</f>
        <v>5</v>
      </c>
      <c r="J31" s="9">
        <f>IFERROR(__xludf.DUMMYFUNCTION("""COMPUTED_VALUE"""),88.64)</f>
        <v>88.64</v>
      </c>
      <c r="Q31" s="12" t="str">
        <f t="shared" ref="Q31:S31" si="35">IF(H31&gt;M$5, $G31, "")</f>
        <v/>
      </c>
      <c r="R31" s="13" t="str">
        <f t="shared" si="35"/>
        <v/>
      </c>
      <c r="S31" s="14" t="str">
        <f t="shared" si="35"/>
        <v/>
      </c>
    </row>
    <row r="32">
      <c r="A32" s="1" t="s">
        <v>45</v>
      </c>
      <c r="G32" s="9" t="str">
        <f>IFERROR(__xludf.DUMMYFUNCTION("SPLIT(A32,"","")"),"./src/main/java/org/jfree/chart/api/TableOrder.java")</f>
        <v>./src/main/java/org/jfree/chart/api/TableOrder.java</v>
      </c>
      <c r="H32" s="9">
        <f>IFERROR(__xludf.DUMMYFUNCTION("""COMPUTED_VALUE"""),2.0)</f>
        <v>2</v>
      </c>
      <c r="I32" s="9">
        <f>IFERROR(__xludf.DUMMYFUNCTION("""COMPUTED_VALUE"""),5.0)</f>
        <v>5</v>
      </c>
      <c r="J32" s="9">
        <f>IFERROR(__xludf.DUMMYFUNCTION("""COMPUTED_VALUE"""),88.64)</f>
        <v>88.64</v>
      </c>
      <c r="Q32" s="12" t="str">
        <f t="shared" ref="Q32:S32" si="36">IF(H32&gt;M$5, $G32, "")</f>
        <v/>
      </c>
      <c r="R32" s="13" t="str">
        <f t="shared" si="36"/>
        <v/>
      </c>
      <c r="S32" s="14" t="str">
        <f t="shared" si="36"/>
        <v/>
      </c>
    </row>
    <row r="33">
      <c r="A33" s="1" t="s">
        <v>46</v>
      </c>
      <c r="G33" s="9" t="str">
        <f>IFERROR(__xludf.DUMMYFUNCTION("SPLIT(A33,"","")"),"./src/main/java/org/jfree/chart/api/UnitType.java")</f>
        <v>./src/main/java/org/jfree/chart/api/UnitType.java</v>
      </c>
      <c r="H33" s="9">
        <f>IFERROR(__xludf.DUMMYFUNCTION("""COMPUTED_VALUE"""),2.0)</f>
        <v>2</v>
      </c>
      <c r="I33" s="9">
        <f>IFERROR(__xludf.DUMMYFUNCTION("""COMPUTED_VALUE"""),5.0)</f>
        <v>5</v>
      </c>
      <c r="J33" s="9">
        <f>IFERROR(__xludf.DUMMYFUNCTION("""COMPUTED_VALUE"""),88.64)</f>
        <v>88.64</v>
      </c>
      <c r="Q33" s="12" t="str">
        <f t="shared" ref="Q33:S33" si="37">IF(H33&gt;M$5, $G33, "")</f>
        <v/>
      </c>
      <c r="R33" s="13" t="str">
        <f t="shared" si="37"/>
        <v/>
      </c>
      <c r="S33" s="14" t="str">
        <f t="shared" si="37"/>
        <v/>
      </c>
    </row>
    <row r="34">
      <c r="A34" s="1" t="s">
        <v>47</v>
      </c>
      <c r="G34" s="9" t="str">
        <f>IFERROR(__xludf.DUMMYFUNCTION("SPLIT(A34,"","")"),"./src/main/java/org/jfree/chart/api/VerticalAlignment.java")</f>
        <v>./src/main/java/org/jfree/chart/api/VerticalAlignment.java</v>
      </c>
      <c r="H34" s="9">
        <f>IFERROR(__xludf.DUMMYFUNCTION("""COMPUTED_VALUE"""),2.0)</f>
        <v>2</v>
      </c>
      <c r="I34" s="9">
        <f>IFERROR(__xludf.DUMMYFUNCTION("""COMPUTED_VALUE"""),6.0)</f>
        <v>6</v>
      </c>
      <c r="J34" s="9">
        <f>IFERROR(__xludf.DUMMYFUNCTION("""COMPUTED_VALUE"""),87.5)</f>
        <v>87.5</v>
      </c>
      <c r="Q34" s="12" t="str">
        <f t="shared" ref="Q34:S34" si="38">IF(H34&gt;M$5, $G34, "")</f>
        <v/>
      </c>
      <c r="R34" s="13" t="str">
        <f t="shared" si="38"/>
        <v/>
      </c>
      <c r="S34" s="14" t="str">
        <f t="shared" si="38"/>
        <v/>
      </c>
    </row>
    <row r="35">
      <c r="A35" s="1" t="s">
        <v>48</v>
      </c>
      <c r="G35" s="9" t="str">
        <f>IFERROR(__xludf.DUMMYFUNCTION("SPLIT(A35,"","")"),"./src/main/java/org/jfree/chart/api/XYCoordinateType.java")</f>
        <v>./src/main/java/org/jfree/chart/api/XYCoordinateType.java</v>
      </c>
      <c r="H35" s="9">
        <f>IFERROR(__xludf.DUMMYFUNCTION("""COMPUTED_VALUE"""),3.0)</f>
        <v>3</v>
      </c>
      <c r="I35" s="9">
        <f>IFERROR(__xludf.DUMMYFUNCTION("""COMPUTED_VALUE"""),6.0)</f>
        <v>6</v>
      </c>
      <c r="J35" s="9">
        <f>IFERROR(__xludf.DUMMYFUNCTION("""COMPUTED_VALUE"""),88.68)</f>
        <v>88.68</v>
      </c>
      <c r="Q35" s="12" t="str">
        <f t="shared" ref="Q35:S35" si="39">IF(H35&gt;M$5, $G35, "")</f>
        <v/>
      </c>
      <c r="R35" s="13" t="str">
        <f t="shared" si="39"/>
        <v/>
      </c>
      <c r="S35" s="14" t="str">
        <f t="shared" si="39"/>
        <v/>
      </c>
    </row>
    <row r="36">
      <c r="A36" s="1" t="s">
        <v>49</v>
      </c>
      <c r="G36" s="9" t="str">
        <f>IFERROR(__xludf.DUMMYFUNCTION("SPLIT(A36,"","")"),"./src/main/java/org/jfree/chart/axis/Axis.java")</f>
        <v>./src/main/java/org/jfree/chart/axis/Axis.java</v>
      </c>
      <c r="H36" s="9">
        <f>IFERROR(__xludf.DUMMYFUNCTION("""COMPUTED_VALUE"""),15.0)</f>
        <v>15</v>
      </c>
      <c r="I36" s="9">
        <f>IFERROR(__xludf.DUMMYFUNCTION("""COMPUTED_VALUE"""),789.0)</f>
        <v>789</v>
      </c>
      <c r="J36" s="9">
        <f>IFERROR(__xludf.DUMMYFUNCTION("""COMPUTED_VALUE"""),48.63)</f>
        <v>48.63</v>
      </c>
      <c r="Q36" s="12" t="str">
        <f t="shared" ref="Q36:S36" si="40">IF(H36&gt;M$5, $G36, "")</f>
        <v/>
      </c>
      <c r="R36" s="13" t="str">
        <f t="shared" si="40"/>
        <v>./src/main/java/org/jfree/chart/axis/Axis.java</v>
      </c>
      <c r="S36" s="14" t="str">
        <f t="shared" si="40"/>
        <v/>
      </c>
    </row>
    <row r="37">
      <c r="A37" s="1" t="s">
        <v>50</v>
      </c>
      <c r="G37" s="9" t="str">
        <f>IFERROR(__xludf.DUMMYFUNCTION("SPLIT(A37,"","")"),"./src/main/java/org/jfree/chart/axis/AxisCollection.java")</f>
        <v>./src/main/java/org/jfree/chart/axis/AxisCollection.java</v>
      </c>
      <c r="H37" s="9">
        <f>IFERROR(__xludf.DUMMYFUNCTION("""COMPUTED_VALUE"""),8.0)</f>
        <v>8</v>
      </c>
      <c r="I37" s="9">
        <f>IFERROR(__xludf.DUMMYFUNCTION("""COMPUTED_VALUE"""),49.0)</f>
        <v>49</v>
      </c>
      <c r="J37" s="9">
        <f>IFERROR(__xludf.DUMMYFUNCTION("""COMPUTED_VALUE"""),61.42)</f>
        <v>61.42</v>
      </c>
      <c r="Q37" s="12" t="str">
        <f t="shared" ref="Q37:S37" si="41">IF(H37&gt;M$5, $G37, "")</f>
        <v/>
      </c>
      <c r="R37" s="13" t="str">
        <f t="shared" si="41"/>
        <v/>
      </c>
      <c r="S37" s="14" t="str">
        <f t="shared" si="41"/>
        <v/>
      </c>
    </row>
    <row r="38">
      <c r="A38" s="1" t="s">
        <v>51</v>
      </c>
      <c r="G38" s="9" t="str">
        <f>IFERROR(__xludf.DUMMYFUNCTION("SPLIT(A38,"","")"),"./src/main/java/org/jfree/chart/axis/AxisLabelLocation.java")</f>
        <v>./src/main/java/org/jfree/chart/axis/AxisLabelLocation.java</v>
      </c>
      <c r="H38" s="9">
        <f>IFERROR(__xludf.DUMMYFUNCTION("""COMPUTED_VALUE"""),5.0)</f>
        <v>5</v>
      </c>
      <c r="I38" s="9">
        <f>IFERROR(__xludf.DUMMYFUNCTION("""COMPUTED_VALUE"""),6.0)</f>
        <v>6</v>
      </c>
      <c r="J38" s="9">
        <f>IFERROR(__xludf.DUMMYFUNCTION("""COMPUTED_VALUE"""),87.23)</f>
        <v>87.23</v>
      </c>
      <c r="Q38" s="12" t="str">
        <f t="shared" ref="Q38:S38" si="42">IF(H38&gt;M$5, $G38, "")</f>
        <v/>
      </c>
      <c r="R38" s="13" t="str">
        <f t="shared" si="42"/>
        <v/>
      </c>
      <c r="S38" s="14" t="str">
        <f t="shared" si="42"/>
        <v/>
      </c>
    </row>
    <row r="39">
      <c r="A39" s="1" t="s">
        <v>52</v>
      </c>
      <c r="G39" s="9" t="str">
        <f>IFERROR(__xludf.DUMMYFUNCTION("SPLIT(A39,"","")"),"./src/main/java/org/jfree/chart/axis/AxisLocation.java")</f>
        <v>./src/main/java/org/jfree/chart/axis/AxisLocation.java</v>
      </c>
      <c r="H39" s="9">
        <f>IFERROR(__xludf.DUMMYFUNCTION("""COMPUTED_VALUE"""),9.0)</f>
        <v>9</v>
      </c>
      <c r="I39" s="9">
        <f>IFERROR(__xludf.DUMMYFUNCTION("""COMPUTED_VALUE"""),26.0)</f>
        <v>26</v>
      </c>
      <c r="J39" s="9">
        <f>IFERROR(__xludf.DUMMYFUNCTION("""COMPUTED_VALUE"""),67.9)</f>
        <v>67.9</v>
      </c>
      <c r="Q39" s="12" t="str">
        <f t="shared" ref="Q39:S39" si="43">IF(H39&gt;M$5, $G39, "")</f>
        <v/>
      </c>
      <c r="R39" s="13" t="str">
        <f t="shared" si="43"/>
        <v/>
      </c>
      <c r="S39" s="14" t="str">
        <f t="shared" si="43"/>
        <v/>
      </c>
    </row>
    <row r="40">
      <c r="A40" s="1" t="s">
        <v>53</v>
      </c>
      <c r="G40" s="9" t="str">
        <f>IFERROR(__xludf.DUMMYFUNCTION("SPLIT(A40,"","")"),"./src/main/java/org/jfree/chart/axis/AxisSpace.java")</f>
        <v>./src/main/java/org/jfree/chart/axis/AxisSpace.java</v>
      </c>
      <c r="H40" s="9">
        <f>IFERROR(__xludf.DUMMYFUNCTION("""COMPUTED_VALUE"""),7.0)</f>
        <v>7</v>
      </c>
      <c r="I40" s="9">
        <f>IFERROR(__xludf.DUMMYFUNCTION("""COMPUTED_VALUE"""),189.0)</f>
        <v>189</v>
      </c>
      <c r="J40" s="9">
        <f>IFERROR(__xludf.DUMMYFUNCTION("""COMPUTED_VALUE"""),44.74)</f>
        <v>44.74</v>
      </c>
      <c r="Q40" s="12" t="str">
        <f t="shared" ref="Q40:S40" si="44">IF(H40&gt;M$5, $G40, "")</f>
        <v/>
      </c>
      <c r="R40" s="13" t="str">
        <f t="shared" si="44"/>
        <v/>
      </c>
      <c r="S40" s="14" t="str">
        <f t="shared" si="44"/>
        <v/>
      </c>
    </row>
    <row r="41">
      <c r="A41" s="1" t="s">
        <v>54</v>
      </c>
      <c r="G41" s="9" t="str">
        <f>IFERROR(__xludf.DUMMYFUNCTION("SPLIT(A41,"","")"),"./src/main/java/org/jfree/chart/axis/AxisState.java")</f>
        <v>./src/main/java/org/jfree/chart/axis/AxisState.java</v>
      </c>
      <c r="H41" s="9">
        <f>IFERROR(__xludf.DUMMYFUNCTION("""COMPUTED_VALUE"""),7.0)</f>
        <v>7</v>
      </c>
      <c r="I41" s="9">
        <f>IFERROR(__xludf.DUMMYFUNCTION("""COMPUTED_VALUE"""),66.0)</f>
        <v>66</v>
      </c>
      <c r="J41" s="9">
        <f>IFERROR(__xludf.DUMMYFUNCTION("""COMPUTED_VALUE"""),62.29)</f>
        <v>62.29</v>
      </c>
      <c r="Q41" s="12" t="str">
        <f t="shared" ref="Q41:S41" si="45">IF(H41&gt;M$5, $G41, "")</f>
        <v/>
      </c>
      <c r="R41" s="13" t="str">
        <f t="shared" si="45"/>
        <v/>
      </c>
      <c r="S41" s="14" t="str">
        <f t="shared" si="45"/>
        <v/>
      </c>
    </row>
    <row r="42">
      <c r="A42" s="1" t="s">
        <v>55</v>
      </c>
      <c r="G42" s="9" t="str">
        <f>IFERROR(__xludf.DUMMYFUNCTION("SPLIT(A42,"","")"),"./src/main/java/org/jfree/chart/axis/CategoryAnchor.java")</f>
        <v>./src/main/java/org/jfree/chart/axis/CategoryAnchor.java</v>
      </c>
      <c r="H42" s="9">
        <f>IFERROR(__xludf.DUMMYFUNCTION("""COMPUTED_VALUE"""),6.0)</f>
        <v>6</v>
      </c>
      <c r="I42" s="9">
        <f>IFERROR(__xludf.DUMMYFUNCTION("""COMPUTED_VALUE"""),6.0)</f>
        <v>6</v>
      </c>
      <c r="J42" s="9">
        <f>IFERROR(__xludf.DUMMYFUNCTION("""COMPUTED_VALUE"""),87.5)</f>
        <v>87.5</v>
      </c>
      <c r="Q42" s="12" t="str">
        <f t="shared" ref="Q42:S42" si="46">IF(H42&gt;M$5, $G42, "")</f>
        <v/>
      </c>
      <c r="R42" s="13" t="str">
        <f t="shared" si="46"/>
        <v/>
      </c>
      <c r="S42" s="14" t="str">
        <f t="shared" si="46"/>
        <v/>
      </c>
    </row>
    <row r="43">
      <c r="A43" s="1" t="s">
        <v>56</v>
      </c>
      <c r="G43" s="9" t="str">
        <f>IFERROR(__xludf.DUMMYFUNCTION("SPLIT(A43,"","")"),"./src/main/java/org/jfree/chart/axis/CategoryAxis.java")</f>
        <v>./src/main/java/org/jfree/chart/axis/CategoryAxis.java</v>
      </c>
      <c r="H43" s="9">
        <f>IFERROR(__xludf.DUMMYFUNCTION("""COMPUTED_VALUE"""),16.0)</f>
        <v>16</v>
      </c>
      <c r="I43" s="9">
        <f>IFERROR(__xludf.DUMMYFUNCTION("""COMPUTED_VALUE"""),726.0)</f>
        <v>726</v>
      </c>
      <c r="J43" s="9">
        <f>IFERROR(__xludf.DUMMYFUNCTION("""COMPUTED_VALUE"""),43.98)</f>
        <v>43.98</v>
      </c>
      <c r="Q43" s="12" t="str">
        <f t="shared" ref="Q43:S43" si="47">IF(H43&gt;M$5, $G43, "")</f>
        <v/>
      </c>
      <c r="R43" s="13" t="str">
        <f t="shared" si="47"/>
        <v>./src/main/java/org/jfree/chart/axis/CategoryAxis.java</v>
      </c>
      <c r="S43" s="14" t="str">
        <f t="shared" si="47"/>
        <v/>
      </c>
    </row>
    <row r="44">
      <c r="A44" s="1" t="s">
        <v>57</v>
      </c>
      <c r="G44" s="9" t="str">
        <f>IFERROR(__xludf.DUMMYFUNCTION("SPLIT(A44,"","")"),"./src/main/java/org/jfree/chart/axis/CategoryLabelPosition.java")</f>
        <v>./src/main/java/org/jfree/chart/axis/CategoryLabelPosition.java</v>
      </c>
      <c r="H44" s="9">
        <f>IFERROR(__xludf.DUMMYFUNCTION("""COMPUTED_VALUE"""),8.0)</f>
        <v>8</v>
      </c>
      <c r="I44" s="9">
        <f>IFERROR(__xludf.DUMMYFUNCTION("""COMPUTED_VALUE"""),99.0)</f>
        <v>99</v>
      </c>
      <c r="J44" s="9">
        <f>IFERROR(__xludf.DUMMYFUNCTION("""COMPUTED_VALUE"""),56.77)</f>
        <v>56.77</v>
      </c>
      <c r="Q44" s="12" t="str">
        <f t="shared" ref="Q44:S44" si="48">IF(H44&gt;M$5, $G44, "")</f>
        <v/>
      </c>
      <c r="R44" s="13" t="str">
        <f t="shared" si="48"/>
        <v/>
      </c>
      <c r="S44" s="14" t="str">
        <f t="shared" si="48"/>
        <v/>
      </c>
    </row>
    <row r="45">
      <c r="A45" s="1" t="s">
        <v>58</v>
      </c>
      <c r="G45" s="9" t="str">
        <f>IFERROR(__xludf.DUMMYFUNCTION("SPLIT(A45,"","")"),"./src/main/java/org/jfree/chart/axis/CategoryLabelPositions.java")</f>
        <v>./src/main/java/org/jfree/chart/axis/CategoryLabelPositions.java</v>
      </c>
      <c r="H45" s="9">
        <f>IFERROR(__xludf.DUMMYFUNCTION("""COMPUTED_VALUE"""),8.0)</f>
        <v>8</v>
      </c>
      <c r="I45" s="9">
        <f>IFERROR(__xludf.DUMMYFUNCTION("""COMPUTED_VALUE"""),217.0)</f>
        <v>217</v>
      </c>
      <c r="J45" s="9">
        <f>IFERROR(__xludf.DUMMYFUNCTION("""COMPUTED_VALUE"""),40.71)</f>
        <v>40.71</v>
      </c>
      <c r="Q45" s="12" t="str">
        <f t="shared" ref="Q45:S45" si="49">IF(H45&gt;M$5, $G45, "")</f>
        <v/>
      </c>
      <c r="R45" s="13" t="str">
        <f t="shared" si="49"/>
        <v/>
      </c>
      <c r="S45" s="14" t="str">
        <f t="shared" si="49"/>
        <v/>
      </c>
    </row>
    <row r="46">
      <c r="A46" s="1" t="s">
        <v>59</v>
      </c>
      <c r="G46" s="9" t="str">
        <f>IFERROR(__xludf.DUMMYFUNCTION("SPLIT(A46,"","")"),"./src/main/java/org/jfree/chart/axis/CategoryLabelWidthType.java")</f>
        <v>./src/main/java/org/jfree/chart/axis/CategoryLabelWidthType.java</v>
      </c>
      <c r="H46" s="9">
        <f>IFERROR(__xludf.DUMMYFUNCTION("""COMPUTED_VALUE"""),7.0)</f>
        <v>7</v>
      </c>
      <c r="I46" s="9">
        <f>IFERROR(__xludf.DUMMYFUNCTION("""COMPUTED_VALUE"""),5.0)</f>
        <v>5</v>
      </c>
      <c r="J46" s="9">
        <f>IFERROR(__xludf.DUMMYFUNCTION("""COMPUTED_VALUE"""),88.89)</f>
        <v>88.89</v>
      </c>
      <c r="Q46" s="12" t="str">
        <f t="shared" ref="Q46:S46" si="50">IF(H46&gt;M$5, $G46, "")</f>
        <v/>
      </c>
      <c r="R46" s="13" t="str">
        <f t="shared" si="50"/>
        <v/>
      </c>
      <c r="S46" s="14" t="str">
        <f t="shared" si="50"/>
        <v/>
      </c>
    </row>
    <row r="47">
      <c r="A47" s="1" t="s">
        <v>60</v>
      </c>
      <c r="G47" s="9" t="str">
        <f>IFERROR(__xludf.DUMMYFUNCTION("SPLIT(A47,"","")"),"./src/main/java/org/jfree/chart/axis/CategoryTick.java")</f>
        <v>./src/main/java/org/jfree/chart/axis/CategoryTick.java</v>
      </c>
      <c r="H47" s="9">
        <f>IFERROR(__xludf.DUMMYFUNCTION("""COMPUTED_VALUE"""),6.0)</f>
        <v>6</v>
      </c>
      <c r="I47" s="9">
        <f>IFERROR(__xludf.DUMMYFUNCTION("""COMPUTED_VALUE"""),55.0)</f>
        <v>55</v>
      </c>
      <c r="J47" s="9">
        <f>IFERROR(__xludf.DUMMYFUNCTION("""COMPUTED_VALUE"""),58.33)</f>
        <v>58.33</v>
      </c>
      <c r="Q47" s="12" t="str">
        <f t="shared" ref="Q47:S47" si="51">IF(H47&gt;M$5, $G47, "")</f>
        <v/>
      </c>
      <c r="R47" s="13" t="str">
        <f t="shared" si="51"/>
        <v/>
      </c>
      <c r="S47" s="14" t="str">
        <f t="shared" si="51"/>
        <v/>
      </c>
    </row>
    <row r="48">
      <c r="A48" s="1" t="s">
        <v>61</v>
      </c>
      <c r="G48" s="9" t="str">
        <f>IFERROR(__xludf.DUMMYFUNCTION("SPLIT(A48,"","")"),"./src/main/java/org/jfree/chart/axis/CompassFormat.java")</f>
        <v>./src/main/java/org/jfree/chart/axis/CompassFormat.java</v>
      </c>
      <c r="H48" s="9">
        <f>IFERROR(__xludf.DUMMYFUNCTION("""COMPUTED_VALUE"""),5.0)</f>
        <v>5</v>
      </c>
      <c r="I48" s="9">
        <f>IFERROR(__xludf.DUMMYFUNCTION("""COMPUTED_VALUE"""),48.0)</f>
        <v>48</v>
      </c>
      <c r="J48" s="9">
        <f>IFERROR(__xludf.DUMMYFUNCTION("""COMPUTED_VALUE"""),65.71)</f>
        <v>65.71</v>
      </c>
      <c r="Q48" s="12" t="str">
        <f t="shared" ref="Q48:S48" si="52">IF(H48&gt;M$5, $G48, "")</f>
        <v/>
      </c>
      <c r="R48" s="13" t="str">
        <f t="shared" si="52"/>
        <v/>
      </c>
      <c r="S48" s="14" t="str">
        <f t="shared" si="52"/>
        <v/>
      </c>
    </row>
    <row r="49">
      <c r="A49" s="1" t="s">
        <v>62</v>
      </c>
      <c r="G49" s="9" t="str">
        <f>IFERROR(__xludf.DUMMYFUNCTION("SPLIT(A49,"","")"),"./src/main/java/org/jfree/chart/axis/CyclicNumberAxis.java")</f>
        <v>./src/main/java/org/jfree/chart/axis/CyclicNumberAxis.java</v>
      </c>
      <c r="H49" s="9">
        <f>IFERROR(__xludf.DUMMYFUNCTION("""COMPUTED_VALUE"""),11.0)</f>
        <v>11</v>
      </c>
      <c r="I49" s="9">
        <f>IFERROR(__xludf.DUMMYFUNCTION("""COMPUTED_VALUE"""),653.0)</f>
        <v>653</v>
      </c>
      <c r="J49" s="9">
        <f>IFERROR(__xludf.DUMMYFUNCTION("""COMPUTED_VALUE"""),37.69)</f>
        <v>37.69</v>
      </c>
      <c r="Q49" s="12" t="str">
        <f t="shared" ref="Q49:S49" si="53">IF(H49&gt;M$5, $G49, "")</f>
        <v/>
      </c>
      <c r="R49" s="13" t="str">
        <f t="shared" si="53"/>
        <v>./src/main/java/org/jfree/chart/axis/CyclicNumberAxis.java</v>
      </c>
      <c r="S49" s="14" t="str">
        <f t="shared" si="53"/>
        <v/>
      </c>
    </row>
    <row r="50">
      <c r="A50" s="1" t="s">
        <v>63</v>
      </c>
      <c r="G50" s="9" t="str">
        <f>IFERROR(__xludf.DUMMYFUNCTION("SPLIT(A50,"","")"),"./src/main/java/org/jfree/chart/axis/DateAxis.java")</f>
        <v>./src/main/java/org/jfree/chart/axis/DateAxis.java</v>
      </c>
      <c r="H50" s="9">
        <f>IFERROR(__xludf.DUMMYFUNCTION("""COMPUTED_VALUE"""),17.0)</f>
        <v>17</v>
      </c>
      <c r="I50" s="9">
        <f>IFERROR(__xludf.DUMMYFUNCTION("""COMPUTED_VALUE"""),1063.0)</f>
        <v>1063</v>
      </c>
      <c r="J50" s="9">
        <f>IFERROR(__xludf.DUMMYFUNCTION("""COMPUTED_VALUE"""),36.35)</f>
        <v>36.35</v>
      </c>
      <c r="Q50" s="12" t="str">
        <f t="shared" ref="Q50:S50" si="54">IF(H50&gt;M$5, $G50, "")</f>
        <v/>
      </c>
      <c r="R50" s="13" t="str">
        <f t="shared" si="54"/>
        <v>./src/main/java/org/jfree/chart/axis/DateAxis.java</v>
      </c>
      <c r="S50" s="14" t="str">
        <f t="shared" si="54"/>
        <v/>
      </c>
    </row>
    <row r="51">
      <c r="A51" s="1" t="s">
        <v>64</v>
      </c>
      <c r="G51" s="9" t="str">
        <f>IFERROR(__xludf.DUMMYFUNCTION("SPLIT(A51,"","")"),"./src/main/java/org/jfree/chart/axis/DateTick.java")</f>
        <v>./src/main/java/org/jfree/chart/axis/DateTick.java</v>
      </c>
      <c r="H51" s="9">
        <f>IFERROR(__xludf.DUMMYFUNCTION("""COMPUTED_VALUE"""),8.0)</f>
        <v>8</v>
      </c>
      <c r="I51" s="9">
        <f>IFERROR(__xludf.DUMMYFUNCTION("""COMPUTED_VALUE"""),42.0)</f>
        <v>42</v>
      </c>
      <c r="J51" s="9">
        <f>IFERROR(__xludf.DUMMYFUNCTION("""COMPUTED_VALUE"""),65.0)</f>
        <v>65</v>
      </c>
      <c r="Q51" s="12" t="str">
        <f t="shared" ref="Q51:S51" si="55">IF(H51&gt;M$5, $G51, "")</f>
        <v/>
      </c>
      <c r="R51" s="13" t="str">
        <f t="shared" si="55"/>
        <v/>
      </c>
      <c r="S51" s="14" t="str">
        <f t="shared" si="55"/>
        <v/>
      </c>
    </row>
    <row r="52">
      <c r="A52" s="1" t="s">
        <v>65</v>
      </c>
      <c r="G52" s="9" t="str">
        <f>IFERROR(__xludf.DUMMYFUNCTION("SPLIT(A52,"","")"),"./src/main/java/org/jfree/chart/axis/DateTickMarkPosition.java")</f>
        <v>./src/main/java/org/jfree/chart/axis/DateTickMarkPosition.java</v>
      </c>
      <c r="H52" s="9">
        <f>IFERROR(__xludf.DUMMYFUNCTION("""COMPUTED_VALUE"""),5.0)</f>
        <v>5</v>
      </c>
      <c r="I52" s="9">
        <f>IFERROR(__xludf.DUMMYFUNCTION("""COMPUTED_VALUE"""),6.0)</f>
        <v>6</v>
      </c>
      <c r="J52" s="9">
        <f>IFERROR(__xludf.DUMMYFUNCTION("""COMPUTED_VALUE"""),88.68)</f>
        <v>88.68</v>
      </c>
      <c r="Q52" s="12" t="str">
        <f t="shared" ref="Q52:S52" si="56">IF(H52&gt;M$5, $G52, "")</f>
        <v/>
      </c>
      <c r="R52" s="13" t="str">
        <f t="shared" si="56"/>
        <v/>
      </c>
      <c r="S52" s="14" t="str">
        <f t="shared" si="56"/>
        <v/>
      </c>
    </row>
    <row r="53">
      <c r="A53" s="1" t="s">
        <v>66</v>
      </c>
      <c r="G53" s="9" t="str">
        <f>IFERROR(__xludf.DUMMYFUNCTION("SPLIT(A53,"","")"),"./src/main/java/org/jfree/chart/axis/DateTickUnit.java")</f>
        <v>./src/main/java/org/jfree/chart/axis/DateTickUnit.java</v>
      </c>
      <c r="H53" s="9">
        <f>IFERROR(__xludf.DUMMYFUNCTION("""COMPUTED_VALUE"""),9.0)</f>
        <v>9</v>
      </c>
      <c r="I53" s="9">
        <f>IFERROR(__xludf.DUMMYFUNCTION("""COMPUTED_VALUE"""),140.0)</f>
        <v>140</v>
      </c>
      <c r="J53" s="9">
        <f>IFERROR(__xludf.DUMMYFUNCTION("""COMPUTED_VALUE"""),55.84)</f>
        <v>55.84</v>
      </c>
      <c r="Q53" s="12" t="str">
        <f t="shared" ref="Q53:S53" si="57">IF(H53&gt;M$5, $G53, "")</f>
        <v/>
      </c>
      <c r="R53" s="13" t="str">
        <f t="shared" si="57"/>
        <v/>
      </c>
      <c r="S53" s="14" t="str">
        <f t="shared" si="57"/>
        <v/>
      </c>
    </row>
    <row r="54">
      <c r="A54" s="1" t="s">
        <v>67</v>
      </c>
      <c r="G54" s="9" t="str">
        <f>IFERROR(__xludf.DUMMYFUNCTION("SPLIT(A54,"","")"),"./src/main/java/org/jfree/chart/axis/DateTickUnitType.java")</f>
        <v>./src/main/java/org/jfree/chart/axis/DateTickUnitType.java</v>
      </c>
      <c r="H54" s="9">
        <f>IFERROR(__xludf.DUMMYFUNCTION("""COMPUTED_VALUE"""),4.0)</f>
        <v>4</v>
      </c>
      <c r="I54" s="9">
        <f>IFERROR(__xludf.DUMMYFUNCTION("""COMPUTED_VALUE"""),18.0)</f>
        <v>18</v>
      </c>
      <c r="J54" s="9">
        <f>IFERROR(__xludf.DUMMYFUNCTION("""COMPUTED_VALUE"""),75.68)</f>
        <v>75.68</v>
      </c>
      <c r="Q54" s="12" t="str">
        <f t="shared" ref="Q54:S54" si="58">IF(H54&gt;M$5, $G54, "")</f>
        <v/>
      </c>
      <c r="R54" s="13" t="str">
        <f t="shared" si="58"/>
        <v/>
      </c>
      <c r="S54" s="14" t="str">
        <f t="shared" si="58"/>
        <v/>
      </c>
    </row>
    <row r="55">
      <c r="A55" s="1" t="s">
        <v>68</v>
      </c>
      <c r="G55" s="9" t="str">
        <f>IFERROR(__xludf.DUMMYFUNCTION("SPLIT(A55,"","")"),"./src/main/java/org/jfree/chart/axis/ExtendedCategoryAxis.java")</f>
        <v>./src/main/java/org/jfree/chart/axis/ExtendedCategoryAxis.java</v>
      </c>
      <c r="H55" s="9">
        <f>IFERROR(__xludf.DUMMYFUNCTION("""COMPUTED_VALUE"""),8.0)</f>
        <v>8</v>
      </c>
      <c r="I55" s="9">
        <f>IFERROR(__xludf.DUMMYFUNCTION("""COMPUTED_VALUE"""),106.0)</f>
        <v>106</v>
      </c>
      <c r="J55" s="9">
        <f>IFERROR(__xludf.DUMMYFUNCTION("""COMPUTED_VALUE"""),53.91)</f>
        <v>53.91</v>
      </c>
      <c r="Q55" s="12" t="str">
        <f t="shared" ref="Q55:S55" si="59">IF(H55&gt;M$5, $G55, "")</f>
        <v/>
      </c>
      <c r="R55" s="13" t="str">
        <f t="shared" si="59"/>
        <v/>
      </c>
      <c r="S55" s="14" t="str">
        <f t="shared" si="59"/>
        <v/>
      </c>
    </row>
    <row r="56">
      <c r="A56" s="1" t="s">
        <v>69</v>
      </c>
      <c r="G56" s="9" t="str">
        <f>IFERROR(__xludf.DUMMYFUNCTION("SPLIT(A56,"","")"),"./src/main/java/org/jfree/chart/axis/LogarithmicAxis.java")</f>
        <v>./src/main/java/org/jfree/chart/axis/LogarithmicAxis.java</v>
      </c>
      <c r="H56" s="9">
        <f>IFERROR(__xludf.DUMMYFUNCTION("""COMPUTED_VALUE"""),7.0)</f>
        <v>7</v>
      </c>
      <c r="I56" s="9">
        <f>IFERROR(__xludf.DUMMYFUNCTION("""COMPUTED_VALUE"""),561.0)</f>
        <v>561</v>
      </c>
      <c r="J56" s="9">
        <f>IFERROR(__xludf.DUMMYFUNCTION("""COMPUTED_VALUE"""),41.01)</f>
        <v>41.01</v>
      </c>
      <c r="Q56" s="12" t="str">
        <f t="shared" ref="Q56:S56" si="60">IF(H56&gt;M$5, $G56, "")</f>
        <v/>
      </c>
      <c r="R56" s="13" t="str">
        <f t="shared" si="60"/>
        <v>./src/main/java/org/jfree/chart/axis/LogarithmicAxis.java</v>
      </c>
      <c r="S56" s="14" t="str">
        <f t="shared" si="60"/>
        <v/>
      </c>
    </row>
    <row r="57">
      <c r="A57" s="1" t="s">
        <v>70</v>
      </c>
      <c r="G57" s="9" t="str">
        <f>IFERROR(__xludf.DUMMYFUNCTION("SPLIT(A57,"","")"),"./src/main/java/org/jfree/chart/axis/LogAxis.java")</f>
        <v>./src/main/java/org/jfree/chart/axis/LogAxis.java</v>
      </c>
      <c r="H57" s="9">
        <f>IFERROR(__xludf.DUMMYFUNCTION("""COMPUTED_VALUE"""),12.0)</f>
        <v>12</v>
      </c>
      <c r="I57" s="9">
        <f>IFERROR(__xludf.DUMMYFUNCTION("""COMPUTED_VALUE"""),565.0)</f>
        <v>565</v>
      </c>
      <c r="J57" s="9">
        <f>IFERROR(__xludf.DUMMYFUNCTION("""COMPUTED_VALUE"""),41.45)</f>
        <v>41.45</v>
      </c>
      <c r="Q57" s="12" t="str">
        <f t="shared" ref="Q57:S57" si="61">IF(H57&gt;M$5, $G57, "")</f>
        <v/>
      </c>
      <c r="R57" s="13" t="str">
        <f t="shared" si="61"/>
        <v>./src/main/java/org/jfree/chart/axis/LogAxis.java</v>
      </c>
      <c r="S57" s="14" t="str">
        <f t="shared" si="61"/>
        <v/>
      </c>
    </row>
    <row r="58">
      <c r="A58" s="1" t="s">
        <v>71</v>
      </c>
      <c r="G58" s="9" t="str">
        <f>IFERROR(__xludf.DUMMYFUNCTION("SPLIT(A58,"","")"),"./src/main/java/org/jfree/chart/axis/LogTick.java")</f>
        <v>./src/main/java/org/jfree/chart/axis/LogTick.java</v>
      </c>
      <c r="H58" s="9">
        <f>IFERROR(__xludf.DUMMYFUNCTION("""COMPUTED_VALUE"""),4.0)</f>
        <v>4</v>
      </c>
      <c r="I58" s="9">
        <f>IFERROR(__xludf.DUMMYFUNCTION("""COMPUTED_VALUE"""),14.0)</f>
        <v>14</v>
      </c>
      <c r="J58" s="9">
        <f>IFERROR(__xludf.DUMMYFUNCTION("""COMPUTED_VALUE"""),80.56)</f>
        <v>80.56</v>
      </c>
      <c r="Q58" s="12" t="str">
        <f t="shared" ref="Q58:S58" si="62">IF(H58&gt;M$5, $G58, "")</f>
        <v/>
      </c>
      <c r="R58" s="13" t="str">
        <f t="shared" si="62"/>
        <v/>
      </c>
      <c r="S58" s="14" t="str">
        <f t="shared" si="62"/>
        <v/>
      </c>
    </row>
    <row r="59">
      <c r="A59" s="1" t="s">
        <v>72</v>
      </c>
      <c r="G59" s="9" t="str">
        <f>IFERROR(__xludf.DUMMYFUNCTION("SPLIT(A59,"","")"),"./src/main/java/org/jfree/chart/axis/MarkerAxisBand.java")</f>
        <v>./src/main/java/org/jfree/chart/axis/MarkerAxisBand.java</v>
      </c>
      <c r="H59" s="9">
        <f>IFERROR(__xludf.DUMMYFUNCTION("""COMPUTED_VALUE"""),9.0)</f>
        <v>9</v>
      </c>
      <c r="I59" s="9">
        <f>IFERROR(__xludf.DUMMYFUNCTION("""COMPUTED_VALUE"""),133.0)</f>
        <v>133</v>
      </c>
      <c r="J59" s="9">
        <f>IFERROR(__xludf.DUMMYFUNCTION("""COMPUTED_VALUE"""),45.04)</f>
        <v>45.04</v>
      </c>
      <c r="Q59" s="12" t="str">
        <f t="shared" ref="Q59:S59" si="63">IF(H59&gt;M$5, $G59, "")</f>
        <v/>
      </c>
      <c r="R59" s="13" t="str">
        <f t="shared" si="63"/>
        <v/>
      </c>
      <c r="S59" s="14" t="str">
        <f t="shared" si="63"/>
        <v/>
      </c>
    </row>
    <row r="60">
      <c r="A60" s="1" t="s">
        <v>73</v>
      </c>
      <c r="G60" s="9" t="str">
        <f>IFERROR(__xludf.DUMMYFUNCTION("SPLIT(A60,"","")"),"./src/main/java/org/jfree/chart/axis/ModuloAxis.java")</f>
        <v>./src/main/java/org/jfree/chart/axis/ModuloAxis.java</v>
      </c>
      <c r="H60" s="9">
        <f>IFERROR(__xludf.DUMMYFUNCTION("""COMPUTED_VALUE"""),6.0)</f>
        <v>6</v>
      </c>
      <c r="I60" s="9">
        <f>IFERROR(__xludf.DUMMYFUNCTION("""COMPUTED_VALUE"""),215.0)</f>
        <v>215</v>
      </c>
      <c r="J60" s="9">
        <f>IFERROR(__xludf.DUMMYFUNCTION("""COMPUTED_VALUE"""),45.98)</f>
        <v>45.98</v>
      </c>
      <c r="Q60" s="12" t="str">
        <f t="shared" ref="Q60:S60" si="64">IF(H60&gt;M$5, $G60, "")</f>
        <v/>
      </c>
      <c r="R60" s="13" t="str">
        <f t="shared" si="64"/>
        <v/>
      </c>
      <c r="S60" s="14" t="str">
        <f t="shared" si="64"/>
        <v/>
      </c>
    </row>
    <row r="61">
      <c r="A61" s="1" t="s">
        <v>74</v>
      </c>
      <c r="G61" s="9" t="str">
        <f>IFERROR(__xludf.DUMMYFUNCTION("SPLIT(A61,"","")"),"./src/main/java/org/jfree/chart/axis/MonthDateFormat.java")</f>
        <v>./src/main/java/org/jfree/chart/axis/MonthDateFormat.java</v>
      </c>
      <c r="H61" s="9">
        <f>IFERROR(__xludf.DUMMYFUNCTION("""COMPUTED_VALUE"""),5.0)</f>
        <v>5</v>
      </c>
      <c r="I61" s="9">
        <f>IFERROR(__xludf.DUMMYFUNCTION("""COMPUTED_VALUE"""),98.0)</f>
        <v>98</v>
      </c>
      <c r="J61" s="9">
        <f>IFERROR(__xludf.DUMMYFUNCTION("""COMPUTED_VALUE"""),57.39)</f>
        <v>57.39</v>
      </c>
      <c r="Q61" s="12" t="str">
        <f t="shared" ref="Q61:S61" si="65">IF(H61&gt;M$5, $G61, "")</f>
        <v/>
      </c>
      <c r="R61" s="13" t="str">
        <f t="shared" si="65"/>
        <v/>
      </c>
      <c r="S61" s="14" t="str">
        <f t="shared" si="65"/>
        <v/>
      </c>
    </row>
    <row r="62">
      <c r="A62" s="1" t="s">
        <v>75</v>
      </c>
      <c r="G62" s="9" t="str">
        <f>IFERROR(__xludf.DUMMYFUNCTION("SPLIT(A62,"","")"),"./src/main/java/org/jfree/chart/axis/NumberAxis.java")</f>
        <v>./src/main/java/org/jfree/chart/axis/NumberAxis.java</v>
      </c>
      <c r="H62" s="9">
        <f>IFERROR(__xludf.DUMMYFUNCTION("""COMPUTED_VALUE"""),10.0)</f>
        <v>10</v>
      </c>
      <c r="I62" s="9">
        <f>IFERROR(__xludf.DUMMYFUNCTION("""COMPUTED_VALUE"""),597.0)</f>
        <v>597</v>
      </c>
      <c r="J62" s="9">
        <f>IFERROR(__xludf.DUMMYFUNCTION("""COMPUTED_VALUE"""),41.7)</f>
        <v>41.7</v>
      </c>
      <c r="Q62" s="12" t="str">
        <f t="shared" ref="Q62:S62" si="66">IF(H62&gt;M$5, $G62, "")</f>
        <v/>
      </c>
      <c r="R62" s="13" t="str">
        <f t="shared" si="66"/>
        <v>./src/main/java/org/jfree/chart/axis/NumberAxis.java</v>
      </c>
      <c r="S62" s="14" t="str">
        <f t="shared" si="66"/>
        <v/>
      </c>
    </row>
    <row r="63">
      <c r="A63" s="1" t="s">
        <v>76</v>
      </c>
      <c r="G63" s="9" t="str">
        <f>IFERROR(__xludf.DUMMYFUNCTION("SPLIT(A63,"","")"),"./src/main/java/org/jfree/chart/axis/NumberTick.java")</f>
        <v>./src/main/java/org/jfree/chart/axis/NumberTick.java</v>
      </c>
      <c r="H63" s="9">
        <f>IFERROR(__xludf.DUMMYFUNCTION("""COMPUTED_VALUE"""),6.0)</f>
        <v>6</v>
      </c>
      <c r="I63" s="9">
        <f>IFERROR(__xludf.DUMMYFUNCTION("""COMPUTED_VALUE"""),19.0)</f>
        <v>19</v>
      </c>
      <c r="J63" s="9">
        <f>IFERROR(__xludf.DUMMYFUNCTION("""COMPUTED_VALUE"""),77.38)</f>
        <v>77.38</v>
      </c>
      <c r="Q63" s="12" t="str">
        <f t="shared" ref="Q63:S63" si="67">IF(H63&gt;M$5, $G63, "")</f>
        <v/>
      </c>
      <c r="R63" s="13" t="str">
        <f t="shared" si="67"/>
        <v/>
      </c>
      <c r="S63" s="14" t="str">
        <f t="shared" si="67"/>
        <v/>
      </c>
    </row>
    <row r="64">
      <c r="A64" s="1" t="s">
        <v>77</v>
      </c>
      <c r="G64" s="9" t="str">
        <f>IFERROR(__xludf.DUMMYFUNCTION("SPLIT(A64,"","")"),"./src/main/java/org/jfree/chart/axis/NumberTickUnit.java")</f>
        <v>./src/main/java/org/jfree/chart/axis/NumberTickUnit.java</v>
      </c>
      <c r="H64" s="9">
        <f>IFERROR(__xludf.DUMMYFUNCTION("""COMPUTED_VALUE"""),6.0)</f>
        <v>6</v>
      </c>
      <c r="I64" s="9">
        <f>IFERROR(__xludf.DUMMYFUNCTION("""COMPUTED_VALUE"""),55.0)</f>
        <v>55</v>
      </c>
      <c r="J64" s="9">
        <f>IFERROR(__xludf.DUMMYFUNCTION("""COMPUTED_VALUE"""),60.43)</f>
        <v>60.43</v>
      </c>
      <c r="Q64" s="12" t="str">
        <f t="shared" ref="Q64:S64" si="68">IF(H64&gt;M$5, $G64, "")</f>
        <v/>
      </c>
      <c r="R64" s="13" t="str">
        <f t="shared" si="68"/>
        <v/>
      </c>
      <c r="S64" s="14" t="str">
        <f t="shared" si="68"/>
        <v/>
      </c>
    </row>
    <row r="65">
      <c r="A65" s="1" t="s">
        <v>78</v>
      </c>
      <c r="G65" s="9" t="str">
        <f>IFERROR(__xludf.DUMMYFUNCTION("SPLIT(A65,"","")"),"./src/main/java/org/jfree/chart/axis/NumberTickUnitSource.java")</f>
        <v>./src/main/java/org/jfree/chart/axis/NumberTickUnitSource.java</v>
      </c>
      <c r="H65" s="9">
        <f>IFERROR(__xludf.DUMMYFUNCTION("""COMPUTED_VALUE"""),6.0)</f>
        <v>6</v>
      </c>
      <c r="I65" s="9">
        <f>IFERROR(__xludf.DUMMYFUNCTION("""COMPUTED_VALUE"""),157.0)</f>
        <v>157</v>
      </c>
      <c r="J65" s="9">
        <f>IFERROR(__xludf.DUMMYFUNCTION("""COMPUTED_VALUE"""),26.64)</f>
        <v>26.64</v>
      </c>
      <c r="Q65" s="12" t="str">
        <f t="shared" ref="Q65:S65" si="69">IF(H65&gt;M$5, $G65, "")</f>
        <v/>
      </c>
      <c r="R65" s="13" t="str">
        <f t="shared" si="69"/>
        <v/>
      </c>
      <c r="S65" s="14" t="str">
        <f t="shared" si="69"/>
        <v/>
      </c>
    </row>
    <row r="66">
      <c r="A66" s="1" t="s">
        <v>79</v>
      </c>
      <c r="G66" s="9" t="str">
        <f>IFERROR(__xludf.DUMMYFUNCTION("SPLIT(A66,"","")"),"./src/main/java/org/jfree/chart/axis/PeriodAxis.java")</f>
        <v>./src/main/java/org/jfree/chart/axis/PeriodAxis.java</v>
      </c>
      <c r="H66" s="9">
        <f>IFERROR(__xludf.DUMMYFUNCTION("""COMPUTED_VALUE"""),14.0)</f>
        <v>14</v>
      </c>
      <c r="I66" s="9">
        <f>IFERROR(__xludf.DUMMYFUNCTION("""COMPUTED_VALUE"""),670.0)</f>
        <v>670</v>
      </c>
      <c r="J66" s="9">
        <f>IFERROR(__xludf.DUMMYFUNCTION("""COMPUTED_VALUE"""),38.98)</f>
        <v>38.98</v>
      </c>
      <c r="Q66" s="12" t="str">
        <f t="shared" ref="Q66:S66" si="70">IF(H66&gt;M$5, $G66, "")</f>
        <v/>
      </c>
      <c r="R66" s="13" t="str">
        <f t="shared" si="70"/>
        <v>./src/main/java/org/jfree/chart/axis/PeriodAxis.java</v>
      </c>
      <c r="S66" s="14" t="str">
        <f t="shared" si="70"/>
        <v/>
      </c>
    </row>
    <row r="67">
      <c r="A67" s="1" t="s">
        <v>80</v>
      </c>
      <c r="G67" s="9" t="str">
        <f>IFERROR(__xludf.DUMMYFUNCTION("SPLIT(A67,"","")"),"./src/main/java/org/jfree/chart/axis/PeriodAxisLabelInfo.java")</f>
        <v>./src/main/java/org/jfree/chart/axis/PeriodAxisLabelInfo.java</v>
      </c>
      <c r="H67" s="9">
        <f>IFERROR(__xludf.DUMMYFUNCTION("""COMPUTED_VALUE"""),9.0)</f>
        <v>9</v>
      </c>
      <c r="I67" s="9">
        <f>IFERROR(__xludf.DUMMYFUNCTION("""COMPUTED_VALUE"""),158.0)</f>
        <v>158</v>
      </c>
      <c r="J67" s="9">
        <f>IFERROR(__xludf.DUMMYFUNCTION("""COMPUTED_VALUE"""),50.63)</f>
        <v>50.63</v>
      </c>
      <c r="Q67" s="12" t="str">
        <f t="shared" ref="Q67:S67" si="71">IF(H67&gt;M$5, $G67, "")</f>
        <v/>
      </c>
      <c r="R67" s="13" t="str">
        <f t="shared" si="71"/>
        <v/>
      </c>
      <c r="S67" s="14" t="str">
        <f t="shared" si="71"/>
        <v/>
      </c>
    </row>
    <row r="68">
      <c r="A68" s="1" t="s">
        <v>81</v>
      </c>
      <c r="G68" s="9" t="str">
        <f>IFERROR(__xludf.DUMMYFUNCTION("SPLIT(A68,"","")"),"./src/main/java/org/jfree/chart/axis/QuarterDateFormat.java")</f>
        <v>./src/main/java/org/jfree/chart/axis/QuarterDateFormat.java</v>
      </c>
      <c r="H68" s="9">
        <f>IFERROR(__xludf.DUMMYFUNCTION("""COMPUTED_VALUE"""),5.0)</f>
        <v>5</v>
      </c>
      <c r="I68" s="9">
        <f>IFERROR(__xludf.DUMMYFUNCTION("""COMPUTED_VALUE"""),81.0)</f>
        <v>81</v>
      </c>
      <c r="J68" s="9">
        <f>IFERROR(__xludf.DUMMYFUNCTION("""COMPUTED_VALUE"""),54.24)</f>
        <v>54.24</v>
      </c>
      <c r="Q68" s="12" t="str">
        <f t="shared" ref="Q68:S68" si="72">IF(H68&gt;M$5, $G68, "")</f>
        <v/>
      </c>
      <c r="R68" s="13" t="str">
        <f t="shared" si="72"/>
        <v/>
      </c>
      <c r="S68" s="14" t="str">
        <f t="shared" si="72"/>
        <v/>
      </c>
    </row>
    <row r="69">
      <c r="A69" s="1" t="s">
        <v>82</v>
      </c>
      <c r="G69" s="9" t="str">
        <f>IFERROR(__xludf.DUMMYFUNCTION("SPLIT(A69,"","")"),"./src/main/java/org/jfree/chart/axis/StandardTickUnitSource.java")</f>
        <v>./src/main/java/org/jfree/chart/axis/StandardTickUnitSource.java</v>
      </c>
      <c r="H69" s="9">
        <f>IFERROR(__xludf.DUMMYFUNCTION("""COMPUTED_VALUE"""),3.0)</f>
        <v>3</v>
      </c>
      <c r="I69" s="9">
        <f>IFERROR(__xludf.DUMMYFUNCTION("""COMPUTED_VALUE"""),39.0)</f>
        <v>39</v>
      </c>
      <c r="J69" s="9">
        <f>IFERROR(__xludf.DUMMYFUNCTION("""COMPUTED_VALUE"""),67.23)</f>
        <v>67.23</v>
      </c>
      <c r="Q69" s="12" t="str">
        <f t="shared" ref="Q69:S69" si="73">IF(H69&gt;M$5, $G69, "")</f>
        <v/>
      </c>
      <c r="R69" s="13" t="str">
        <f t="shared" si="73"/>
        <v/>
      </c>
      <c r="S69" s="14" t="str">
        <f t="shared" si="73"/>
        <v/>
      </c>
    </row>
    <row r="70">
      <c r="A70" s="1" t="s">
        <v>83</v>
      </c>
      <c r="G70" s="9" t="str">
        <f>IFERROR(__xludf.DUMMYFUNCTION("SPLIT(A70,"","")"),"./src/main/java/org/jfree/chart/axis/SubCategoryAxis.java")</f>
        <v>./src/main/java/org/jfree/chart/axis/SubCategoryAxis.java</v>
      </c>
      <c r="H70" s="9">
        <f>IFERROR(__xludf.DUMMYFUNCTION("""COMPUTED_VALUE"""),11.0)</f>
        <v>11</v>
      </c>
      <c r="I70" s="9">
        <f>IFERROR(__xludf.DUMMYFUNCTION("""COMPUTED_VALUE"""),233.0)</f>
        <v>233</v>
      </c>
      <c r="J70" s="9">
        <f>IFERROR(__xludf.DUMMYFUNCTION("""COMPUTED_VALUE"""),41.31)</f>
        <v>41.31</v>
      </c>
      <c r="Q70" s="12" t="str">
        <f t="shared" ref="Q70:S70" si="74">IF(H70&gt;M$5, $G70, "")</f>
        <v/>
      </c>
      <c r="R70" s="13" t="str">
        <f t="shared" si="74"/>
        <v/>
      </c>
      <c r="S70" s="14" t="str">
        <f t="shared" si="74"/>
        <v/>
      </c>
    </row>
    <row r="71">
      <c r="A71" s="1" t="s">
        <v>84</v>
      </c>
      <c r="G71" s="9" t="str">
        <f>IFERROR(__xludf.DUMMYFUNCTION("SPLIT(A71,"","")"),"./src/main/java/org/jfree/chart/axis/SymbolAxis.java")</f>
        <v>./src/main/java/org/jfree/chart/axis/SymbolAxis.java</v>
      </c>
      <c r="H71" s="9">
        <f>IFERROR(__xludf.DUMMYFUNCTION("""COMPUTED_VALUE"""),11.0)</f>
        <v>11</v>
      </c>
      <c r="I71" s="9">
        <f>IFERROR(__xludf.DUMMYFUNCTION("""COMPUTED_VALUE"""),423.0)</f>
        <v>423</v>
      </c>
      <c r="J71" s="9">
        <f>IFERROR(__xludf.DUMMYFUNCTION("""COMPUTED_VALUE"""),37.89)</f>
        <v>37.89</v>
      </c>
      <c r="Q71" s="12" t="str">
        <f t="shared" ref="Q71:S71" si="75">IF(H71&gt;M$5, $G71, "")</f>
        <v/>
      </c>
      <c r="R71" s="13" t="str">
        <f t="shared" si="75"/>
        <v/>
      </c>
      <c r="S71" s="14" t="str">
        <f t="shared" si="75"/>
        <v/>
      </c>
    </row>
    <row r="72">
      <c r="A72" s="1" t="s">
        <v>85</v>
      </c>
      <c r="G72" s="9" t="str">
        <f>IFERROR(__xludf.DUMMYFUNCTION("SPLIT(A72,"","")"),"./src/main/java/org/jfree/chart/axis/Tick.java")</f>
        <v>./src/main/java/org/jfree/chart/axis/Tick.java</v>
      </c>
      <c r="H72" s="9">
        <f>IFERROR(__xludf.DUMMYFUNCTION("""COMPUTED_VALUE"""),7.0)</f>
        <v>7</v>
      </c>
      <c r="I72" s="9">
        <f>IFERROR(__xludf.DUMMYFUNCTION("""COMPUTED_VALUE"""),65.0)</f>
        <v>65</v>
      </c>
      <c r="J72" s="9">
        <f>IFERROR(__xludf.DUMMYFUNCTION("""COMPUTED_VALUE"""),58.6)</f>
        <v>58.6</v>
      </c>
      <c r="Q72" s="12" t="str">
        <f t="shared" ref="Q72:S72" si="76">IF(H72&gt;M$5, $G72, "")</f>
        <v/>
      </c>
      <c r="R72" s="13" t="str">
        <f t="shared" si="76"/>
        <v/>
      </c>
      <c r="S72" s="14" t="str">
        <f t="shared" si="76"/>
        <v/>
      </c>
    </row>
    <row r="73">
      <c r="A73" s="1" t="s">
        <v>86</v>
      </c>
      <c r="G73" s="9" t="str">
        <f>IFERROR(__xludf.DUMMYFUNCTION("SPLIT(A73,"","")"),"./src/main/java/org/jfree/chart/axis/TickType.java")</f>
        <v>./src/main/java/org/jfree/chart/axis/TickType.java</v>
      </c>
      <c r="H73" s="9">
        <f>IFERROR(__xludf.DUMMYFUNCTION("""COMPUTED_VALUE"""),4.0)</f>
        <v>4</v>
      </c>
      <c r="I73" s="9">
        <f>IFERROR(__xludf.DUMMYFUNCTION("""COMPUTED_VALUE"""),5.0)</f>
        <v>5</v>
      </c>
      <c r="J73" s="9">
        <f>IFERROR(__xludf.DUMMYFUNCTION("""COMPUTED_VALUE"""),88.89)</f>
        <v>88.89</v>
      </c>
      <c r="Q73" s="12" t="str">
        <f t="shared" ref="Q73:S73" si="77">IF(H73&gt;M$5, $G73, "")</f>
        <v/>
      </c>
      <c r="R73" s="13" t="str">
        <f t="shared" si="77"/>
        <v/>
      </c>
      <c r="S73" s="14" t="str">
        <f t="shared" si="77"/>
        <v/>
      </c>
    </row>
    <row r="74">
      <c r="A74" s="1" t="s">
        <v>87</v>
      </c>
      <c r="G74" s="9" t="str">
        <f>IFERROR(__xludf.DUMMYFUNCTION("SPLIT(A74,"","")"),"./src/main/java/org/jfree/chart/axis/TickUnit.java")</f>
        <v>./src/main/java/org/jfree/chart/axis/TickUnit.java</v>
      </c>
      <c r="H74" s="9">
        <f>IFERROR(__xludf.DUMMYFUNCTION("""COMPUTED_VALUE"""),4.0)</f>
        <v>4</v>
      </c>
      <c r="I74" s="9">
        <f>IFERROR(__xludf.DUMMYFUNCTION("""COMPUTED_VALUE"""),64.0)</f>
        <v>64</v>
      </c>
      <c r="J74" s="9">
        <f>IFERROR(__xludf.DUMMYFUNCTION("""COMPUTED_VALUE"""),61.68)</f>
        <v>61.68</v>
      </c>
      <c r="Q74" s="12" t="str">
        <f t="shared" ref="Q74:S74" si="78">IF(H74&gt;M$5, $G74, "")</f>
        <v/>
      </c>
      <c r="R74" s="13" t="str">
        <f t="shared" si="78"/>
        <v/>
      </c>
      <c r="S74" s="14" t="str">
        <f t="shared" si="78"/>
        <v/>
      </c>
    </row>
    <row r="75">
      <c r="A75" s="1" t="s">
        <v>88</v>
      </c>
      <c r="G75" s="9" t="str">
        <f>IFERROR(__xludf.DUMMYFUNCTION("SPLIT(A75,"","")"),"./src/main/java/org/jfree/chart/axis/TickUnits.java")</f>
        <v>./src/main/java/org/jfree/chart/axis/TickUnits.java</v>
      </c>
      <c r="H75" s="9">
        <f>IFERROR(__xludf.DUMMYFUNCTION("""COMPUTED_VALUE"""),2.0)</f>
        <v>2</v>
      </c>
      <c r="I75" s="9">
        <f>IFERROR(__xludf.DUMMYFUNCTION("""COMPUTED_VALUE"""),72.0)</f>
        <v>72</v>
      </c>
      <c r="J75" s="9">
        <f>IFERROR(__xludf.DUMMYFUNCTION("""COMPUTED_VALUE"""),63.08)</f>
        <v>63.08</v>
      </c>
      <c r="Q75" s="12" t="str">
        <f t="shared" ref="Q75:S75" si="79">IF(H75&gt;M$5, $G75, "")</f>
        <v/>
      </c>
      <c r="R75" s="13" t="str">
        <f t="shared" si="79"/>
        <v/>
      </c>
      <c r="S75" s="14" t="str">
        <f t="shared" si="79"/>
        <v/>
      </c>
    </row>
    <row r="76">
      <c r="A76" s="1" t="s">
        <v>89</v>
      </c>
      <c r="G76" s="9" t="str">
        <f>IFERROR(__xludf.DUMMYFUNCTION("SPLIT(A76,"","")"),"./src/main/java/org/jfree/chart/axis/TickUnitSource.java")</f>
        <v>./src/main/java/org/jfree/chart/axis/TickUnitSource.java</v>
      </c>
      <c r="H76" s="9">
        <f>IFERROR(__xludf.DUMMYFUNCTION("""COMPUTED_VALUE"""),4.0)</f>
        <v>4</v>
      </c>
      <c r="I76" s="9">
        <f>IFERROR(__xludf.DUMMYFUNCTION("""COMPUTED_VALUE"""),6.0)</f>
        <v>6</v>
      </c>
      <c r="J76" s="9">
        <f>IFERROR(__xludf.DUMMYFUNCTION("""COMPUTED_VALUE"""),91.89)</f>
        <v>91.89</v>
      </c>
      <c r="Q76" s="12" t="str">
        <f t="shared" ref="Q76:S76" si="80">IF(H76&gt;M$5, $G76, "")</f>
        <v/>
      </c>
      <c r="R76" s="13" t="str">
        <f t="shared" si="80"/>
        <v/>
      </c>
      <c r="S76" s="14" t="str">
        <f t="shared" si="80"/>
        <v/>
      </c>
    </row>
    <row r="77">
      <c r="A77" s="1" t="s">
        <v>90</v>
      </c>
      <c r="G77" s="9" t="str">
        <f>IFERROR(__xludf.DUMMYFUNCTION("SPLIT(A77,"","")"),"./src/main/java/org/jfree/chart/axis/Timeline.java")</f>
        <v>./src/main/java/org/jfree/chart/axis/Timeline.java</v>
      </c>
      <c r="H77" s="9">
        <f>IFERROR(__xludf.DUMMYFUNCTION("""COMPUTED_VALUE"""),4.0)</f>
        <v>4</v>
      </c>
      <c r="I77" s="9">
        <f>IFERROR(__xludf.DUMMYFUNCTION("""COMPUTED_VALUE"""),11.0)</f>
        <v>11</v>
      </c>
      <c r="J77" s="9">
        <f>IFERROR(__xludf.DUMMYFUNCTION("""COMPUTED_VALUE"""),91.73)</f>
        <v>91.73</v>
      </c>
      <c r="Q77" s="12" t="str">
        <f t="shared" ref="Q77:S77" si="81">IF(H77&gt;M$5, $G77, "")</f>
        <v/>
      </c>
      <c r="R77" s="13" t="str">
        <f t="shared" si="81"/>
        <v/>
      </c>
      <c r="S77" s="14" t="str">
        <f t="shared" si="81"/>
        <v/>
      </c>
    </row>
    <row r="78">
      <c r="A78" s="1" t="s">
        <v>91</v>
      </c>
      <c r="G78" s="9" t="str">
        <f>IFERROR(__xludf.DUMMYFUNCTION("SPLIT(A78,"","")"),"./src/main/java/org/jfree/chart/axis/ValueAxis.java")</f>
        <v>./src/main/java/org/jfree/chart/axis/ValueAxis.java</v>
      </c>
      <c r="H78" s="9">
        <f>IFERROR(__xludf.DUMMYFUNCTION("""COMPUTED_VALUE"""),14.0)</f>
        <v>14</v>
      </c>
      <c r="I78" s="9">
        <f>IFERROR(__xludf.DUMMYFUNCTION("""COMPUTED_VALUE"""),767.0)</f>
        <v>767</v>
      </c>
      <c r="J78" s="9">
        <f>IFERROR(__xludf.DUMMYFUNCTION("""COMPUTED_VALUE"""),49.64)</f>
        <v>49.64</v>
      </c>
      <c r="Q78" s="12" t="str">
        <f t="shared" ref="Q78:S78" si="82">IF(H78&gt;M$5, $G78, "")</f>
        <v/>
      </c>
      <c r="R78" s="13" t="str">
        <f t="shared" si="82"/>
        <v>./src/main/java/org/jfree/chart/axis/ValueAxis.java</v>
      </c>
      <c r="S78" s="14" t="str">
        <f t="shared" si="82"/>
        <v/>
      </c>
    </row>
    <row r="79">
      <c r="A79" s="1" t="s">
        <v>92</v>
      </c>
      <c r="G79" s="9" t="str">
        <f>IFERROR(__xludf.DUMMYFUNCTION("SPLIT(A79,"","")"),"./src/main/java/org/jfree/chart/axis/ValueTick.java")</f>
        <v>./src/main/java/org/jfree/chart/axis/ValueTick.java</v>
      </c>
      <c r="H79" s="9">
        <f>IFERROR(__xludf.DUMMYFUNCTION("""COMPUTED_VALUE"""),6.0)</f>
        <v>6</v>
      </c>
      <c r="I79" s="9">
        <f>IFERROR(__xludf.DUMMYFUNCTION("""COMPUTED_VALUE"""),42.0)</f>
        <v>42</v>
      </c>
      <c r="J79" s="9">
        <f>IFERROR(__xludf.DUMMYFUNCTION("""COMPUTED_VALUE"""),65.85)</f>
        <v>65.85</v>
      </c>
      <c r="Q79" s="12" t="str">
        <f t="shared" ref="Q79:S79" si="83">IF(H79&gt;M$5, $G79, "")</f>
        <v/>
      </c>
      <c r="R79" s="13" t="str">
        <f t="shared" si="83"/>
        <v/>
      </c>
      <c r="S79" s="14" t="str">
        <f t="shared" si="83"/>
        <v/>
      </c>
    </row>
    <row r="80">
      <c r="A80" s="1" t="s">
        <v>93</v>
      </c>
      <c r="G80" s="9" t="str">
        <f>IFERROR(__xludf.DUMMYFUNCTION("SPLIT(A80,"","")"),"./src/main/java/org/jfree/chart/block/AbstractBlock.java")</f>
        <v>./src/main/java/org/jfree/chart/block/AbstractBlock.java</v>
      </c>
      <c r="H80" s="9">
        <f>IFERROR(__xludf.DUMMYFUNCTION("""COMPUTED_VALUE"""),13.0)</f>
        <v>13</v>
      </c>
      <c r="I80" s="9">
        <f>IFERROR(__xludf.DUMMYFUNCTION("""COMPUTED_VALUE"""),259.0)</f>
        <v>259</v>
      </c>
      <c r="J80" s="9">
        <f>IFERROR(__xludf.DUMMYFUNCTION("""COMPUTED_VALUE"""),55.73)</f>
        <v>55.73</v>
      </c>
      <c r="Q80" s="12" t="str">
        <f t="shared" ref="Q80:S80" si="84">IF(H80&gt;M$5, $G80, "")</f>
        <v/>
      </c>
      <c r="R80" s="13" t="str">
        <f t="shared" si="84"/>
        <v/>
      </c>
      <c r="S80" s="14" t="str">
        <f t="shared" si="84"/>
        <v/>
      </c>
    </row>
    <row r="81">
      <c r="A81" s="1" t="s">
        <v>94</v>
      </c>
      <c r="G81" s="9" t="str">
        <f>IFERROR(__xludf.DUMMYFUNCTION("SPLIT(A81,"","")"),"./src/main/java/org/jfree/chart/block/Arrangement.java")</f>
        <v>./src/main/java/org/jfree/chart/block/Arrangement.java</v>
      </c>
      <c r="H81" s="9">
        <f>IFERROR(__xludf.DUMMYFUNCTION("""COMPUTED_VALUE"""),5.0)</f>
        <v>5</v>
      </c>
      <c r="I81" s="9">
        <f>IFERROR(__xludf.DUMMYFUNCTION("""COMPUTED_VALUE"""),7.0)</f>
        <v>7</v>
      </c>
      <c r="J81" s="9">
        <f>IFERROR(__xludf.DUMMYFUNCTION("""COMPUTED_VALUE"""),89.71)</f>
        <v>89.71</v>
      </c>
      <c r="Q81" s="12" t="str">
        <f t="shared" ref="Q81:S81" si="85">IF(H81&gt;M$5, $G81, "")</f>
        <v/>
      </c>
      <c r="R81" s="13" t="str">
        <f t="shared" si="85"/>
        <v/>
      </c>
      <c r="S81" s="14" t="str">
        <f t="shared" si="85"/>
        <v/>
      </c>
    </row>
    <row r="82">
      <c r="A82" s="1" t="s">
        <v>95</v>
      </c>
      <c r="G82" s="9" t="str">
        <f>IFERROR(__xludf.DUMMYFUNCTION("SPLIT(A82,"","")"),"./src/main/java/org/jfree/chart/block/Block.java")</f>
        <v>./src/main/java/org/jfree/chart/block/Block.java</v>
      </c>
      <c r="H82" s="9">
        <f>IFERROR(__xludf.DUMMYFUNCTION("""COMPUTED_VALUE"""),6.0)</f>
        <v>6</v>
      </c>
      <c r="I82" s="9">
        <f>IFERROR(__xludf.DUMMYFUNCTION("""COMPUTED_VALUE"""),13.0)</f>
        <v>13</v>
      </c>
      <c r="J82" s="9">
        <f>IFERROR(__xludf.DUMMYFUNCTION("""COMPUTED_VALUE"""),87.13)</f>
        <v>87.13</v>
      </c>
      <c r="Q82" s="12" t="str">
        <f t="shared" ref="Q82:S82" si="86">IF(H82&gt;M$5, $G82, "")</f>
        <v/>
      </c>
      <c r="R82" s="13" t="str">
        <f t="shared" si="86"/>
        <v/>
      </c>
      <c r="S82" s="14" t="str">
        <f t="shared" si="86"/>
        <v/>
      </c>
    </row>
    <row r="83">
      <c r="A83" s="1" t="s">
        <v>96</v>
      </c>
      <c r="G83" s="9" t="str">
        <f>IFERROR(__xludf.DUMMYFUNCTION("SPLIT(A83,"","")"),"./src/main/java/org/jfree/chart/block/BlockBorder.java")</f>
        <v>./src/main/java/org/jfree/chart/block/BlockBorder.java</v>
      </c>
      <c r="H83" s="9">
        <f>IFERROR(__xludf.DUMMYFUNCTION("""COMPUTED_VALUE"""),9.0)</f>
        <v>9</v>
      </c>
      <c r="I83" s="9">
        <f>IFERROR(__xludf.DUMMYFUNCTION("""COMPUTED_VALUE"""),101.0)</f>
        <v>101</v>
      </c>
      <c r="J83" s="9">
        <f>IFERROR(__xludf.DUMMYFUNCTION("""COMPUTED_VALUE"""),52.8)</f>
        <v>52.8</v>
      </c>
      <c r="Q83" s="12" t="str">
        <f t="shared" ref="Q83:S83" si="87">IF(H83&gt;M$5, $G83, "")</f>
        <v/>
      </c>
      <c r="R83" s="13" t="str">
        <f t="shared" si="87"/>
        <v/>
      </c>
      <c r="S83" s="14" t="str">
        <f t="shared" si="87"/>
        <v/>
      </c>
    </row>
    <row r="84">
      <c r="A84" s="1" t="s">
        <v>97</v>
      </c>
      <c r="G84" s="9" t="str">
        <f>IFERROR(__xludf.DUMMYFUNCTION("SPLIT(A84,"","")"),"./src/main/java/org/jfree/chart/block/BlockContainer.java")</f>
        <v>./src/main/java/org/jfree/chart/block/BlockContainer.java</v>
      </c>
      <c r="H84" s="9">
        <f>IFERROR(__xludf.DUMMYFUNCTION("""COMPUTED_VALUE"""),10.0)</f>
        <v>10</v>
      </c>
      <c r="I84" s="9">
        <f>IFERROR(__xludf.DUMMYFUNCTION("""COMPUTED_VALUE"""),126.0)</f>
        <v>126</v>
      </c>
      <c r="J84" s="9">
        <f>IFERROR(__xludf.DUMMYFUNCTION("""COMPUTED_VALUE"""),50.39)</f>
        <v>50.39</v>
      </c>
      <c r="Q84" s="12" t="str">
        <f t="shared" ref="Q84:S84" si="88">IF(H84&gt;M$5, $G84, "")</f>
        <v/>
      </c>
      <c r="R84" s="13" t="str">
        <f t="shared" si="88"/>
        <v/>
      </c>
      <c r="S84" s="14" t="str">
        <f t="shared" si="88"/>
        <v/>
      </c>
    </row>
    <row r="85">
      <c r="A85" s="1" t="s">
        <v>98</v>
      </c>
      <c r="G85" s="9" t="str">
        <f>IFERROR(__xludf.DUMMYFUNCTION("SPLIT(A85,"","")"),"./src/main/java/org/jfree/chart/block/BlockFrame.java")</f>
        <v>./src/main/java/org/jfree/chart/block/BlockFrame.java</v>
      </c>
      <c r="H85" s="9">
        <f>IFERROR(__xludf.DUMMYFUNCTION("""COMPUTED_VALUE"""),7.0)</f>
        <v>7</v>
      </c>
      <c r="I85" s="9">
        <f>IFERROR(__xludf.DUMMYFUNCTION("""COMPUTED_VALUE"""),9.0)</f>
        <v>9</v>
      </c>
      <c r="J85" s="9">
        <f>IFERROR(__xludf.DUMMYFUNCTION("""COMPUTED_VALUE"""),85.0)</f>
        <v>85</v>
      </c>
      <c r="Q85" s="12" t="str">
        <f t="shared" ref="Q85:S85" si="89">IF(H85&gt;M$5, $G85, "")</f>
        <v/>
      </c>
      <c r="R85" s="13" t="str">
        <f t="shared" si="89"/>
        <v/>
      </c>
      <c r="S85" s="14" t="str">
        <f t="shared" si="89"/>
        <v/>
      </c>
    </row>
    <row r="86">
      <c r="A86" s="1" t="s">
        <v>99</v>
      </c>
      <c r="G86" s="9" t="str">
        <f>IFERROR(__xludf.DUMMYFUNCTION("SPLIT(A86,"","")"),"./src/main/java/org/jfree/chart/block/BlockParams.java")</f>
        <v>./src/main/java/org/jfree/chart/block/BlockParams.java</v>
      </c>
      <c r="H86" s="9">
        <f>IFERROR(__xludf.DUMMYFUNCTION("""COMPUTED_VALUE"""),2.0)</f>
        <v>2</v>
      </c>
      <c r="I86" s="9">
        <f>IFERROR(__xludf.DUMMYFUNCTION("""COMPUTED_VALUE"""),30.0)</f>
        <v>30</v>
      </c>
      <c r="J86" s="9">
        <f>IFERROR(__xludf.DUMMYFUNCTION("""COMPUTED_VALUE"""),76.0)</f>
        <v>76</v>
      </c>
      <c r="Q86" s="12" t="str">
        <f t="shared" ref="Q86:S86" si="90">IF(H86&gt;M$5, $G86, "")</f>
        <v/>
      </c>
      <c r="R86" s="13" t="str">
        <f t="shared" si="90"/>
        <v/>
      </c>
      <c r="S86" s="14" t="str">
        <f t="shared" si="90"/>
        <v/>
      </c>
    </row>
    <row r="87">
      <c r="A87" s="1" t="s">
        <v>100</v>
      </c>
      <c r="G87" s="9" t="str">
        <f>IFERROR(__xludf.DUMMYFUNCTION("SPLIT(A87,"","")"),"./src/main/java/org/jfree/chart/block/BlockResult.java")</f>
        <v>./src/main/java/org/jfree/chart/block/BlockResult.java</v>
      </c>
      <c r="H87" s="9">
        <f>IFERROR(__xludf.DUMMYFUNCTION("""COMPUTED_VALUE"""),2.0)</f>
        <v>2</v>
      </c>
      <c r="I87" s="9">
        <f>IFERROR(__xludf.DUMMYFUNCTION("""COMPUTED_VALUE"""),15.0)</f>
        <v>15</v>
      </c>
      <c r="J87" s="9">
        <f>IFERROR(__xludf.DUMMYFUNCTION("""COMPUTED_VALUE"""),79.17)</f>
        <v>79.17</v>
      </c>
      <c r="Q87" s="12" t="str">
        <f t="shared" ref="Q87:S87" si="91">IF(H87&gt;M$5, $G87, "")</f>
        <v/>
      </c>
      <c r="R87" s="13" t="str">
        <f t="shared" si="91"/>
        <v/>
      </c>
      <c r="S87" s="14" t="str">
        <f t="shared" si="91"/>
        <v/>
      </c>
    </row>
    <row r="88">
      <c r="A88" s="1" t="s">
        <v>101</v>
      </c>
      <c r="G88" s="9" t="str">
        <f>IFERROR(__xludf.DUMMYFUNCTION("SPLIT(A88,"","")"),"./src/main/java/org/jfree/chart/block/BorderArrangement.java")</f>
        <v>./src/main/java/org/jfree/chart/block/BorderArrangement.java</v>
      </c>
      <c r="H88" s="9">
        <f>IFERROR(__xludf.DUMMYFUNCTION("""COMPUTED_VALUE"""),6.0)</f>
        <v>6</v>
      </c>
      <c r="I88" s="9">
        <f>IFERROR(__xludf.DUMMYFUNCTION("""COMPUTED_VALUE"""),382.0)</f>
        <v>382</v>
      </c>
      <c r="J88" s="9">
        <f>IFERROR(__xludf.DUMMYFUNCTION("""COMPUTED_VALUE"""),25.24)</f>
        <v>25.24</v>
      </c>
      <c r="Q88" s="12" t="str">
        <f t="shared" ref="Q88:S88" si="92">IF(H88&gt;M$5, $G88, "")</f>
        <v/>
      </c>
      <c r="R88" s="13" t="str">
        <f t="shared" si="92"/>
        <v/>
      </c>
      <c r="S88" s="14" t="str">
        <f t="shared" si="92"/>
        <v/>
      </c>
    </row>
    <row r="89">
      <c r="A89" s="1" t="s">
        <v>102</v>
      </c>
      <c r="G89" s="9" t="str">
        <f>IFERROR(__xludf.DUMMYFUNCTION("SPLIT(A89,"","")"),"./src/main/java/org/jfree/chart/block/CenterArrangement.java")</f>
        <v>./src/main/java/org/jfree/chart/block/CenterArrangement.java</v>
      </c>
      <c r="H89" s="9">
        <f>IFERROR(__xludf.DUMMYFUNCTION("""COMPUTED_VALUE"""),5.0)</f>
        <v>5</v>
      </c>
      <c r="I89" s="9">
        <f>IFERROR(__xludf.DUMMYFUNCTION("""COMPUTED_VALUE"""),140.0)</f>
        <v>140</v>
      </c>
      <c r="J89" s="9">
        <f>IFERROR(__xludf.DUMMYFUNCTION("""COMPUTED_VALUE"""),53.33)</f>
        <v>53.33</v>
      </c>
      <c r="Q89" s="12" t="str">
        <f t="shared" ref="Q89:S89" si="93">IF(H89&gt;M$5, $G89, "")</f>
        <v/>
      </c>
      <c r="R89" s="13" t="str">
        <f t="shared" si="93"/>
        <v/>
      </c>
      <c r="S89" s="14" t="str">
        <f t="shared" si="93"/>
        <v/>
      </c>
    </row>
    <row r="90">
      <c r="A90" s="1" t="s">
        <v>103</v>
      </c>
      <c r="G90" s="9" t="str">
        <f>IFERROR(__xludf.DUMMYFUNCTION("SPLIT(A90,"","")"),"./src/main/java/org/jfree/chart/block/ColorBlock.java")</f>
        <v>./src/main/java/org/jfree/chart/block/ColorBlock.java</v>
      </c>
      <c r="H90" s="9">
        <f>IFERROR(__xludf.DUMMYFUNCTION("""COMPUTED_VALUE"""),7.0)</f>
        <v>7</v>
      </c>
      <c r="I90" s="9">
        <f>IFERROR(__xludf.DUMMYFUNCTION("""COMPUTED_VALUE"""),72.0)</f>
        <v>72</v>
      </c>
      <c r="J90" s="9">
        <f>IFERROR(__xludf.DUMMYFUNCTION("""COMPUTED_VALUE"""),58.86)</f>
        <v>58.86</v>
      </c>
      <c r="Q90" s="12" t="str">
        <f t="shared" ref="Q90:S90" si="94">IF(H90&gt;M$5, $G90, "")</f>
        <v/>
      </c>
      <c r="R90" s="13" t="str">
        <f t="shared" si="94"/>
        <v/>
      </c>
      <c r="S90" s="14" t="str">
        <f t="shared" si="94"/>
        <v/>
      </c>
    </row>
    <row r="91">
      <c r="A91" s="1" t="s">
        <v>104</v>
      </c>
      <c r="G91" s="9" t="str">
        <f>IFERROR(__xludf.DUMMYFUNCTION("SPLIT(A91,"","")"),"./src/main/java/org/jfree/chart/block/ColumnArrangement.java")</f>
        <v>./src/main/java/org/jfree/chart/block/ColumnArrangement.java</v>
      </c>
      <c r="H91" s="9">
        <f>IFERROR(__xludf.DUMMYFUNCTION("""COMPUTED_VALUE"""),6.0)</f>
        <v>6</v>
      </c>
      <c r="I91" s="9">
        <f>IFERROR(__xludf.DUMMYFUNCTION("""COMPUTED_VALUE"""),208.0)</f>
        <v>208</v>
      </c>
      <c r="J91" s="9">
        <f>IFERROR(__xludf.DUMMYFUNCTION("""COMPUTED_VALUE"""),41.57)</f>
        <v>41.57</v>
      </c>
      <c r="Q91" s="12" t="str">
        <f t="shared" ref="Q91:S91" si="95">IF(H91&gt;M$5, $G91, "")</f>
        <v/>
      </c>
      <c r="R91" s="13" t="str">
        <f t="shared" si="95"/>
        <v/>
      </c>
      <c r="S91" s="14" t="str">
        <f t="shared" si="95"/>
        <v/>
      </c>
    </row>
    <row r="92">
      <c r="A92" s="1" t="s">
        <v>105</v>
      </c>
      <c r="G92" s="9" t="str">
        <f>IFERROR(__xludf.DUMMYFUNCTION("SPLIT(A92,"","")"),"./src/main/java/org/jfree/chart/block/EmptyBlock.java")</f>
        <v>./src/main/java/org/jfree/chart/block/EmptyBlock.java</v>
      </c>
      <c r="H92" s="9">
        <f>IFERROR(__xludf.DUMMYFUNCTION("""COMPUTED_VALUE"""),5.0)</f>
        <v>5</v>
      </c>
      <c r="I92" s="9">
        <f>IFERROR(__xludf.DUMMYFUNCTION("""COMPUTED_VALUE"""),33.0)</f>
        <v>33</v>
      </c>
      <c r="J92" s="9">
        <f>IFERROR(__xludf.DUMMYFUNCTION("""COMPUTED_VALUE"""),70.27)</f>
        <v>70.27</v>
      </c>
      <c r="Q92" s="12" t="str">
        <f t="shared" ref="Q92:S92" si="96">IF(H92&gt;M$5, $G92, "")</f>
        <v/>
      </c>
      <c r="R92" s="13" t="str">
        <f t="shared" si="96"/>
        <v/>
      </c>
      <c r="S92" s="14" t="str">
        <f t="shared" si="96"/>
        <v/>
      </c>
    </row>
    <row r="93">
      <c r="A93" s="1" t="s">
        <v>106</v>
      </c>
      <c r="G93" s="9" t="str">
        <f>IFERROR(__xludf.DUMMYFUNCTION("SPLIT(A93,"","")"),"./src/main/java/org/jfree/chart/block/EntityBlockParams.java")</f>
        <v>./src/main/java/org/jfree/chart/block/EntityBlockParams.java</v>
      </c>
      <c r="H93" s="9">
        <f>IFERROR(__xludf.DUMMYFUNCTION("""COMPUTED_VALUE"""),3.0)</f>
        <v>3</v>
      </c>
      <c r="I93" s="9">
        <f>IFERROR(__xludf.DUMMYFUNCTION("""COMPUTED_VALUE"""),4.0)</f>
        <v>4</v>
      </c>
      <c r="J93" s="9">
        <f>IFERROR(__xludf.DUMMYFUNCTION("""COMPUTED_VALUE"""),92.59)</f>
        <v>92.59</v>
      </c>
      <c r="Q93" s="12" t="str">
        <f t="shared" ref="Q93:S93" si="97">IF(H93&gt;M$5, $G93, "")</f>
        <v/>
      </c>
      <c r="R93" s="13" t="str">
        <f t="shared" si="97"/>
        <v/>
      </c>
      <c r="S93" s="14" t="str">
        <f t="shared" si="97"/>
        <v/>
      </c>
    </row>
    <row r="94">
      <c r="A94" s="1" t="s">
        <v>107</v>
      </c>
      <c r="G94" s="9" t="str">
        <f>IFERROR(__xludf.DUMMYFUNCTION("SPLIT(A94,"","")"),"./src/main/java/org/jfree/chart/block/EntityBlockResult.java")</f>
        <v>./src/main/java/org/jfree/chart/block/EntityBlockResult.java</v>
      </c>
      <c r="H94" s="9">
        <f>IFERROR(__xludf.DUMMYFUNCTION("""COMPUTED_VALUE"""),3.0)</f>
        <v>3</v>
      </c>
      <c r="I94" s="9">
        <f>IFERROR(__xludf.DUMMYFUNCTION("""COMPUTED_VALUE"""),5.0)</f>
        <v>5</v>
      </c>
      <c r="J94" s="9">
        <f>IFERROR(__xludf.DUMMYFUNCTION("""COMPUTED_VALUE"""),90.57)</f>
        <v>90.57</v>
      </c>
      <c r="Q94" s="12" t="str">
        <f t="shared" ref="Q94:S94" si="98">IF(H94&gt;M$5, $G94, "")</f>
        <v/>
      </c>
      <c r="R94" s="13" t="str">
        <f t="shared" si="98"/>
        <v/>
      </c>
      <c r="S94" s="14" t="str">
        <f t="shared" si="98"/>
        <v/>
      </c>
    </row>
    <row r="95">
      <c r="A95" s="1" t="s">
        <v>108</v>
      </c>
      <c r="G95" s="9" t="str">
        <f>IFERROR(__xludf.DUMMYFUNCTION("SPLIT(A95,"","")"),"./src/main/java/org/jfree/chart/block/FlowArrangement.java")</f>
        <v>./src/main/java/org/jfree/chart/block/FlowArrangement.java</v>
      </c>
      <c r="H95" s="9">
        <f>IFERROR(__xludf.DUMMYFUNCTION("""COMPUTED_VALUE"""),7.0)</f>
        <v>7</v>
      </c>
      <c r="I95" s="9">
        <f>IFERROR(__xludf.DUMMYFUNCTION("""COMPUTED_VALUE"""),234.0)</f>
        <v>234</v>
      </c>
      <c r="J95" s="9">
        <f>IFERROR(__xludf.DUMMYFUNCTION("""COMPUTED_VALUE"""),43.07)</f>
        <v>43.07</v>
      </c>
      <c r="Q95" s="12" t="str">
        <f t="shared" ref="Q95:S95" si="99">IF(H95&gt;M$5, $G95, "")</f>
        <v/>
      </c>
      <c r="R95" s="13" t="str">
        <f t="shared" si="99"/>
        <v/>
      </c>
      <c r="S95" s="14" t="str">
        <f t="shared" si="99"/>
        <v/>
      </c>
    </row>
    <row r="96">
      <c r="A96" s="1" t="s">
        <v>109</v>
      </c>
      <c r="G96" s="9" t="str">
        <f>IFERROR(__xludf.DUMMYFUNCTION("SPLIT(A96,"","")"),"./src/main/java/org/jfree/chart/block/GridArrangement.java")</f>
        <v>./src/main/java/org/jfree/chart/block/GridArrangement.java</v>
      </c>
      <c r="H96" s="9">
        <f>IFERROR(__xludf.DUMMYFUNCTION("""COMPUTED_VALUE"""),7.0)</f>
        <v>7</v>
      </c>
      <c r="I96" s="9">
        <f>IFERROR(__xludf.DUMMYFUNCTION("""COMPUTED_VALUE"""),242.0)</f>
        <v>242</v>
      </c>
      <c r="J96" s="9">
        <f>IFERROR(__xludf.DUMMYFUNCTION("""COMPUTED_VALUE"""),40.69)</f>
        <v>40.69</v>
      </c>
      <c r="Q96" s="12" t="str">
        <f t="shared" ref="Q96:S96" si="100">IF(H96&gt;M$5, $G96, "")</f>
        <v/>
      </c>
      <c r="R96" s="13" t="str">
        <f t="shared" si="100"/>
        <v/>
      </c>
      <c r="S96" s="14" t="str">
        <f t="shared" si="100"/>
        <v/>
      </c>
    </row>
    <row r="97">
      <c r="A97" s="1" t="s">
        <v>110</v>
      </c>
      <c r="G97" s="9" t="str">
        <f>IFERROR(__xludf.DUMMYFUNCTION("SPLIT(A97,"","")"),"./src/main/java/org/jfree/chart/block/LabelBlock.java")</f>
        <v>./src/main/java/org/jfree/chart/block/LabelBlock.java</v>
      </c>
      <c r="H97" s="9">
        <f>IFERROR(__xludf.DUMMYFUNCTION("""COMPUTED_VALUE"""),14.0)</f>
        <v>14</v>
      </c>
      <c r="I97" s="9">
        <f>IFERROR(__xludf.DUMMYFUNCTION("""COMPUTED_VALUE"""),179.0)</f>
        <v>179</v>
      </c>
      <c r="J97" s="9">
        <f>IFERROR(__xludf.DUMMYFUNCTION("""COMPUTED_VALUE"""),53.26)</f>
        <v>53.26</v>
      </c>
      <c r="Q97" s="12" t="str">
        <f t="shared" ref="Q97:S97" si="101">IF(H97&gt;M$5, $G97, "")</f>
        <v/>
      </c>
      <c r="R97" s="13" t="str">
        <f t="shared" si="101"/>
        <v/>
      </c>
      <c r="S97" s="14" t="str">
        <f t="shared" si="101"/>
        <v/>
      </c>
    </row>
    <row r="98">
      <c r="A98" s="1" t="s">
        <v>111</v>
      </c>
      <c r="G98" s="9" t="str">
        <f>IFERROR(__xludf.DUMMYFUNCTION("SPLIT(A98,"","")"),"./src/main/java/org/jfree/chart/block/LengthConstraintType.java")</f>
        <v>./src/main/java/org/jfree/chart/block/LengthConstraintType.java</v>
      </c>
      <c r="H98" s="9">
        <f>IFERROR(__xludf.DUMMYFUNCTION("""COMPUTED_VALUE"""),5.0)</f>
        <v>5</v>
      </c>
      <c r="I98" s="9">
        <f>IFERROR(__xludf.DUMMYFUNCTION("""COMPUTED_VALUE"""),6.0)</f>
        <v>6</v>
      </c>
      <c r="J98" s="9">
        <f>IFERROR(__xludf.DUMMYFUNCTION("""COMPUTED_VALUE"""),88.46)</f>
        <v>88.46</v>
      </c>
      <c r="Q98" s="12" t="str">
        <f t="shared" ref="Q98:S98" si="102">IF(H98&gt;M$5, $G98, "")</f>
        <v/>
      </c>
      <c r="R98" s="13" t="str">
        <f t="shared" si="102"/>
        <v/>
      </c>
      <c r="S98" s="14" t="str">
        <f t="shared" si="102"/>
        <v/>
      </c>
    </row>
    <row r="99">
      <c r="A99" s="1" t="s">
        <v>112</v>
      </c>
      <c r="G99" s="9" t="str">
        <f>IFERROR(__xludf.DUMMYFUNCTION("SPLIT(A99,"","")"),"./src/main/java/org/jfree/chart/block/LineBorder.java")</f>
        <v>./src/main/java/org/jfree/chart/block/LineBorder.java</v>
      </c>
      <c r="H99" s="9">
        <f>IFERROR(__xludf.DUMMYFUNCTION("""COMPUTED_VALUE"""),11.0)</f>
        <v>11</v>
      </c>
      <c r="I99" s="9">
        <f>IFERROR(__xludf.DUMMYFUNCTION("""COMPUTED_VALUE"""),118.0)</f>
        <v>118</v>
      </c>
      <c r="J99" s="9">
        <f>IFERROR(__xludf.DUMMYFUNCTION("""COMPUTED_VALUE"""),44.86)</f>
        <v>44.86</v>
      </c>
      <c r="Q99" s="12" t="str">
        <f t="shared" ref="Q99:S99" si="103">IF(H99&gt;M$5, $G99, "")</f>
        <v/>
      </c>
      <c r="R99" s="13" t="str">
        <f t="shared" si="103"/>
        <v/>
      </c>
      <c r="S99" s="14" t="str">
        <f t="shared" si="103"/>
        <v/>
      </c>
    </row>
    <row r="100">
      <c r="A100" s="1" t="s">
        <v>113</v>
      </c>
      <c r="G100" s="9" t="str">
        <f>IFERROR(__xludf.DUMMYFUNCTION("SPLIT(A100,"","")"),"./src/main/java/org/jfree/chart/block/RectangleConstraint.java")</f>
        <v>./src/main/java/org/jfree/chart/block/RectangleConstraint.java</v>
      </c>
      <c r="H100" s="9">
        <f>IFERROR(__xludf.DUMMYFUNCTION("""COMPUTED_VALUE"""),7.0)</f>
        <v>7</v>
      </c>
      <c r="I100" s="9">
        <f>IFERROR(__xludf.DUMMYFUNCTION("""COMPUTED_VALUE"""),149.0)</f>
        <v>149</v>
      </c>
      <c r="J100" s="9">
        <f>IFERROR(__xludf.DUMMYFUNCTION("""COMPUTED_VALUE"""),53.44)</f>
        <v>53.44</v>
      </c>
      <c r="Q100" s="12" t="str">
        <f t="shared" ref="Q100:S100" si="104">IF(H100&gt;M$5, $G100, "")</f>
        <v/>
      </c>
      <c r="R100" s="13" t="str">
        <f t="shared" si="104"/>
        <v/>
      </c>
      <c r="S100" s="14" t="str">
        <f t="shared" si="104"/>
        <v/>
      </c>
    </row>
    <row r="101">
      <c r="A101" s="1" t="s">
        <v>114</v>
      </c>
      <c r="G101" s="9" t="str">
        <f>IFERROR(__xludf.DUMMYFUNCTION("SPLIT(A101,"","")"),"./src/main/java/org/jfree/chart/block/Size2D.java")</f>
        <v>./src/main/java/org/jfree/chart/block/Size2D.java</v>
      </c>
      <c r="H101" s="9">
        <f>IFERROR(__xludf.DUMMYFUNCTION("""COMPUTED_VALUE"""),2.0)</f>
        <v>2</v>
      </c>
      <c r="I101" s="9">
        <f>IFERROR(__xludf.DUMMYFUNCTION("""COMPUTED_VALUE"""),59.0)</f>
        <v>59</v>
      </c>
      <c r="J101" s="9">
        <f>IFERROR(__xludf.DUMMYFUNCTION("""COMPUTED_VALUE"""),60.4)</f>
        <v>60.4</v>
      </c>
      <c r="Q101" s="12" t="str">
        <f t="shared" ref="Q101:S101" si="105">IF(H101&gt;M$5, $G101, "")</f>
        <v/>
      </c>
      <c r="R101" s="13" t="str">
        <f t="shared" si="105"/>
        <v/>
      </c>
      <c r="S101" s="14" t="str">
        <f t="shared" si="105"/>
        <v/>
      </c>
    </row>
    <row r="102">
      <c r="A102" s="1" t="s">
        <v>115</v>
      </c>
      <c r="G102" s="9" t="str">
        <f>IFERROR(__xludf.DUMMYFUNCTION("SPLIT(A102,"","")"),"./src/main/java/org/jfree/chart/ChartColor.java")</f>
        <v>./src/main/java/org/jfree/chart/ChartColor.java</v>
      </c>
      <c r="H102" s="9">
        <f>IFERROR(__xludf.DUMMYFUNCTION("""COMPUTED_VALUE"""),3.0)</f>
        <v>3</v>
      </c>
      <c r="I102" s="9">
        <f>IFERROR(__xludf.DUMMYFUNCTION("""COMPUTED_VALUE"""),70.0)</f>
        <v>70</v>
      </c>
      <c r="J102" s="9">
        <f>IFERROR(__xludf.DUMMYFUNCTION("""COMPUTED_VALUE"""),53.02)</f>
        <v>53.02</v>
      </c>
      <c r="Q102" s="12" t="str">
        <f t="shared" ref="Q102:S102" si="106">IF(H102&gt;M$5, $G102, "")</f>
        <v/>
      </c>
      <c r="R102" s="13" t="str">
        <f t="shared" si="106"/>
        <v/>
      </c>
      <c r="S102" s="14" t="str">
        <f t="shared" si="106"/>
        <v/>
      </c>
    </row>
    <row r="103">
      <c r="A103" s="1" t="s">
        <v>116</v>
      </c>
      <c r="G103" s="9" t="str">
        <f>IFERROR(__xludf.DUMMYFUNCTION("SPLIT(A103,"","")"),"./src/main/java/org/jfree/chart/ChartElement.java")</f>
        <v>./src/main/java/org/jfree/chart/ChartElement.java</v>
      </c>
      <c r="H103" s="9">
        <f>IFERROR(__xludf.DUMMYFUNCTION("""COMPUTED_VALUE"""),2.0)</f>
        <v>2</v>
      </c>
      <c r="I103" s="9">
        <f>IFERROR(__xludf.DUMMYFUNCTION("""COMPUTED_VALUE"""),4.0)</f>
        <v>4</v>
      </c>
      <c r="J103" s="9">
        <f>IFERROR(__xludf.DUMMYFUNCTION("""COMPUTED_VALUE"""),91.67)</f>
        <v>91.67</v>
      </c>
      <c r="Q103" s="12" t="str">
        <f t="shared" ref="Q103:S103" si="107">IF(H103&gt;M$5, $G103, "")</f>
        <v/>
      </c>
      <c r="R103" s="13" t="str">
        <f t="shared" si="107"/>
        <v/>
      </c>
      <c r="S103" s="14" t="str">
        <f t="shared" si="107"/>
        <v/>
      </c>
    </row>
    <row r="104">
      <c r="A104" s="1" t="s">
        <v>117</v>
      </c>
      <c r="G104" s="9" t="str">
        <f>IFERROR(__xludf.DUMMYFUNCTION("SPLIT(A104,"","")"),"./src/main/java/org/jfree/chart/ChartElementVisitor.java")</f>
        <v>./src/main/java/org/jfree/chart/ChartElementVisitor.java</v>
      </c>
      <c r="H104" s="9">
        <f>IFERROR(__xludf.DUMMYFUNCTION("""COMPUTED_VALUE"""),2.0)</f>
        <v>2</v>
      </c>
      <c r="I104" s="9">
        <f>IFERROR(__xludf.DUMMYFUNCTION("""COMPUTED_VALUE"""),4.0)</f>
        <v>4</v>
      </c>
      <c r="J104" s="9">
        <f>IFERROR(__xludf.DUMMYFUNCTION("""COMPUTED_VALUE"""),91.49)</f>
        <v>91.49</v>
      </c>
      <c r="Q104" s="12" t="str">
        <f t="shared" ref="Q104:S104" si="108">IF(H104&gt;M$5, $G104, "")</f>
        <v/>
      </c>
      <c r="R104" s="13" t="str">
        <f t="shared" si="108"/>
        <v/>
      </c>
      <c r="S104" s="14" t="str">
        <f t="shared" si="108"/>
        <v/>
      </c>
    </row>
    <row r="105">
      <c r="A105" s="1" t="s">
        <v>118</v>
      </c>
      <c r="G105" s="9" t="str">
        <f>IFERROR(__xludf.DUMMYFUNCTION("SPLIT(A105,"","")"),"./src/main/java/org/jfree/chart/ChartFactory.java")</f>
        <v>./src/main/java/org/jfree/chart/ChartFactory.java</v>
      </c>
      <c r="H105" s="9">
        <f>IFERROR(__xludf.DUMMYFUNCTION("""COMPUTED_VALUE"""),22.0)</f>
        <v>22</v>
      </c>
      <c r="I105" s="9">
        <f>IFERROR(__xludf.DUMMYFUNCTION("""COMPUTED_VALUE"""),1000.0)</f>
        <v>1000</v>
      </c>
      <c r="J105" s="9">
        <f>IFERROR(__xludf.DUMMYFUNCTION("""COMPUTED_VALUE"""),46.52)</f>
        <v>46.52</v>
      </c>
      <c r="Q105" s="12" t="str">
        <f t="shared" ref="Q105:S105" si="109">IF(H105&gt;M$5, $G105, "")</f>
        <v>./src/main/java/org/jfree/chart/ChartFactory.java</v>
      </c>
      <c r="R105" s="13" t="str">
        <f t="shared" si="109"/>
        <v>./src/main/java/org/jfree/chart/ChartFactory.java</v>
      </c>
      <c r="S105" s="14" t="str">
        <f t="shared" si="109"/>
        <v/>
      </c>
    </row>
    <row r="106">
      <c r="A106" s="1" t="s">
        <v>119</v>
      </c>
      <c r="G106" s="9" t="str">
        <f>IFERROR(__xludf.DUMMYFUNCTION("SPLIT(A106,"","")"),"./src/main/java/org/jfree/chart/ChartHints.java")</f>
        <v>./src/main/java/org/jfree/chart/ChartHints.java</v>
      </c>
      <c r="H106" s="9">
        <f>IFERROR(__xludf.DUMMYFUNCTION("""COMPUTED_VALUE"""),4.0)</f>
        <v>4</v>
      </c>
      <c r="I106" s="9">
        <f>IFERROR(__xludf.DUMMYFUNCTION("""COMPUTED_VALUE"""),25.0)</f>
        <v>25</v>
      </c>
      <c r="J106" s="9">
        <f>IFERROR(__xludf.DUMMYFUNCTION("""COMPUTED_VALUE"""),73.12)</f>
        <v>73.12</v>
      </c>
      <c r="Q106" s="12" t="str">
        <f t="shared" ref="Q106:S106" si="110">IF(H106&gt;M$5, $G106, "")</f>
        <v/>
      </c>
      <c r="R106" s="13" t="str">
        <f t="shared" si="110"/>
        <v/>
      </c>
      <c r="S106" s="14" t="str">
        <f t="shared" si="110"/>
        <v/>
      </c>
    </row>
    <row r="107">
      <c r="A107" s="1" t="s">
        <v>120</v>
      </c>
      <c r="G107" s="9" t="str">
        <f>IFERROR(__xludf.DUMMYFUNCTION("SPLIT(A107,"","")"),"./src/main/java/org/jfree/chart/ChartRenderingInfo.java")</f>
        <v>./src/main/java/org/jfree/chart/ChartRenderingInfo.java</v>
      </c>
      <c r="H107" s="9">
        <f>IFERROR(__xludf.DUMMYFUNCTION("""COMPUTED_VALUE"""),7.0)</f>
        <v>7</v>
      </c>
      <c r="I107" s="9">
        <f>IFERROR(__xludf.DUMMYFUNCTION("""COMPUTED_VALUE"""),97.0)</f>
        <v>97</v>
      </c>
      <c r="J107" s="9">
        <f>IFERROR(__xludf.DUMMYFUNCTION("""COMPUTED_VALUE"""),58.01)</f>
        <v>58.01</v>
      </c>
      <c r="Q107" s="12" t="str">
        <f t="shared" ref="Q107:S107" si="111">IF(H107&gt;M$5, $G107, "")</f>
        <v/>
      </c>
      <c r="R107" s="13" t="str">
        <f t="shared" si="111"/>
        <v/>
      </c>
      <c r="S107" s="14" t="str">
        <f t="shared" si="111"/>
        <v/>
      </c>
    </row>
    <row r="108">
      <c r="A108" s="1" t="s">
        <v>121</v>
      </c>
      <c r="G108" s="9" t="str">
        <f>IFERROR(__xludf.DUMMYFUNCTION("SPLIT(A108,"","")"),"./src/main/java/org/jfree/chart/ChartTheme.java")</f>
        <v>./src/main/java/org/jfree/chart/ChartTheme.java</v>
      </c>
      <c r="H108" s="9">
        <f>IFERROR(__xludf.DUMMYFUNCTION("""COMPUTED_VALUE"""),5.0)</f>
        <v>5</v>
      </c>
      <c r="I108" s="9">
        <f>IFERROR(__xludf.DUMMYFUNCTION("""COMPUTED_VALUE"""),4.0)</f>
        <v>4</v>
      </c>
      <c r="J108" s="9">
        <f>IFERROR(__xludf.DUMMYFUNCTION("""COMPUTED_VALUE"""),92.16)</f>
        <v>92.16</v>
      </c>
      <c r="Q108" s="12" t="str">
        <f t="shared" ref="Q108:S108" si="112">IF(H108&gt;M$5, $G108, "")</f>
        <v/>
      </c>
      <c r="R108" s="13" t="str">
        <f t="shared" si="112"/>
        <v/>
      </c>
      <c r="S108" s="14" t="str">
        <f t="shared" si="112"/>
        <v/>
      </c>
    </row>
    <row r="109">
      <c r="A109" s="1" t="s">
        <v>122</v>
      </c>
      <c r="G109" s="9" t="str">
        <f>IFERROR(__xludf.DUMMYFUNCTION("SPLIT(A109,"","")"),"./src/main/java/org/jfree/chart/ChartTransferable.java")</f>
        <v>./src/main/java/org/jfree/chart/ChartTransferable.java</v>
      </c>
      <c r="H109" s="9">
        <f>IFERROR(__xludf.DUMMYFUNCTION("""COMPUTED_VALUE"""),7.0)</f>
        <v>7</v>
      </c>
      <c r="I109" s="9">
        <f>IFERROR(__xludf.DUMMYFUNCTION("""COMPUTED_VALUE"""),102.0)</f>
        <v>102</v>
      </c>
      <c r="J109" s="9">
        <f>IFERROR(__xludf.DUMMYFUNCTION("""COMPUTED_VALUE"""),55.84)</f>
        <v>55.84</v>
      </c>
      <c r="Q109" s="12" t="str">
        <f t="shared" ref="Q109:S109" si="113">IF(H109&gt;M$5, $G109, "")</f>
        <v/>
      </c>
      <c r="R109" s="13" t="str">
        <f t="shared" si="113"/>
        <v/>
      </c>
      <c r="S109" s="14" t="str">
        <f t="shared" si="113"/>
        <v/>
      </c>
    </row>
    <row r="110">
      <c r="A110" s="1" t="s">
        <v>123</v>
      </c>
      <c r="G110" s="9" t="str">
        <f>IFERROR(__xludf.DUMMYFUNCTION("SPLIT(A110,"","")"),"./src/main/java/org/jfree/chart/ChartUtils.java")</f>
        <v>./src/main/java/org/jfree/chart/ChartUtils.java</v>
      </c>
      <c r="H110" s="9">
        <f>IFERROR(__xludf.DUMMYFUNCTION("""COMPUTED_VALUE"""),10.0)</f>
        <v>10</v>
      </c>
      <c r="I110" s="9">
        <f>IFERROR(__xludf.DUMMYFUNCTION("""COMPUTED_VALUE"""),235.0)</f>
        <v>235</v>
      </c>
      <c r="J110" s="9">
        <f>IFERROR(__xludf.DUMMYFUNCTION("""COMPUTED_VALUE"""),62.7)</f>
        <v>62.7</v>
      </c>
      <c r="Q110" s="12" t="str">
        <f t="shared" ref="Q110:S110" si="114">IF(H110&gt;M$5, $G110, "")</f>
        <v/>
      </c>
      <c r="R110" s="13" t="str">
        <f t="shared" si="114"/>
        <v/>
      </c>
      <c r="S110" s="14" t="str">
        <f t="shared" si="114"/>
        <v/>
      </c>
    </row>
    <row r="111">
      <c r="A111" s="1" t="s">
        <v>124</v>
      </c>
      <c r="G111" s="9" t="str">
        <f>IFERROR(__xludf.DUMMYFUNCTION("SPLIT(A111,"","")"),"./src/main/java/org/jfree/chart/date/MonthConstants.java")</f>
        <v>./src/main/java/org/jfree/chart/date/MonthConstants.java</v>
      </c>
      <c r="H111" s="9">
        <f>IFERROR(__xludf.DUMMYFUNCTION("""COMPUTED_VALUE"""),5.0)</f>
        <v>5</v>
      </c>
      <c r="I111" s="9">
        <f>IFERROR(__xludf.DUMMYFUNCTION("""COMPUTED_VALUE"""),15.0)</f>
        <v>15</v>
      </c>
      <c r="J111" s="9">
        <f>IFERROR(__xludf.DUMMYFUNCTION("""COMPUTED_VALUE"""),76.92)</f>
        <v>76.92</v>
      </c>
      <c r="Q111" s="12" t="str">
        <f t="shared" ref="Q111:S111" si="115">IF(H111&gt;M$5, $G111, "")</f>
        <v/>
      </c>
      <c r="R111" s="13" t="str">
        <f t="shared" si="115"/>
        <v/>
      </c>
      <c r="S111" s="14" t="str">
        <f t="shared" si="115"/>
        <v/>
      </c>
    </row>
    <row r="112">
      <c r="A112" s="1" t="s">
        <v>125</v>
      </c>
      <c r="G112" s="9" t="str">
        <f>IFERROR(__xludf.DUMMYFUNCTION("SPLIT(A112,"","")"),"./src/main/java/org/jfree/chart/date/SerialDate.java")</f>
        <v>./src/main/java/org/jfree/chart/date/SerialDate.java</v>
      </c>
      <c r="H112" s="9">
        <f>IFERROR(__xludf.DUMMYFUNCTION("""COMPUTED_VALUE"""),8.0)</f>
        <v>8</v>
      </c>
      <c r="I112" s="9">
        <f>IFERROR(__xludf.DUMMYFUNCTION("""COMPUTED_VALUE"""),355.0)</f>
        <v>355</v>
      </c>
      <c r="J112" s="9">
        <f>IFERROR(__xludf.DUMMYFUNCTION("""COMPUTED_VALUE"""),58.53)</f>
        <v>58.53</v>
      </c>
      <c r="Q112" s="12" t="str">
        <f t="shared" ref="Q112:S112" si="116">IF(H112&gt;M$5, $G112, "")</f>
        <v/>
      </c>
      <c r="R112" s="13" t="str">
        <f t="shared" si="116"/>
        <v/>
      </c>
      <c r="S112" s="14" t="str">
        <f t="shared" si="116"/>
        <v/>
      </c>
    </row>
    <row r="113">
      <c r="A113" s="1" t="s">
        <v>126</v>
      </c>
      <c r="G113" s="9" t="str">
        <f>IFERROR(__xludf.DUMMYFUNCTION("SPLIT(A113,"","")"),"./src/main/java/org/jfree/chart/date/SpreadsheetDate.java")</f>
        <v>./src/main/java/org/jfree/chart/date/SpreadsheetDate.java</v>
      </c>
      <c r="H113" s="9">
        <f>IFERROR(__xludf.DUMMYFUNCTION("""COMPUTED_VALUE"""),6.0)</f>
        <v>6</v>
      </c>
      <c r="I113" s="9">
        <f>IFERROR(__xludf.DUMMYFUNCTION("""COMPUTED_VALUE"""),175.0)</f>
        <v>175</v>
      </c>
      <c r="J113" s="9">
        <f>IFERROR(__xludf.DUMMYFUNCTION("""COMPUTED_VALUE"""),56.79)</f>
        <v>56.79</v>
      </c>
      <c r="Q113" s="12" t="str">
        <f t="shared" ref="Q113:S113" si="117">IF(H113&gt;M$5, $G113, "")</f>
        <v/>
      </c>
      <c r="R113" s="13" t="str">
        <f t="shared" si="117"/>
        <v/>
      </c>
      <c r="S113" s="14" t="str">
        <f t="shared" si="117"/>
        <v/>
      </c>
    </row>
    <row r="114">
      <c r="A114" s="1" t="s">
        <v>127</v>
      </c>
      <c r="G114" s="9" t="str">
        <f>IFERROR(__xludf.DUMMYFUNCTION("SPLIT(A114,"","")"),"./src/main/java/org/jfree/chart/Drawable.java")</f>
        <v>./src/main/java/org/jfree/chart/Drawable.java</v>
      </c>
      <c r="H114" s="9">
        <f>IFERROR(__xludf.DUMMYFUNCTION("""COMPUTED_VALUE"""),2.0)</f>
        <v>2</v>
      </c>
      <c r="I114" s="9">
        <f>IFERROR(__xludf.DUMMYFUNCTION("""COMPUTED_VALUE"""),6.0)</f>
        <v>6</v>
      </c>
      <c r="J114" s="9">
        <f>IFERROR(__xludf.DUMMYFUNCTION("""COMPUTED_VALUE"""),86.05)</f>
        <v>86.05</v>
      </c>
      <c r="Q114" s="12" t="str">
        <f t="shared" ref="Q114:S114" si="118">IF(H114&gt;M$5, $G114, "")</f>
        <v/>
      </c>
      <c r="R114" s="13" t="str">
        <f t="shared" si="118"/>
        <v/>
      </c>
      <c r="S114" s="14" t="str">
        <f t="shared" si="118"/>
        <v/>
      </c>
    </row>
    <row r="115">
      <c r="A115" s="1" t="s">
        <v>128</v>
      </c>
      <c r="G115" s="9" t="str">
        <f>IFERROR(__xludf.DUMMYFUNCTION("SPLIT(A115,"","")"),"./src/main/java/org/jfree/chart/encoders/EncoderUtil.java")</f>
        <v>./src/main/java/org/jfree/chart/encoders/EncoderUtil.java</v>
      </c>
      <c r="H115" s="9">
        <f>IFERROR(__xludf.DUMMYFUNCTION("""COMPUTED_VALUE"""),2.0)</f>
        <v>2</v>
      </c>
      <c r="I115" s="9">
        <f>IFERROR(__xludf.DUMMYFUNCTION("""COMPUTED_VALUE"""),53.0)</f>
        <v>53</v>
      </c>
      <c r="J115" s="9">
        <f>IFERROR(__xludf.DUMMYFUNCTION("""COMPUTED_VALUE"""),70.22)</f>
        <v>70.22</v>
      </c>
      <c r="Q115" s="12" t="str">
        <f t="shared" ref="Q115:S115" si="119">IF(H115&gt;M$5, $G115, "")</f>
        <v/>
      </c>
      <c r="R115" s="13" t="str">
        <f t="shared" si="119"/>
        <v/>
      </c>
      <c r="S115" s="14" t="str">
        <f t="shared" si="119"/>
        <v/>
      </c>
    </row>
    <row r="116">
      <c r="A116" s="1" t="s">
        <v>129</v>
      </c>
      <c r="G116" s="9" t="str">
        <f>IFERROR(__xludf.DUMMYFUNCTION("SPLIT(A116,"","")"),"./src/main/java/org/jfree/chart/encoders/ImageEncoder.java")</f>
        <v>./src/main/java/org/jfree/chart/encoders/ImageEncoder.java</v>
      </c>
      <c r="H116" s="9">
        <f>IFERROR(__xludf.DUMMYFUNCTION("""COMPUTED_VALUE"""),3.0)</f>
        <v>3</v>
      </c>
      <c r="I116" s="9">
        <f>IFERROR(__xludf.DUMMYFUNCTION("""COMPUTED_VALUE"""),13.0)</f>
        <v>13</v>
      </c>
      <c r="J116" s="9">
        <f>IFERROR(__xludf.DUMMYFUNCTION("""COMPUTED_VALUE"""),86.32)</f>
        <v>86.32</v>
      </c>
      <c r="Q116" s="12" t="str">
        <f t="shared" ref="Q116:S116" si="120">IF(H116&gt;M$5, $G116, "")</f>
        <v/>
      </c>
      <c r="R116" s="13" t="str">
        <f t="shared" si="120"/>
        <v/>
      </c>
      <c r="S116" s="14" t="str">
        <f t="shared" si="120"/>
        <v/>
      </c>
    </row>
    <row r="117">
      <c r="A117" s="1" t="s">
        <v>130</v>
      </c>
      <c r="G117" s="9" t="str">
        <f>IFERROR(__xludf.DUMMYFUNCTION("SPLIT(A117,"","")"),"./src/main/java/org/jfree/chart/encoders/ImageEncoderFactory.java")</f>
        <v>./src/main/java/org/jfree/chart/encoders/ImageEncoderFactory.java</v>
      </c>
      <c r="H117" s="9">
        <f>IFERROR(__xludf.DUMMYFUNCTION("""COMPUTED_VALUE"""),4.0)</f>
        <v>4</v>
      </c>
      <c r="I117" s="9">
        <f>IFERROR(__xludf.DUMMYFUNCTION("""COMPUTED_VALUE"""),52.0)</f>
        <v>52</v>
      </c>
      <c r="J117" s="9">
        <f>IFERROR(__xludf.DUMMYFUNCTION("""COMPUTED_VALUE"""),63.64)</f>
        <v>63.64</v>
      </c>
      <c r="Q117" s="12" t="str">
        <f t="shared" ref="Q117:S117" si="121">IF(H117&gt;M$5, $G117, "")</f>
        <v/>
      </c>
      <c r="R117" s="13" t="str">
        <f t="shared" si="121"/>
        <v/>
      </c>
      <c r="S117" s="14" t="str">
        <f t="shared" si="121"/>
        <v/>
      </c>
    </row>
    <row r="118">
      <c r="A118" s="1" t="s">
        <v>131</v>
      </c>
      <c r="G118" s="9" t="str">
        <f>IFERROR(__xludf.DUMMYFUNCTION("SPLIT(A118,"","")"),"./src/main/java/org/jfree/chart/encoders/ImageFormat.java")</f>
        <v>./src/main/java/org/jfree/chart/encoders/ImageFormat.java</v>
      </c>
      <c r="H118" s="9">
        <f>IFERROR(__xludf.DUMMYFUNCTION("""COMPUTED_VALUE"""),3.0)</f>
        <v>3</v>
      </c>
      <c r="I118" s="9">
        <f>IFERROR(__xludf.DUMMYFUNCTION("""COMPUTED_VALUE"""),6.0)</f>
        <v>6</v>
      </c>
      <c r="J118" s="9">
        <f>IFERROR(__xludf.DUMMYFUNCTION("""COMPUTED_VALUE"""),88.46)</f>
        <v>88.46</v>
      </c>
      <c r="Q118" s="12" t="str">
        <f t="shared" ref="Q118:S118" si="122">IF(H118&gt;M$5, $G118, "")</f>
        <v/>
      </c>
      <c r="R118" s="13" t="str">
        <f t="shared" si="122"/>
        <v/>
      </c>
      <c r="S118" s="14" t="str">
        <f t="shared" si="122"/>
        <v/>
      </c>
    </row>
    <row r="119">
      <c r="A119" s="1" t="s">
        <v>132</v>
      </c>
      <c r="G119" s="9" t="str">
        <f>IFERROR(__xludf.DUMMYFUNCTION("SPLIT(A119,"","")"),"./src/main/java/org/jfree/chart/encoders/SunJPEGEncoderAdapter.java")</f>
        <v>./src/main/java/org/jfree/chart/encoders/SunJPEGEncoderAdapter.java</v>
      </c>
      <c r="H119" s="9">
        <f>IFERROR(__xludf.DUMMYFUNCTION("""COMPUTED_VALUE"""),5.0)</f>
        <v>5</v>
      </c>
      <c r="I119" s="9">
        <f>IFERROR(__xludf.DUMMYFUNCTION("""COMPUTED_VALUE"""),59.0)</f>
        <v>59</v>
      </c>
      <c r="J119" s="9">
        <f>IFERROR(__xludf.DUMMYFUNCTION("""COMPUTED_VALUE"""),62.18)</f>
        <v>62.18</v>
      </c>
      <c r="Q119" s="12" t="str">
        <f t="shared" ref="Q119:S119" si="123">IF(H119&gt;M$5, $G119, "")</f>
        <v/>
      </c>
      <c r="R119" s="13" t="str">
        <f t="shared" si="123"/>
        <v/>
      </c>
      <c r="S119" s="14" t="str">
        <f t="shared" si="123"/>
        <v/>
      </c>
    </row>
    <row r="120">
      <c r="A120" s="1" t="s">
        <v>133</v>
      </c>
      <c r="G120" s="9" t="str">
        <f>IFERROR(__xludf.DUMMYFUNCTION("SPLIT(A120,"","")"),"./src/main/java/org/jfree/chart/encoders/SunPNGEncoderAdapter.java")</f>
        <v>./src/main/java/org/jfree/chart/encoders/SunPNGEncoderAdapter.java</v>
      </c>
      <c r="H120" s="9">
        <f>IFERROR(__xludf.DUMMYFUNCTION("""COMPUTED_VALUE"""),4.0)</f>
        <v>4</v>
      </c>
      <c r="I120" s="9">
        <f>IFERROR(__xludf.DUMMYFUNCTION("""COMPUTED_VALUE"""),36.0)</f>
        <v>36</v>
      </c>
      <c r="J120" s="9">
        <f>IFERROR(__xludf.DUMMYFUNCTION("""COMPUTED_VALUE"""),69.23)</f>
        <v>69.23</v>
      </c>
      <c r="Q120" s="12" t="str">
        <f t="shared" ref="Q120:S120" si="124">IF(H120&gt;M$5, $G120, "")</f>
        <v/>
      </c>
      <c r="R120" s="13" t="str">
        <f t="shared" si="124"/>
        <v/>
      </c>
      <c r="S120" s="14" t="str">
        <f t="shared" si="124"/>
        <v/>
      </c>
    </row>
    <row r="121">
      <c r="A121" s="1" t="s">
        <v>134</v>
      </c>
      <c r="G121" s="9" t="str">
        <f>IFERROR(__xludf.DUMMYFUNCTION("SPLIT(A121,"","")"),"./src/main/java/org/jfree/chart/entity/AxisEntity.java")</f>
        <v>./src/main/java/org/jfree/chart/entity/AxisEntity.java</v>
      </c>
      <c r="H121" s="9">
        <f>IFERROR(__xludf.DUMMYFUNCTION("""COMPUTED_VALUE"""),10.0)</f>
        <v>10</v>
      </c>
      <c r="I121" s="9">
        <f>IFERROR(__xludf.DUMMYFUNCTION("""COMPUTED_VALUE"""),79.0)</f>
        <v>79</v>
      </c>
      <c r="J121" s="9">
        <f>IFERROR(__xludf.DUMMYFUNCTION("""COMPUTED_VALUE"""),58.64)</f>
        <v>58.64</v>
      </c>
      <c r="Q121" s="12" t="str">
        <f t="shared" ref="Q121:S121" si="125">IF(H121&gt;M$5, $G121, "")</f>
        <v/>
      </c>
      <c r="R121" s="13" t="str">
        <f t="shared" si="125"/>
        <v/>
      </c>
      <c r="S121" s="14" t="str">
        <f t="shared" si="125"/>
        <v/>
      </c>
    </row>
    <row r="122">
      <c r="A122" s="1" t="s">
        <v>135</v>
      </c>
      <c r="G122" s="9" t="str">
        <f>IFERROR(__xludf.DUMMYFUNCTION("SPLIT(A122,"","")"),"./src/main/java/org/jfree/chart/entity/CategoryItemEntity.java")</f>
        <v>./src/main/java/org/jfree/chart/entity/CategoryItemEntity.java</v>
      </c>
      <c r="H122" s="9">
        <f>IFERROR(__xludf.DUMMYFUNCTION("""COMPUTED_VALUE"""),11.0)</f>
        <v>11</v>
      </c>
      <c r="I122" s="9">
        <f>IFERROR(__xludf.DUMMYFUNCTION("""COMPUTED_VALUE"""),65.0)</f>
        <v>65</v>
      </c>
      <c r="J122" s="9">
        <f>IFERROR(__xludf.DUMMYFUNCTION("""COMPUTED_VALUE"""),62.86)</f>
        <v>62.86</v>
      </c>
      <c r="Q122" s="12" t="str">
        <f t="shared" ref="Q122:S122" si="126">IF(H122&gt;M$5, $G122, "")</f>
        <v/>
      </c>
      <c r="R122" s="13" t="str">
        <f t="shared" si="126"/>
        <v/>
      </c>
      <c r="S122" s="14" t="str">
        <f t="shared" si="126"/>
        <v/>
      </c>
    </row>
    <row r="123">
      <c r="A123" s="1" t="s">
        <v>136</v>
      </c>
      <c r="G123" s="9" t="str">
        <f>IFERROR(__xludf.DUMMYFUNCTION("SPLIT(A123,"","")"),"./src/main/java/org/jfree/chart/entity/CategoryLabelEntity.java")</f>
        <v>./src/main/java/org/jfree/chart/entity/CategoryLabelEntity.java</v>
      </c>
      <c r="H123" s="9">
        <f>IFERROR(__xludf.DUMMYFUNCTION("""COMPUTED_VALUE"""),8.0)</f>
        <v>8</v>
      </c>
      <c r="I123" s="9">
        <f>IFERROR(__xludf.DUMMYFUNCTION("""COMPUTED_VALUE"""),45.0)</f>
        <v>45</v>
      </c>
      <c r="J123" s="9">
        <f>IFERROR(__xludf.DUMMYFUNCTION("""COMPUTED_VALUE"""),61.54)</f>
        <v>61.54</v>
      </c>
      <c r="Q123" s="12" t="str">
        <f t="shared" ref="Q123:S123" si="127">IF(H123&gt;M$5, $G123, "")</f>
        <v/>
      </c>
      <c r="R123" s="13" t="str">
        <f t="shared" si="127"/>
        <v/>
      </c>
      <c r="S123" s="14" t="str">
        <f t="shared" si="127"/>
        <v/>
      </c>
    </row>
    <row r="124">
      <c r="A124" s="1" t="s">
        <v>137</v>
      </c>
      <c r="G124" s="9" t="str">
        <f>IFERROR(__xludf.DUMMYFUNCTION("SPLIT(A124,"","")"),"./src/main/java/org/jfree/chart/entity/ChartEntity.java")</f>
        <v>./src/main/java/org/jfree/chart/entity/ChartEntity.java</v>
      </c>
      <c r="H124" s="9">
        <f>IFERROR(__xludf.DUMMYFUNCTION("""COMPUTED_VALUE"""),9.0)</f>
        <v>9</v>
      </c>
      <c r="I124" s="9">
        <f>IFERROR(__xludf.DUMMYFUNCTION("""COMPUTED_VALUE"""),181.0)</f>
        <v>181</v>
      </c>
      <c r="J124" s="9">
        <f>IFERROR(__xludf.DUMMYFUNCTION("""COMPUTED_VALUE"""),51.21)</f>
        <v>51.21</v>
      </c>
      <c r="Q124" s="12" t="str">
        <f t="shared" ref="Q124:S124" si="128">IF(H124&gt;M$5, $G124, "")</f>
        <v/>
      </c>
      <c r="R124" s="13" t="str">
        <f t="shared" si="128"/>
        <v/>
      </c>
      <c r="S124" s="14" t="str">
        <f t="shared" si="128"/>
        <v/>
      </c>
    </row>
    <row r="125">
      <c r="A125" s="1" t="s">
        <v>138</v>
      </c>
      <c r="G125" s="9" t="str">
        <f>IFERROR(__xludf.DUMMYFUNCTION("SPLIT(A125,"","")"),"./src/main/java/org/jfree/chart/entity/EntityCollection.java")</f>
        <v>./src/main/java/org/jfree/chart/entity/EntityCollection.java</v>
      </c>
      <c r="H125" s="9">
        <f>IFERROR(__xludf.DUMMYFUNCTION("""COMPUTED_VALUE"""),5.0)</f>
        <v>5</v>
      </c>
      <c r="I125" s="9">
        <f>IFERROR(__xludf.DUMMYFUNCTION("""COMPUTED_VALUE"""),13.0)</f>
        <v>13</v>
      </c>
      <c r="J125" s="9">
        <f>IFERROR(__xludf.DUMMYFUNCTION("""COMPUTED_VALUE"""),86.32)</f>
        <v>86.32</v>
      </c>
      <c r="Q125" s="12" t="str">
        <f t="shared" ref="Q125:S125" si="129">IF(H125&gt;M$5, $G125, "")</f>
        <v/>
      </c>
      <c r="R125" s="13" t="str">
        <f t="shared" si="129"/>
        <v/>
      </c>
      <c r="S125" s="14" t="str">
        <f t="shared" si="129"/>
        <v/>
      </c>
    </row>
    <row r="126">
      <c r="A126" s="1" t="s">
        <v>139</v>
      </c>
      <c r="G126" s="9" t="str">
        <f>IFERROR(__xludf.DUMMYFUNCTION("SPLIT(A126,"","")"),"./src/main/java/org/jfree/chart/entity/FlowEntity.java")</f>
        <v>./src/main/java/org/jfree/chart/entity/FlowEntity.java</v>
      </c>
      <c r="H126" s="9">
        <f>IFERROR(__xludf.DUMMYFUNCTION("""COMPUTED_VALUE"""),2.0)</f>
        <v>2</v>
      </c>
      <c r="I126" s="9">
        <f>IFERROR(__xludf.DUMMYFUNCTION("""COMPUTED_VALUE"""),38.0)</f>
        <v>38</v>
      </c>
      <c r="J126" s="9">
        <f>IFERROR(__xludf.DUMMYFUNCTION("""COMPUTED_VALUE"""),63.46)</f>
        <v>63.46</v>
      </c>
      <c r="Q126" s="12" t="str">
        <f t="shared" ref="Q126:S126" si="130">IF(H126&gt;M$5, $G126, "")</f>
        <v/>
      </c>
      <c r="R126" s="13" t="str">
        <f t="shared" si="130"/>
        <v/>
      </c>
      <c r="S126" s="14" t="str">
        <f t="shared" si="130"/>
        <v/>
      </c>
    </row>
    <row r="127">
      <c r="A127" s="1" t="s">
        <v>140</v>
      </c>
      <c r="G127" s="9" t="str">
        <f>IFERROR(__xludf.DUMMYFUNCTION("SPLIT(A127,"","")"),"./src/main/java/org/jfree/chart/entity/JFreeChartEntity.java")</f>
        <v>./src/main/java/org/jfree/chart/entity/JFreeChartEntity.java</v>
      </c>
      <c r="H127" s="9">
        <f>IFERROR(__xludf.DUMMYFUNCTION("""COMPUTED_VALUE"""),10.0)</f>
        <v>10</v>
      </c>
      <c r="I127" s="9">
        <f>IFERROR(__xludf.DUMMYFUNCTION("""COMPUTED_VALUE"""),79.0)</f>
        <v>79</v>
      </c>
      <c r="J127" s="9">
        <f>IFERROR(__xludf.DUMMYFUNCTION("""COMPUTED_VALUE"""),58.42)</f>
        <v>58.42</v>
      </c>
      <c r="Q127" s="12" t="str">
        <f t="shared" ref="Q127:S127" si="131">IF(H127&gt;M$5, $G127, "")</f>
        <v/>
      </c>
      <c r="R127" s="13" t="str">
        <f t="shared" si="131"/>
        <v/>
      </c>
      <c r="S127" s="14" t="str">
        <f t="shared" si="131"/>
        <v/>
      </c>
    </row>
    <row r="128">
      <c r="A128" s="1" t="s">
        <v>141</v>
      </c>
      <c r="G128" s="9" t="str">
        <f>IFERROR(__xludf.DUMMYFUNCTION("SPLIT(A128,"","")"),"./src/main/java/org/jfree/chart/entity/LegendItemEntity.java")</f>
        <v>./src/main/java/org/jfree/chart/entity/LegendItemEntity.java</v>
      </c>
      <c r="H128" s="9">
        <f>IFERROR(__xludf.DUMMYFUNCTION("""COMPUTED_VALUE"""),7.0)</f>
        <v>7</v>
      </c>
      <c r="I128" s="9">
        <f>IFERROR(__xludf.DUMMYFUNCTION("""COMPUTED_VALUE"""),56.0)</f>
        <v>56</v>
      </c>
      <c r="J128" s="9">
        <f>IFERROR(__xludf.DUMMYFUNCTION("""COMPUTED_VALUE"""),63.64)</f>
        <v>63.64</v>
      </c>
      <c r="Q128" s="12" t="str">
        <f t="shared" ref="Q128:S128" si="132">IF(H128&gt;M$5, $G128, "")</f>
        <v/>
      </c>
      <c r="R128" s="13" t="str">
        <f t="shared" si="132"/>
        <v/>
      </c>
      <c r="S128" s="14" t="str">
        <f t="shared" si="132"/>
        <v/>
      </c>
    </row>
    <row r="129">
      <c r="A129" s="1" t="s">
        <v>142</v>
      </c>
      <c r="G129" s="9" t="str">
        <f>IFERROR(__xludf.DUMMYFUNCTION("SPLIT(A129,"","")"),"./src/main/java/org/jfree/chart/entity/NodeEntity.java")</f>
        <v>./src/main/java/org/jfree/chart/entity/NodeEntity.java</v>
      </c>
      <c r="H129" s="9">
        <f>IFERROR(__xludf.DUMMYFUNCTION("""COMPUTED_VALUE"""),2.0)</f>
        <v>2</v>
      </c>
      <c r="I129" s="9">
        <f>IFERROR(__xludf.DUMMYFUNCTION("""COMPUTED_VALUE"""),23.0)</f>
        <v>23</v>
      </c>
      <c r="J129" s="9">
        <f>IFERROR(__xludf.DUMMYFUNCTION("""COMPUTED_VALUE"""),73.86)</f>
        <v>73.86</v>
      </c>
      <c r="Q129" s="12" t="str">
        <f t="shared" ref="Q129:S129" si="133">IF(H129&gt;M$5, $G129, "")</f>
        <v/>
      </c>
      <c r="R129" s="13" t="str">
        <f t="shared" si="133"/>
        <v/>
      </c>
      <c r="S129" s="14" t="str">
        <f t="shared" si="133"/>
        <v/>
      </c>
    </row>
    <row r="130">
      <c r="A130" s="1" t="s">
        <v>143</v>
      </c>
      <c r="G130" s="9" t="str">
        <f>IFERROR(__xludf.DUMMYFUNCTION("SPLIT(A130,"","")"),"./src/main/java/org/jfree/chart/entity/PieSectionEntity.java")</f>
        <v>./src/main/java/org/jfree/chart/entity/PieSectionEntity.java</v>
      </c>
      <c r="H130" s="9">
        <f>IFERROR(__xludf.DUMMYFUNCTION("""COMPUTED_VALUE"""),7.0)</f>
        <v>7</v>
      </c>
      <c r="I130" s="9">
        <f>IFERROR(__xludf.DUMMYFUNCTION("""COMPUTED_VALUE"""),81.0)</f>
        <v>81</v>
      </c>
      <c r="J130" s="9">
        <f>IFERROR(__xludf.DUMMYFUNCTION("""COMPUTED_VALUE"""),61.61)</f>
        <v>61.61</v>
      </c>
      <c r="Q130" s="12" t="str">
        <f t="shared" ref="Q130:S130" si="134">IF(H130&gt;M$5, $G130, "")</f>
        <v/>
      </c>
      <c r="R130" s="13" t="str">
        <f t="shared" si="134"/>
        <v/>
      </c>
      <c r="S130" s="14" t="str">
        <f t="shared" si="134"/>
        <v/>
      </c>
    </row>
    <row r="131">
      <c r="A131" s="1" t="s">
        <v>144</v>
      </c>
      <c r="G131" s="9" t="str">
        <f>IFERROR(__xludf.DUMMYFUNCTION("SPLIT(A131,"","")"),"./src/main/java/org/jfree/chart/entity/PlotEntity.java")</f>
        <v>./src/main/java/org/jfree/chart/entity/PlotEntity.java</v>
      </c>
      <c r="H131" s="9">
        <f>IFERROR(__xludf.DUMMYFUNCTION("""COMPUTED_VALUE"""),10.0)</f>
        <v>10</v>
      </c>
      <c r="I131" s="9">
        <f>IFERROR(__xludf.DUMMYFUNCTION("""COMPUTED_VALUE"""),79.0)</f>
        <v>79</v>
      </c>
      <c r="J131" s="9">
        <f>IFERROR(__xludf.DUMMYFUNCTION("""COMPUTED_VALUE"""),58.42)</f>
        <v>58.42</v>
      </c>
      <c r="Q131" s="12" t="str">
        <f t="shared" ref="Q131:S131" si="135">IF(H131&gt;M$5, $G131, "")</f>
        <v/>
      </c>
      <c r="R131" s="13" t="str">
        <f t="shared" si="135"/>
        <v/>
      </c>
      <c r="S131" s="14" t="str">
        <f t="shared" si="135"/>
        <v/>
      </c>
    </row>
    <row r="132">
      <c r="A132" s="1" t="s">
        <v>145</v>
      </c>
      <c r="G132" s="9" t="str">
        <f>IFERROR(__xludf.DUMMYFUNCTION("SPLIT(A132,"","")"),"./src/main/java/org/jfree/chart/entity/StandardEntityCollection.java")</f>
        <v>./src/main/java/org/jfree/chart/entity/StandardEntityCollection.java</v>
      </c>
      <c r="H132" s="9">
        <f>IFERROR(__xludf.DUMMYFUNCTION("""COMPUTED_VALUE"""),8.0)</f>
        <v>8</v>
      </c>
      <c r="I132" s="9">
        <f>IFERROR(__xludf.DUMMYFUNCTION("""COMPUTED_VALUE"""),86.0)</f>
        <v>86</v>
      </c>
      <c r="J132" s="9">
        <f>IFERROR(__xludf.DUMMYFUNCTION("""COMPUTED_VALUE"""),54.74)</f>
        <v>54.74</v>
      </c>
      <c r="Q132" s="12" t="str">
        <f t="shared" ref="Q132:S132" si="136">IF(H132&gt;M$5, $G132, "")</f>
        <v/>
      </c>
      <c r="R132" s="13" t="str">
        <f t="shared" si="136"/>
        <v/>
      </c>
      <c r="S132" s="14" t="str">
        <f t="shared" si="136"/>
        <v/>
      </c>
    </row>
    <row r="133">
      <c r="A133" s="1" t="s">
        <v>146</v>
      </c>
      <c r="G133" s="9" t="str">
        <f>IFERROR(__xludf.DUMMYFUNCTION("SPLIT(A133,"","")"),"./src/main/java/org/jfree/chart/entity/TickLabelEntity.java")</f>
        <v>./src/main/java/org/jfree/chart/entity/TickLabelEntity.java</v>
      </c>
      <c r="H133" s="9">
        <f>IFERROR(__xludf.DUMMYFUNCTION("""COMPUTED_VALUE"""),3.0)</f>
        <v>3</v>
      </c>
      <c r="I133" s="9">
        <f>IFERROR(__xludf.DUMMYFUNCTION("""COMPUTED_VALUE"""),10.0)</f>
        <v>10</v>
      </c>
      <c r="J133" s="9">
        <f>IFERROR(__xludf.DUMMYFUNCTION("""COMPUTED_VALUE"""),82.46)</f>
        <v>82.46</v>
      </c>
      <c r="Q133" s="12" t="str">
        <f t="shared" ref="Q133:S133" si="137">IF(H133&gt;M$5, $G133, "")</f>
        <v/>
      </c>
      <c r="R133" s="13" t="str">
        <f t="shared" si="137"/>
        <v/>
      </c>
      <c r="S133" s="14" t="str">
        <f t="shared" si="137"/>
        <v/>
      </c>
    </row>
    <row r="134">
      <c r="A134" s="1" t="s">
        <v>147</v>
      </c>
      <c r="G134" s="9" t="str">
        <f>IFERROR(__xludf.DUMMYFUNCTION("SPLIT(A134,"","")"),"./src/main/java/org/jfree/chart/entity/TitleEntity.java")</f>
        <v>./src/main/java/org/jfree/chart/entity/TitleEntity.java</v>
      </c>
      <c r="H134" s="9">
        <f>IFERROR(__xludf.DUMMYFUNCTION("""COMPUTED_VALUE"""),10.0)</f>
        <v>10</v>
      </c>
      <c r="I134" s="9">
        <f>IFERROR(__xludf.DUMMYFUNCTION("""COMPUTED_VALUE"""),79.0)</f>
        <v>79</v>
      </c>
      <c r="J134" s="9">
        <f>IFERROR(__xludf.DUMMYFUNCTION("""COMPUTED_VALUE"""),58.42)</f>
        <v>58.42</v>
      </c>
      <c r="Q134" s="12" t="str">
        <f t="shared" ref="Q134:S134" si="138">IF(H134&gt;M$5, $G134, "")</f>
        <v/>
      </c>
      <c r="R134" s="13" t="str">
        <f t="shared" si="138"/>
        <v/>
      </c>
      <c r="S134" s="14" t="str">
        <f t="shared" si="138"/>
        <v/>
      </c>
    </row>
    <row r="135">
      <c r="A135" s="1" t="s">
        <v>148</v>
      </c>
      <c r="G135" s="9" t="str">
        <f>IFERROR(__xludf.DUMMYFUNCTION("SPLIT(A135,"","")"),"./src/main/java/org/jfree/chart/entity/XYAnnotationEntity.java")</f>
        <v>./src/main/java/org/jfree/chart/entity/XYAnnotationEntity.java</v>
      </c>
      <c r="H135" s="9">
        <f>IFERROR(__xludf.DUMMYFUNCTION("""COMPUTED_VALUE"""),3.0)</f>
        <v>3</v>
      </c>
      <c r="I135" s="9">
        <f>IFERROR(__xludf.DUMMYFUNCTION("""COMPUTED_VALUE"""),35.0)</f>
        <v>35</v>
      </c>
      <c r="J135" s="9">
        <f>IFERROR(__xludf.DUMMYFUNCTION("""COMPUTED_VALUE"""),65.35)</f>
        <v>65.35</v>
      </c>
      <c r="Q135" s="12" t="str">
        <f t="shared" ref="Q135:S135" si="139">IF(H135&gt;M$5, $G135, "")</f>
        <v/>
      </c>
      <c r="R135" s="13" t="str">
        <f t="shared" si="139"/>
        <v/>
      </c>
      <c r="S135" s="14" t="str">
        <f t="shared" si="139"/>
        <v/>
      </c>
    </row>
    <row r="136">
      <c r="A136" s="1" t="s">
        <v>149</v>
      </c>
      <c r="G136" s="9" t="str">
        <f>IFERROR(__xludf.DUMMYFUNCTION("SPLIT(A136,"","")"),"./src/main/java/org/jfree/chart/entity/XYItemEntity.java")</f>
        <v>./src/main/java/org/jfree/chart/entity/XYItemEntity.java</v>
      </c>
      <c r="H136" s="9">
        <f>IFERROR(__xludf.DUMMYFUNCTION("""COMPUTED_VALUE"""),3.0)</f>
        <v>3</v>
      </c>
      <c r="I136" s="9">
        <f>IFERROR(__xludf.DUMMYFUNCTION("""COMPUTED_VALUE"""),56.0)</f>
        <v>56</v>
      </c>
      <c r="J136" s="9">
        <f>IFERROR(__xludf.DUMMYFUNCTION("""COMPUTED_VALUE"""),63.4)</f>
        <v>63.4</v>
      </c>
      <c r="Q136" s="12" t="str">
        <f t="shared" ref="Q136:S136" si="140">IF(H136&gt;M$5, $G136, "")</f>
        <v/>
      </c>
      <c r="R136" s="13" t="str">
        <f t="shared" si="140"/>
        <v/>
      </c>
      <c r="S136" s="14" t="str">
        <f t="shared" si="140"/>
        <v/>
      </c>
    </row>
    <row r="137">
      <c r="A137" s="1" t="s">
        <v>150</v>
      </c>
      <c r="G137" s="9" t="str">
        <f>IFERROR(__xludf.DUMMYFUNCTION("SPLIT(A137,"","")"),"./src/main/java/org/jfree/chart/event/AnnotationChangeEvent.java")</f>
        <v>./src/main/java/org/jfree/chart/event/AnnotationChangeEvent.java</v>
      </c>
      <c r="H137" s="9">
        <f>IFERROR(__xludf.DUMMYFUNCTION("""COMPUTED_VALUE"""),7.0)</f>
        <v>7</v>
      </c>
      <c r="I137" s="9">
        <f>IFERROR(__xludf.DUMMYFUNCTION("""COMPUTED_VALUE"""),14.0)</f>
        <v>14</v>
      </c>
      <c r="J137" s="9">
        <f>IFERROR(__xludf.DUMMYFUNCTION("""COMPUTED_VALUE"""),78.79)</f>
        <v>78.79</v>
      </c>
      <c r="Q137" s="12" t="str">
        <f t="shared" ref="Q137:S137" si="141">IF(H137&gt;M$5, $G137, "")</f>
        <v/>
      </c>
      <c r="R137" s="13" t="str">
        <f t="shared" si="141"/>
        <v/>
      </c>
      <c r="S137" s="14" t="str">
        <f t="shared" si="141"/>
        <v/>
      </c>
    </row>
    <row r="138">
      <c r="A138" s="1" t="s">
        <v>151</v>
      </c>
      <c r="G138" s="9" t="str">
        <f>IFERROR(__xludf.DUMMYFUNCTION("SPLIT(A138,"","")"),"./src/main/java/org/jfree/chart/event/AnnotationChangeListener.java")</f>
        <v>./src/main/java/org/jfree/chart/event/AnnotationChangeListener.java</v>
      </c>
      <c r="H138" s="9">
        <f>IFERROR(__xludf.DUMMYFUNCTION("""COMPUTED_VALUE"""),5.0)</f>
        <v>5</v>
      </c>
      <c r="I138" s="9">
        <f>IFERROR(__xludf.DUMMYFUNCTION("""COMPUTED_VALUE"""),6.0)</f>
        <v>6</v>
      </c>
      <c r="J138" s="9">
        <f>IFERROR(__xludf.DUMMYFUNCTION("""COMPUTED_VALUE"""),88.0)</f>
        <v>88</v>
      </c>
      <c r="Q138" s="12" t="str">
        <f t="shared" ref="Q138:S138" si="142">IF(H138&gt;M$5, $G138, "")</f>
        <v/>
      </c>
      <c r="R138" s="13" t="str">
        <f t="shared" si="142"/>
        <v/>
      </c>
      <c r="S138" s="14" t="str">
        <f t="shared" si="142"/>
        <v/>
      </c>
    </row>
    <row r="139">
      <c r="A139" s="1" t="s">
        <v>152</v>
      </c>
      <c r="G139" s="9" t="str">
        <f>IFERROR(__xludf.DUMMYFUNCTION("SPLIT(A139,"","")"),"./src/main/java/org/jfree/chart/event/AxisChangeEvent.java")</f>
        <v>./src/main/java/org/jfree/chart/event/AxisChangeEvent.java</v>
      </c>
      <c r="H139" s="9">
        <f>IFERROR(__xludf.DUMMYFUNCTION("""COMPUTED_VALUE"""),3.0)</f>
        <v>3</v>
      </c>
      <c r="I139" s="9">
        <f>IFERROR(__xludf.DUMMYFUNCTION("""COMPUTED_VALUE"""),12.0)</f>
        <v>12</v>
      </c>
      <c r="J139" s="9">
        <f>IFERROR(__xludf.DUMMYFUNCTION("""COMPUTED_VALUE"""),80.65)</f>
        <v>80.65</v>
      </c>
      <c r="Q139" s="12" t="str">
        <f t="shared" ref="Q139:S139" si="143">IF(H139&gt;M$5, $G139, "")</f>
        <v/>
      </c>
      <c r="R139" s="13" t="str">
        <f t="shared" si="143"/>
        <v/>
      </c>
      <c r="S139" s="14" t="str">
        <f t="shared" si="143"/>
        <v/>
      </c>
    </row>
    <row r="140">
      <c r="A140" s="1" t="s">
        <v>153</v>
      </c>
      <c r="G140" s="9" t="str">
        <f>IFERROR(__xludf.DUMMYFUNCTION("SPLIT(A140,"","")"),"./src/main/java/org/jfree/chart/event/AxisChangeListener.java")</f>
        <v>./src/main/java/org/jfree/chart/event/AxisChangeListener.java</v>
      </c>
      <c r="H140" s="9">
        <f>IFERROR(__xludf.DUMMYFUNCTION("""COMPUTED_VALUE"""),4.0)</f>
        <v>4</v>
      </c>
      <c r="I140" s="9">
        <f>IFERROR(__xludf.DUMMYFUNCTION("""COMPUTED_VALUE"""),5.0)</f>
        <v>5</v>
      </c>
      <c r="J140" s="9">
        <f>IFERROR(__xludf.DUMMYFUNCTION("""COMPUTED_VALUE"""),90.91)</f>
        <v>90.91</v>
      </c>
      <c r="Q140" s="12" t="str">
        <f t="shared" ref="Q140:S140" si="144">IF(H140&gt;M$5, $G140, "")</f>
        <v/>
      </c>
      <c r="R140" s="13" t="str">
        <f t="shared" si="144"/>
        <v/>
      </c>
      <c r="S140" s="14" t="str">
        <f t="shared" si="144"/>
        <v/>
      </c>
    </row>
    <row r="141">
      <c r="A141" s="1" t="s">
        <v>154</v>
      </c>
      <c r="G141" s="9" t="str">
        <f>IFERROR(__xludf.DUMMYFUNCTION("SPLIT(A141,"","")"),"./src/main/java/org/jfree/chart/event/ChartChangeEvent.java")</f>
        <v>./src/main/java/org/jfree/chart/event/ChartChangeEvent.java</v>
      </c>
      <c r="H141" s="9">
        <f>IFERROR(__xludf.DUMMYFUNCTION("""COMPUTED_VALUE"""),4.0)</f>
        <v>4</v>
      </c>
      <c r="I141" s="9">
        <f>IFERROR(__xludf.DUMMYFUNCTION("""COMPUTED_VALUE"""),34.0)</f>
        <v>34</v>
      </c>
      <c r="J141" s="9">
        <f>IFERROR(__xludf.DUMMYFUNCTION("""COMPUTED_VALUE"""),70.43)</f>
        <v>70.43</v>
      </c>
      <c r="Q141" s="12" t="str">
        <f t="shared" ref="Q141:S141" si="145">IF(H141&gt;M$5, $G141, "")</f>
        <v/>
      </c>
      <c r="R141" s="13" t="str">
        <f t="shared" si="145"/>
        <v/>
      </c>
      <c r="S141" s="14" t="str">
        <f t="shared" si="145"/>
        <v/>
      </c>
    </row>
    <row r="142">
      <c r="A142" s="1" t="s">
        <v>155</v>
      </c>
      <c r="G142" s="9" t="str">
        <f>IFERROR(__xludf.DUMMYFUNCTION("SPLIT(A142,"","")"),"./src/main/java/org/jfree/chart/event/ChartChangeEventType.java")</f>
        <v>./src/main/java/org/jfree/chart/event/ChartChangeEventType.java</v>
      </c>
      <c r="H142" s="9">
        <f>IFERROR(__xludf.DUMMYFUNCTION("""COMPUTED_VALUE"""),6.0)</f>
        <v>6</v>
      </c>
      <c r="I142" s="9">
        <f>IFERROR(__xludf.DUMMYFUNCTION("""COMPUTED_VALUE"""),6.0)</f>
        <v>6</v>
      </c>
      <c r="J142" s="9">
        <f>IFERROR(__xludf.DUMMYFUNCTION("""COMPUTED_VALUE"""),87.23)</f>
        <v>87.23</v>
      </c>
      <c r="Q142" s="12" t="str">
        <f t="shared" ref="Q142:S142" si="146">IF(H142&gt;M$5, $G142, "")</f>
        <v/>
      </c>
      <c r="R142" s="13" t="str">
        <f t="shared" si="146"/>
        <v/>
      </c>
      <c r="S142" s="14" t="str">
        <f t="shared" si="146"/>
        <v/>
      </c>
    </row>
    <row r="143">
      <c r="A143" s="1" t="s">
        <v>156</v>
      </c>
      <c r="G143" s="9" t="str">
        <f>IFERROR(__xludf.DUMMYFUNCTION("SPLIT(A143,"","")"),"./src/main/java/org/jfree/chart/event/ChartChangeListener.java")</f>
        <v>./src/main/java/org/jfree/chart/event/ChartChangeListener.java</v>
      </c>
      <c r="H143" s="9">
        <f>IFERROR(__xludf.DUMMYFUNCTION("""COMPUTED_VALUE"""),5.0)</f>
        <v>5</v>
      </c>
      <c r="I143" s="9">
        <f>IFERROR(__xludf.DUMMYFUNCTION("""COMPUTED_VALUE"""),5.0)</f>
        <v>5</v>
      </c>
      <c r="J143" s="9">
        <f>IFERROR(__xludf.DUMMYFUNCTION("""COMPUTED_VALUE"""),90.38)</f>
        <v>90.38</v>
      </c>
      <c r="Q143" s="12" t="str">
        <f t="shared" ref="Q143:S143" si="147">IF(H143&gt;M$5, $G143, "")</f>
        <v/>
      </c>
      <c r="R143" s="13" t="str">
        <f t="shared" si="147"/>
        <v/>
      </c>
      <c r="S143" s="14" t="str">
        <f t="shared" si="147"/>
        <v/>
      </c>
    </row>
    <row r="144">
      <c r="A144" s="1" t="s">
        <v>157</v>
      </c>
      <c r="G144" s="9" t="str">
        <f>IFERROR(__xludf.DUMMYFUNCTION("SPLIT(A144,"","")"),"./src/main/java/org/jfree/chart/event/ChartProgressEvent.java")</f>
        <v>./src/main/java/org/jfree/chart/event/ChartProgressEvent.java</v>
      </c>
      <c r="H144" s="9">
        <f>IFERROR(__xludf.DUMMYFUNCTION("""COMPUTED_VALUE"""),4.0)</f>
        <v>4</v>
      </c>
      <c r="I144" s="9">
        <f>IFERROR(__xludf.DUMMYFUNCTION("""COMPUTED_VALUE"""),35.0)</f>
        <v>35</v>
      </c>
      <c r="J144" s="9">
        <f>IFERROR(__xludf.DUMMYFUNCTION("""COMPUTED_VALUE"""),69.57)</f>
        <v>69.57</v>
      </c>
      <c r="Q144" s="12" t="str">
        <f t="shared" ref="Q144:S144" si="148">IF(H144&gt;M$5, $G144, "")</f>
        <v/>
      </c>
      <c r="R144" s="13" t="str">
        <f t="shared" si="148"/>
        <v/>
      </c>
      <c r="S144" s="14" t="str">
        <f t="shared" si="148"/>
        <v/>
      </c>
    </row>
    <row r="145">
      <c r="A145" s="1" t="s">
        <v>158</v>
      </c>
      <c r="G145" s="9" t="str">
        <f>IFERROR(__xludf.DUMMYFUNCTION("SPLIT(A145,"","")"),"./src/main/java/org/jfree/chart/event/ChartProgressEventType.java")</f>
        <v>./src/main/java/org/jfree/chart/event/ChartProgressEventType.java</v>
      </c>
      <c r="H145" s="9">
        <f>IFERROR(__xludf.DUMMYFUNCTION("""COMPUTED_VALUE"""),3.0)</f>
        <v>3</v>
      </c>
      <c r="I145" s="9">
        <f>IFERROR(__xludf.DUMMYFUNCTION("""COMPUTED_VALUE"""),5.0)</f>
        <v>5</v>
      </c>
      <c r="J145" s="9">
        <f>IFERROR(__xludf.DUMMYFUNCTION("""COMPUTED_VALUE"""),88.89)</f>
        <v>88.89</v>
      </c>
      <c r="Q145" s="12" t="str">
        <f t="shared" ref="Q145:S145" si="149">IF(H145&gt;M$5, $G145, "")</f>
        <v/>
      </c>
      <c r="R145" s="13" t="str">
        <f t="shared" si="149"/>
        <v/>
      </c>
      <c r="S145" s="14" t="str">
        <f t="shared" si="149"/>
        <v/>
      </c>
    </row>
    <row r="146">
      <c r="A146" s="1" t="s">
        <v>159</v>
      </c>
      <c r="G146" s="9" t="str">
        <f>IFERROR(__xludf.DUMMYFUNCTION("SPLIT(A146,"","")"),"./src/main/java/org/jfree/chart/event/ChartProgressListener.java")</f>
        <v>./src/main/java/org/jfree/chart/event/ChartProgressListener.java</v>
      </c>
      <c r="H146" s="9">
        <f>IFERROR(__xludf.DUMMYFUNCTION("""COMPUTED_VALUE"""),4.0)</f>
        <v>4</v>
      </c>
      <c r="I146" s="9">
        <f>IFERROR(__xludf.DUMMYFUNCTION("""COMPUTED_VALUE"""),5.0)</f>
        <v>5</v>
      </c>
      <c r="J146" s="9">
        <f>IFERROR(__xludf.DUMMYFUNCTION("""COMPUTED_VALUE"""),89.8)</f>
        <v>89.8</v>
      </c>
      <c r="Q146" s="12" t="str">
        <f t="shared" ref="Q146:S146" si="150">IF(H146&gt;M$5, $G146, "")</f>
        <v/>
      </c>
      <c r="R146" s="13" t="str">
        <f t="shared" si="150"/>
        <v/>
      </c>
      <c r="S146" s="14" t="str">
        <f t="shared" si="150"/>
        <v/>
      </c>
    </row>
    <row r="147">
      <c r="A147" s="1" t="s">
        <v>160</v>
      </c>
      <c r="G147" s="9" t="str">
        <f>IFERROR(__xludf.DUMMYFUNCTION("SPLIT(A147,"","")"),"./src/main/java/org/jfree/chart/event/MarkerChangeEvent.java")</f>
        <v>./src/main/java/org/jfree/chart/event/MarkerChangeEvent.java</v>
      </c>
      <c r="H147" s="9">
        <f>IFERROR(__xludf.DUMMYFUNCTION("""COMPUTED_VALUE"""),5.0)</f>
        <v>5</v>
      </c>
      <c r="I147" s="9">
        <f>IFERROR(__xludf.DUMMYFUNCTION("""COMPUTED_VALUE"""),12.0)</f>
        <v>12</v>
      </c>
      <c r="J147" s="9">
        <f>IFERROR(__xludf.DUMMYFUNCTION("""COMPUTED_VALUE"""),80.95)</f>
        <v>80.95</v>
      </c>
      <c r="Q147" s="12" t="str">
        <f t="shared" ref="Q147:S147" si="151">IF(H147&gt;M$5, $G147, "")</f>
        <v/>
      </c>
      <c r="R147" s="13" t="str">
        <f t="shared" si="151"/>
        <v/>
      </c>
      <c r="S147" s="14" t="str">
        <f t="shared" si="151"/>
        <v/>
      </c>
    </row>
    <row r="148">
      <c r="A148" s="1" t="s">
        <v>161</v>
      </c>
      <c r="G148" s="9" t="str">
        <f>IFERROR(__xludf.DUMMYFUNCTION("SPLIT(A148,"","")"),"./src/main/java/org/jfree/chart/event/MarkerChangeListener.java")</f>
        <v>./src/main/java/org/jfree/chart/event/MarkerChangeListener.java</v>
      </c>
      <c r="H148" s="9">
        <f>IFERROR(__xludf.DUMMYFUNCTION("""COMPUTED_VALUE"""),5.0)</f>
        <v>5</v>
      </c>
      <c r="I148" s="9">
        <f>IFERROR(__xludf.DUMMYFUNCTION("""COMPUTED_VALUE"""),6.0)</f>
        <v>6</v>
      </c>
      <c r="J148" s="9">
        <f>IFERROR(__xludf.DUMMYFUNCTION("""COMPUTED_VALUE"""),88.0)</f>
        <v>88</v>
      </c>
      <c r="Q148" s="12" t="str">
        <f t="shared" ref="Q148:S148" si="152">IF(H148&gt;M$5, $G148, "")</f>
        <v/>
      </c>
      <c r="R148" s="13" t="str">
        <f t="shared" si="152"/>
        <v/>
      </c>
      <c r="S148" s="14" t="str">
        <f t="shared" si="152"/>
        <v/>
      </c>
    </row>
    <row r="149">
      <c r="A149" s="1" t="s">
        <v>162</v>
      </c>
      <c r="G149" s="9" t="str">
        <f>IFERROR(__xludf.DUMMYFUNCTION("SPLIT(A149,"","")"),"./src/main/java/org/jfree/chart/event/PlotChangeEvent.java")</f>
        <v>./src/main/java/org/jfree/chart/event/PlotChangeEvent.java</v>
      </c>
      <c r="H149" s="9">
        <f>IFERROR(__xludf.DUMMYFUNCTION("""COMPUTED_VALUE"""),3.0)</f>
        <v>3</v>
      </c>
      <c r="I149" s="9">
        <f>IFERROR(__xludf.DUMMYFUNCTION("""COMPUTED_VALUE"""),12.0)</f>
        <v>12</v>
      </c>
      <c r="J149" s="9">
        <f>IFERROR(__xludf.DUMMYFUNCTION("""COMPUTED_VALUE"""),81.25)</f>
        <v>81.25</v>
      </c>
      <c r="Q149" s="12" t="str">
        <f t="shared" ref="Q149:S149" si="153">IF(H149&gt;M$5, $G149, "")</f>
        <v/>
      </c>
      <c r="R149" s="13" t="str">
        <f t="shared" si="153"/>
        <v/>
      </c>
      <c r="S149" s="14" t="str">
        <f t="shared" si="153"/>
        <v/>
      </c>
    </row>
    <row r="150">
      <c r="A150" s="1" t="s">
        <v>163</v>
      </c>
      <c r="G150" s="9" t="str">
        <f>IFERROR(__xludf.DUMMYFUNCTION("SPLIT(A150,"","")"),"./src/main/java/org/jfree/chart/event/PlotChangeListener.java")</f>
        <v>./src/main/java/org/jfree/chart/event/PlotChangeListener.java</v>
      </c>
      <c r="H150" s="9">
        <f>IFERROR(__xludf.DUMMYFUNCTION("""COMPUTED_VALUE"""),4.0)</f>
        <v>4</v>
      </c>
      <c r="I150" s="9">
        <f>IFERROR(__xludf.DUMMYFUNCTION("""COMPUTED_VALUE"""),5.0)</f>
        <v>5</v>
      </c>
      <c r="J150" s="9">
        <f>IFERROR(__xludf.DUMMYFUNCTION("""COMPUTED_VALUE"""),90.0)</f>
        <v>90</v>
      </c>
      <c r="Q150" s="12" t="str">
        <f t="shared" ref="Q150:S150" si="154">IF(H150&gt;M$5, $G150, "")</f>
        <v/>
      </c>
      <c r="R150" s="13" t="str">
        <f t="shared" si="154"/>
        <v/>
      </c>
      <c r="S150" s="14" t="str">
        <f t="shared" si="154"/>
        <v/>
      </c>
    </row>
    <row r="151">
      <c r="A151" s="1" t="s">
        <v>164</v>
      </c>
      <c r="G151" s="9" t="str">
        <f>IFERROR(__xludf.DUMMYFUNCTION("SPLIT(A151,"","")"),"./src/main/java/org/jfree/chart/event/RendererChangeEvent.java")</f>
        <v>./src/main/java/org/jfree/chart/event/RendererChangeEvent.java</v>
      </c>
      <c r="H151" s="9">
        <f>IFERROR(__xludf.DUMMYFUNCTION("""COMPUTED_VALUE"""),5.0)</f>
        <v>5</v>
      </c>
      <c r="I151" s="9">
        <f>IFERROR(__xludf.DUMMYFUNCTION("""COMPUTED_VALUE"""),19.0)</f>
        <v>19</v>
      </c>
      <c r="J151" s="9">
        <f>IFERROR(__xludf.DUMMYFUNCTION("""COMPUTED_VALUE"""),78.16)</f>
        <v>78.16</v>
      </c>
      <c r="Q151" s="12" t="str">
        <f t="shared" ref="Q151:S151" si="155">IF(H151&gt;M$5, $G151, "")</f>
        <v/>
      </c>
      <c r="R151" s="13" t="str">
        <f t="shared" si="155"/>
        <v/>
      </c>
      <c r="S151" s="14" t="str">
        <f t="shared" si="155"/>
        <v/>
      </c>
    </row>
    <row r="152">
      <c r="A152" s="1" t="s">
        <v>165</v>
      </c>
      <c r="G152" s="9" t="str">
        <f>IFERROR(__xludf.DUMMYFUNCTION("SPLIT(A152,"","")"),"./src/main/java/org/jfree/chart/event/RendererChangeListener.java")</f>
        <v>./src/main/java/org/jfree/chart/event/RendererChangeListener.java</v>
      </c>
      <c r="H152" s="9">
        <f>IFERROR(__xludf.DUMMYFUNCTION("""COMPUTED_VALUE"""),4.0)</f>
        <v>4</v>
      </c>
      <c r="I152" s="9">
        <f>IFERROR(__xludf.DUMMYFUNCTION("""COMPUTED_VALUE"""),5.0)</f>
        <v>5</v>
      </c>
      <c r="J152" s="9">
        <f>IFERROR(__xludf.DUMMYFUNCTION("""COMPUTED_VALUE"""),89.8)</f>
        <v>89.8</v>
      </c>
      <c r="Q152" s="12" t="str">
        <f t="shared" ref="Q152:S152" si="156">IF(H152&gt;M$5, $G152, "")</f>
        <v/>
      </c>
      <c r="R152" s="13" t="str">
        <f t="shared" si="156"/>
        <v/>
      </c>
      <c r="S152" s="14" t="str">
        <f t="shared" si="156"/>
        <v/>
      </c>
    </row>
    <row r="153">
      <c r="A153" s="1" t="s">
        <v>166</v>
      </c>
      <c r="G153" s="9" t="str">
        <f>IFERROR(__xludf.DUMMYFUNCTION("SPLIT(A153,"","")"),"./src/main/java/org/jfree/chart/event/TitleChangeEvent.java")</f>
        <v>./src/main/java/org/jfree/chart/event/TitleChangeEvent.java</v>
      </c>
      <c r="H153" s="9">
        <f>IFERROR(__xludf.DUMMYFUNCTION("""COMPUTED_VALUE"""),3.0)</f>
        <v>3</v>
      </c>
      <c r="I153" s="9">
        <f>IFERROR(__xludf.DUMMYFUNCTION("""COMPUTED_VALUE"""),12.0)</f>
        <v>12</v>
      </c>
      <c r="J153" s="9">
        <f>IFERROR(__xludf.DUMMYFUNCTION("""COMPUTED_VALUE"""),80.33)</f>
        <v>80.33</v>
      </c>
      <c r="Q153" s="12" t="str">
        <f t="shared" ref="Q153:S153" si="157">IF(H153&gt;M$5, $G153, "")</f>
        <v/>
      </c>
      <c r="R153" s="13" t="str">
        <f t="shared" si="157"/>
        <v/>
      </c>
      <c r="S153" s="14" t="str">
        <f t="shared" si="157"/>
        <v/>
      </c>
    </row>
    <row r="154">
      <c r="A154" s="1" t="s">
        <v>167</v>
      </c>
      <c r="G154" s="9" t="str">
        <f>IFERROR(__xludf.DUMMYFUNCTION("SPLIT(A154,"","")"),"./src/main/java/org/jfree/chart/event/TitleChangeListener.java")</f>
        <v>./src/main/java/org/jfree/chart/event/TitleChangeListener.java</v>
      </c>
      <c r="H154" s="9">
        <f>IFERROR(__xludf.DUMMYFUNCTION("""COMPUTED_VALUE"""),4.0)</f>
        <v>4</v>
      </c>
      <c r="I154" s="9">
        <f>IFERROR(__xludf.DUMMYFUNCTION("""COMPUTED_VALUE"""),5.0)</f>
        <v>5</v>
      </c>
      <c r="J154" s="9">
        <f>IFERROR(__xludf.DUMMYFUNCTION("""COMPUTED_VALUE"""),90.0)</f>
        <v>90</v>
      </c>
      <c r="Q154" s="12" t="str">
        <f t="shared" ref="Q154:S154" si="158">IF(H154&gt;M$5, $G154, "")</f>
        <v/>
      </c>
      <c r="R154" s="13" t="str">
        <f t="shared" si="158"/>
        <v/>
      </c>
      <c r="S154" s="14" t="str">
        <f t="shared" si="158"/>
        <v/>
      </c>
    </row>
    <row r="155">
      <c r="A155" s="1" t="s">
        <v>168</v>
      </c>
      <c r="G155" s="9" t="str">
        <f>IFERROR(__xludf.DUMMYFUNCTION("SPLIT(A155,"","")"),"./src/main/java/org/jfree/chart/imagemap/DynamicDriveToolTipTagFragmentGenerator.java")</f>
        <v>./src/main/java/org/jfree/chart/imagemap/DynamicDriveToolTipTagFragmentGenerator.java</v>
      </c>
      <c r="H155" s="9">
        <f>IFERROR(__xludf.DUMMYFUNCTION("""COMPUTED_VALUE"""),3.0)</f>
        <v>3</v>
      </c>
      <c r="I155" s="9">
        <f>IFERROR(__xludf.DUMMYFUNCTION("""COMPUTED_VALUE"""),20.0)</f>
        <v>20</v>
      </c>
      <c r="J155" s="9">
        <f>IFERROR(__xludf.DUMMYFUNCTION("""COMPUTED_VALUE"""),76.74)</f>
        <v>76.74</v>
      </c>
      <c r="Q155" s="12" t="str">
        <f t="shared" ref="Q155:S155" si="159">IF(H155&gt;M$5, $G155, "")</f>
        <v/>
      </c>
      <c r="R155" s="13" t="str">
        <f t="shared" si="159"/>
        <v/>
      </c>
      <c r="S155" s="14" t="str">
        <f t="shared" si="159"/>
        <v/>
      </c>
    </row>
    <row r="156">
      <c r="A156" s="1" t="s">
        <v>169</v>
      </c>
      <c r="G156" s="9" t="str">
        <f>IFERROR(__xludf.DUMMYFUNCTION("SPLIT(A156,"","")"),"./src/main/java/org/jfree/chart/imagemap/ImageMapUtils.java")</f>
        <v>./src/main/java/org/jfree/chart/imagemap/ImageMapUtils.java</v>
      </c>
      <c r="H156" s="9">
        <f>IFERROR(__xludf.DUMMYFUNCTION("""COMPUTED_VALUE"""),6.0)</f>
        <v>6</v>
      </c>
      <c r="I156" s="9">
        <f>IFERROR(__xludf.DUMMYFUNCTION("""COMPUTED_VALUE"""),123.0)</f>
        <v>123</v>
      </c>
      <c r="J156" s="9">
        <f>IFERROR(__xludf.DUMMYFUNCTION("""COMPUTED_VALUE"""),48.54)</f>
        <v>48.54</v>
      </c>
      <c r="Q156" s="12" t="str">
        <f t="shared" ref="Q156:S156" si="160">IF(H156&gt;M$5, $G156, "")</f>
        <v/>
      </c>
      <c r="R156" s="13" t="str">
        <f t="shared" si="160"/>
        <v/>
      </c>
      <c r="S156" s="14" t="str">
        <f t="shared" si="160"/>
        <v/>
      </c>
    </row>
    <row r="157">
      <c r="A157" s="1" t="s">
        <v>170</v>
      </c>
      <c r="G157" s="9" t="str">
        <f>IFERROR(__xludf.DUMMYFUNCTION("SPLIT(A157,"","")"),"./src/main/java/org/jfree/chart/imagemap/OverLIBToolTipTagFragmentGenerator.java")</f>
        <v>./src/main/java/org/jfree/chart/imagemap/OverLIBToolTipTagFragmentGenerator.java</v>
      </c>
      <c r="H157" s="9">
        <f>IFERROR(__xludf.DUMMYFUNCTION("""COMPUTED_VALUE"""),3.0)</f>
        <v>3</v>
      </c>
      <c r="I157" s="9">
        <f>IFERROR(__xludf.DUMMYFUNCTION("""COMPUTED_VALUE"""),13.0)</f>
        <v>13</v>
      </c>
      <c r="J157" s="9">
        <f>IFERROR(__xludf.DUMMYFUNCTION("""COMPUTED_VALUE"""),81.16)</f>
        <v>81.16</v>
      </c>
      <c r="Q157" s="12" t="str">
        <f t="shared" ref="Q157:S157" si="161">IF(H157&gt;M$5, $G157, "")</f>
        <v/>
      </c>
      <c r="R157" s="13" t="str">
        <f t="shared" si="161"/>
        <v/>
      </c>
      <c r="S157" s="14" t="str">
        <f t="shared" si="161"/>
        <v/>
      </c>
    </row>
    <row r="158">
      <c r="A158" s="1" t="s">
        <v>171</v>
      </c>
      <c r="G158" s="9" t="str">
        <f>IFERROR(__xludf.DUMMYFUNCTION("SPLIT(A158,"","")"),"./src/main/java/org/jfree/chart/imagemap/StandardToolTipTagFragmentGenerator.java")</f>
        <v>./src/main/java/org/jfree/chart/imagemap/StandardToolTipTagFragmentGenerator.java</v>
      </c>
      <c r="H158" s="9">
        <f>IFERROR(__xludf.DUMMYFUNCTION("""COMPUTED_VALUE"""),3.0)</f>
        <v>3</v>
      </c>
      <c r="I158" s="9">
        <f>IFERROR(__xludf.DUMMYFUNCTION("""COMPUTED_VALUE"""),12.0)</f>
        <v>12</v>
      </c>
      <c r="J158" s="9">
        <f>IFERROR(__xludf.DUMMYFUNCTION("""COMPUTED_VALUE"""),81.54)</f>
        <v>81.54</v>
      </c>
      <c r="Q158" s="12" t="str">
        <f t="shared" ref="Q158:S158" si="162">IF(H158&gt;M$5, $G158, "")</f>
        <v/>
      </c>
      <c r="R158" s="13" t="str">
        <f t="shared" si="162"/>
        <v/>
      </c>
      <c r="S158" s="14" t="str">
        <f t="shared" si="162"/>
        <v/>
      </c>
    </row>
    <row r="159">
      <c r="A159" s="1" t="s">
        <v>172</v>
      </c>
      <c r="G159" s="9" t="str">
        <f>IFERROR(__xludf.DUMMYFUNCTION("SPLIT(A159,"","")"),"./src/main/java/org/jfree/chart/imagemap/StandardURLTagFragmentGenerator.java")</f>
        <v>./src/main/java/org/jfree/chart/imagemap/StandardURLTagFragmentGenerator.java</v>
      </c>
      <c r="H159" s="9">
        <f>IFERROR(__xludf.DUMMYFUNCTION("""COMPUTED_VALUE"""),2.0)</f>
        <v>2</v>
      </c>
      <c r="I159" s="9">
        <f>IFERROR(__xludf.DUMMYFUNCTION("""COMPUTED_VALUE"""),11.0)</f>
        <v>11</v>
      </c>
      <c r="J159" s="9">
        <f>IFERROR(__xludf.DUMMYFUNCTION("""COMPUTED_VALUE"""),83.33)</f>
        <v>83.33</v>
      </c>
      <c r="Q159" s="12" t="str">
        <f t="shared" ref="Q159:S159" si="163">IF(H159&gt;M$5, $G159, "")</f>
        <v/>
      </c>
      <c r="R159" s="13" t="str">
        <f t="shared" si="163"/>
        <v/>
      </c>
      <c r="S159" s="14" t="str">
        <f t="shared" si="163"/>
        <v/>
      </c>
    </row>
    <row r="160">
      <c r="A160" s="1" t="s">
        <v>173</v>
      </c>
      <c r="G160" s="9" t="str">
        <f>IFERROR(__xludf.DUMMYFUNCTION("SPLIT(A160,"","")"),"./src/main/java/org/jfree/chart/imagemap/ToolTipTagFragmentGenerator.java")</f>
        <v>./src/main/java/org/jfree/chart/imagemap/ToolTipTagFragmentGenerator.java</v>
      </c>
      <c r="H160" s="9">
        <f>IFERROR(__xludf.DUMMYFUNCTION("""COMPUTED_VALUE"""),4.0)</f>
        <v>4</v>
      </c>
      <c r="I160" s="9">
        <f>IFERROR(__xludf.DUMMYFUNCTION("""COMPUTED_VALUE"""),4.0)</f>
        <v>4</v>
      </c>
      <c r="J160" s="9">
        <f>IFERROR(__xludf.DUMMYFUNCTION("""COMPUTED_VALUE"""),93.44)</f>
        <v>93.44</v>
      </c>
      <c r="Q160" s="12" t="str">
        <f t="shared" ref="Q160:S160" si="164">IF(H160&gt;M$5, $G160, "")</f>
        <v/>
      </c>
      <c r="R160" s="13" t="str">
        <f t="shared" si="164"/>
        <v/>
      </c>
      <c r="S160" s="14" t="str">
        <f t="shared" si="164"/>
        <v/>
      </c>
    </row>
    <row r="161">
      <c r="A161" s="1" t="s">
        <v>174</v>
      </c>
      <c r="G161" s="9" t="str">
        <f>IFERROR(__xludf.DUMMYFUNCTION("SPLIT(A161,"","")"),"./src/main/java/org/jfree/chart/imagemap/URLTagFragmentGenerator.java")</f>
        <v>./src/main/java/org/jfree/chart/imagemap/URLTagFragmentGenerator.java</v>
      </c>
      <c r="H161" s="9">
        <f>IFERROR(__xludf.DUMMYFUNCTION("""COMPUTED_VALUE"""),4.0)</f>
        <v>4</v>
      </c>
      <c r="I161" s="9">
        <f>IFERROR(__xludf.DUMMYFUNCTION("""COMPUTED_VALUE"""),8.0)</f>
        <v>8</v>
      </c>
      <c r="J161" s="9">
        <f>IFERROR(__xludf.DUMMYFUNCTION("""COMPUTED_VALUE"""),87.1)</f>
        <v>87.1</v>
      </c>
      <c r="Q161" s="12" t="str">
        <f t="shared" ref="Q161:S161" si="165">IF(H161&gt;M$5, $G161, "")</f>
        <v/>
      </c>
      <c r="R161" s="13" t="str">
        <f t="shared" si="165"/>
        <v/>
      </c>
      <c r="S161" s="14" t="str">
        <f t="shared" si="165"/>
        <v/>
      </c>
    </row>
    <row r="162">
      <c r="A162" s="1" t="s">
        <v>175</v>
      </c>
      <c r="G162" s="9" t="str">
        <f>IFERROR(__xludf.DUMMYFUNCTION("SPLIT(A162,"","")"),"./src/main/java/org/jfree/chart/internal/Args.java")</f>
        <v>./src/main/java/org/jfree/chart/internal/Args.java</v>
      </c>
      <c r="H162" s="9">
        <f>IFERROR(__xludf.DUMMYFUNCTION("""COMPUTED_VALUE"""),3.0)</f>
        <v>3</v>
      </c>
      <c r="I162" s="9">
        <f>IFERROR(__xludf.DUMMYFUNCTION("""COMPUTED_VALUE"""),34.0)</f>
        <v>34</v>
      </c>
      <c r="J162" s="9">
        <f>IFERROR(__xludf.DUMMYFUNCTION("""COMPUTED_VALUE"""),70.18)</f>
        <v>70.18</v>
      </c>
      <c r="Q162" s="12" t="str">
        <f t="shared" ref="Q162:S162" si="166">IF(H162&gt;M$5, $G162, "")</f>
        <v/>
      </c>
      <c r="R162" s="13" t="str">
        <f t="shared" si="166"/>
        <v/>
      </c>
      <c r="S162" s="14" t="str">
        <f t="shared" si="166"/>
        <v/>
      </c>
    </row>
    <row r="163">
      <c r="A163" s="1" t="s">
        <v>176</v>
      </c>
      <c r="G163" s="9" t="str">
        <f>IFERROR(__xludf.DUMMYFUNCTION("SPLIT(A163,"","")"),"./src/main/java/org/jfree/chart/internal/ArrayUtils.java")</f>
        <v>./src/main/java/org/jfree/chart/internal/ArrayUtils.java</v>
      </c>
      <c r="H163" s="9">
        <f>IFERROR(__xludf.DUMMYFUNCTION("""COMPUTED_VALUE"""),2.0)</f>
        <v>2</v>
      </c>
      <c r="I163" s="9">
        <f>IFERROR(__xludf.DUMMYFUNCTION("""COMPUTED_VALUE"""),106.0)</f>
        <v>106</v>
      </c>
      <c r="J163" s="9">
        <f>IFERROR(__xludf.DUMMYFUNCTION("""COMPUTED_VALUE"""),43.62)</f>
        <v>43.62</v>
      </c>
      <c r="Q163" s="12" t="str">
        <f t="shared" ref="Q163:S163" si="167">IF(H163&gt;M$5, $G163, "")</f>
        <v/>
      </c>
      <c r="R163" s="13" t="str">
        <f t="shared" si="167"/>
        <v/>
      </c>
      <c r="S163" s="14" t="str">
        <f t="shared" si="167"/>
        <v/>
      </c>
    </row>
    <row r="164">
      <c r="A164" s="1" t="s">
        <v>177</v>
      </c>
      <c r="G164" s="9" t="str">
        <f>IFERROR(__xludf.DUMMYFUNCTION("SPLIT(A164,"","")"),"./src/main/java/org/jfree/chart/internal/CloneUtils.java")</f>
        <v>./src/main/java/org/jfree/chart/internal/CloneUtils.java</v>
      </c>
      <c r="H164" s="9">
        <f>IFERROR(__xludf.DUMMYFUNCTION("""COMPUTED_VALUE"""),6.0)</f>
        <v>6</v>
      </c>
      <c r="I164" s="9">
        <f>IFERROR(__xludf.DUMMYFUNCTION("""COMPUTED_VALUE"""),89.0)</f>
        <v>89</v>
      </c>
      <c r="J164" s="9">
        <f>IFERROR(__xludf.DUMMYFUNCTION("""COMPUTED_VALUE"""),48.85)</f>
        <v>48.85</v>
      </c>
      <c r="Q164" s="12" t="str">
        <f t="shared" ref="Q164:S164" si="168">IF(H164&gt;M$5, $G164, "")</f>
        <v/>
      </c>
      <c r="R164" s="13" t="str">
        <f t="shared" si="168"/>
        <v/>
      </c>
      <c r="S164" s="14" t="str">
        <f t="shared" si="168"/>
        <v/>
      </c>
    </row>
    <row r="165">
      <c r="A165" s="1" t="s">
        <v>178</v>
      </c>
      <c r="G165" s="9" t="str">
        <f>IFERROR(__xludf.DUMMYFUNCTION("SPLIT(A165,"","")"),"./src/main/java/org/jfree/chart/internal/HashUtils.java")</f>
        <v>./src/main/java/org/jfree/chart/internal/HashUtils.java</v>
      </c>
      <c r="H165" s="9">
        <f>IFERROR(__xludf.DUMMYFUNCTION("""COMPUTED_VALUE"""),7.0)</f>
        <v>7</v>
      </c>
      <c r="I165" s="9">
        <f>IFERROR(__xludf.DUMMYFUNCTION("""COMPUTED_VALUE"""),65.0)</f>
        <v>65</v>
      </c>
      <c r="J165" s="9">
        <f>IFERROR(__xludf.DUMMYFUNCTION("""COMPUTED_VALUE"""),66.15)</f>
        <v>66.15</v>
      </c>
      <c r="Q165" s="12" t="str">
        <f t="shared" ref="Q165:S165" si="169">IF(H165&gt;M$5, $G165, "")</f>
        <v/>
      </c>
      <c r="R165" s="13" t="str">
        <f t="shared" si="169"/>
        <v/>
      </c>
      <c r="S165" s="14" t="str">
        <f t="shared" si="169"/>
        <v/>
      </c>
    </row>
    <row r="166">
      <c r="A166" s="1" t="s">
        <v>179</v>
      </c>
      <c r="G166" s="9" t="str">
        <f>IFERROR(__xludf.DUMMYFUNCTION("SPLIT(A166,"","")"),"./src/main/java/org/jfree/chart/internal/LineUtils.java")</f>
        <v>./src/main/java/org/jfree/chart/internal/LineUtils.java</v>
      </c>
      <c r="H166" s="9">
        <f>IFERROR(__xludf.DUMMYFUNCTION("""COMPUTED_VALUE"""),3.0)</f>
        <v>3</v>
      </c>
      <c r="I166" s="9">
        <f>IFERROR(__xludf.DUMMYFUNCTION("""COMPUTED_VALUE"""),84.0)</f>
        <v>84</v>
      </c>
      <c r="J166" s="9">
        <f>IFERROR(__xludf.DUMMYFUNCTION("""COMPUTED_VALUE"""),44.37)</f>
        <v>44.37</v>
      </c>
      <c r="Q166" s="12" t="str">
        <f t="shared" ref="Q166:S166" si="170">IF(H166&gt;M$5, $G166, "")</f>
        <v/>
      </c>
      <c r="R166" s="13" t="str">
        <f t="shared" si="170"/>
        <v/>
      </c>
      <c r="S166" s="14" t="str">
        <f t="shared" si="170"/>
        <v/>
      </c>
    </row>
    <row r="167">
      <c r="A167" s="1" t="s">
        <v>180</v>
      </c>
      <c r="G167" s="9" t="str">
        <f>IFERROR(__xludf.DUMMYFUNCTION("SPLIT(A167,"","")"),"./src/main/java/org/jfree/chart/internal/PaintUtils.java")</f>
        <v>./src/main/java/org/jfree/chart/internal/PaintUtils.java</v>
      </c>
      <c r="H167" s="9">
        <f>IFERROR(__xludf.DUMMYFUNCTION("""COMPUTED_VALUE"""),3.0)</f>
        <v>3</v>
      </c>
      <c r="I167" s="9">
        <f>IFERROR(__xludf.DUMMYFUNCTION("""COMPUTED_VALUE"""),117.0)</f>
        <v>117</v>
      </c>
      <c r="J167" s="9">
        <f>IFERROR(__xludf.DUMMYFUNCTION("""COMPUTED_VALUE"""),41.79)</f>
        <v>41.79</v>
      </c>
      <c r="Q167" s="12" t="str">
        <f t="shared" ref="Q167:S167" si="171">IF(H167&gt;M$5, $G167, "")</f>
        <v/>
      </c>
      <c r="R167" s="13" t="str">
        <f t="shared" si="171"/>
        <v/>
      </c>
      <c r="S167" s="14" t="str">
        <f t="shared" si="171"/>
        <v/>
      </c>
    </row>
    <row r="168">
      <c r="A168" s="1" t="s">
        <v>181</v>
      </c>
      <c r="G168" s="9" t="str">
        <f>IFERROR(__xludf.DUMMYFUNCTION("SPLIT(A168,"","")"),"./src/main/java/org/jfree/chart/internal/SerialUtils.java")</f>
        <v>./src/main/java/org/jfree/chart/internal/SerialUtils.java</v>
      </c>
      <c r="H168" s="9">
        <f>IFERROR(__xludf.DUMMYFUNCTION("""COMPUTED_VALUE"""),4.0)</f>
        <v>4</v>
      </c>
      <c r="I168" s="9">
        <f>IFERROR(__xludf.DUMMYFUNCTION("""COMPUTED_VALUE"""),418.0)</f>
        <v>418</v>
      </c>
      <c r="J168" s="9">
        <f>IFERROR(__xludf.DUMMYFUNCTION("""COMPUTED_VALUE"""),34.07)</f>
        <v>34.07</v>
      </c>
      <c r="Q168" s="12" t="str">
        <f t="shared" ref="Q168:S168" si="172">IF(H168&gt;M$5, $G168, "")</f>
        <v/>
      </c>
      <c r="R168" s="13" t="str">
        <f t="shared" si="172"/>
        <v/>
      </c>
      <c r="S168" s="14" t="str">
        <f t="shared" si="172"/>
        <v/>
      </c>
    </row>
    <row r="169">
      <c r="A169" s="1" t="s">
        <v>182</v>
      </c>
      <c r="G169" s="9" t="str">
        <f>IFERROR(__xludf.DUMMYFUNCTION("SPLIT(A169,"","")"),"./src/main/java/org/jfree/chart/internal/ShapeUtils.java")</f>
        <v>./src/main/java/org/jfree/chart/internal/ShapeUtils.java</v>
      </c>
      <c r="H169" s="9">
        <f>IFERROR(__xludf.DUMMYFUNCTION("""COMPUTED_VALUE"""),5.0)</f>
        <v>5</v>
      </c>
      <c r="I169" s="9">
        <f>IFERROR(__xludf.DUMMYFUNCTION("""COMPUTED_VALUE"""),262.0)</f>
        <v>262</v>
      </c>
      <c r="J169" s="9">
        <f>IFERROR(__xludf.DUMMYFUNCTION("""COMPUTED_VALUE"""),46.42)</f>
        <v>46.42</v>
      </c>
      <c r="Q169" s="12" t="str">
        <f t="shared" ref="Q169:S169" si="173">IF(H169&gt;M$5, $G169, "")</f>
        <v/>
      </c>
      <c r="R169" s="13" t="str">
        <f t="shared" si="173"/>
        <v/>
      </c>
      <c r="S169" s="14" t="str">
        <f t="shared" si="173"/>
        <v/>
      </c>
    </row>
    <row r="170">
      <c r="A170" s="1" t="s">
        <v>183</v>
      </c>
      <c r="G170" s="9" t="str">
        <f>IFERROR(__xludf.DUMMYFUNCTION("SPLIT(A170,"","")"),"./src/main/java/org/jfree/chart/JFreeChart.java")</f>
        <v>./src/main/java/org/jfree/chart/JFreeChart.java</v>
      </c>
      <c r="H170" s="9">
        <f>IFERROR(__xludf.DUMMYFUNCTION("""COMPUTED_VALUE"""),24.0)</f>
        <v>24</v>
      </c>
      <c r="I170" s="9">
        <f>IFERROR(__xludf.DUMMYFUNCTION("""COMPUTED_VALUE"""),780.0)</f>
        <v>780</v>
      </c>
      <c r="J170" s="9">
        <f>IFERROR(__xludf.DUMMYFUNCTION("""COMPUTED_VALUE"""),48.14)</f>
        <v>48.14</v>
      </c>
      <c r="Q170" s="12" t="str">
        <f t="shared" ref="Q170:S170" si="174">IF(H170&gt;M$5, $G170, "")</f>
        <v>./src/main/java/org/jfree/chart/JFreeChart.java</v>
      </c>
      <c r="R170" s="13" t="str">
        <f t="shared" si="174"/>
        <v>./src/main/java/org/jfree/chart/JFreeChart.java</v>
      </c>
      <c r="S170" s="14" t="str">
        <f t="shared" si="174"/>
        <v/>
      </c>
    </row>
    <row r="171">
      <c r="A171" s="1" t="s">
        <v>184</v>
      </c>
      <c r="G171" s="9" t="str">
        <f>IFERROR(__xludf.DUMMYFUNCTION("SPLIT(A171,"","")"),"./src/main/java/org/jfree/chart/labels/AbstractCategoryItemLabelGenerator.java")</f>
        <v>./src/main/java/org/jfree/chart/labels/AbstractCategoryItemLabelGenerator.java</v>
      </c>
      <c r="H171" s="9">
        <f>IFERROR(__xludf.DUMMYFUNCTION("""COMPUTED_VALUE"""),12.0)</f>
        <v>12</v>
      </c>
      <c r="I171" s="9">
        <f>IFERROR(__xludf.DUMMYFUNCTION("""COMPUTED_VALUE"""),135.0)</f>
        <v>135</v>
      </c>
      <c r="J171" s="9">
        <f>IFERROR(__xludf.DUMMYFUNCTION("""COMPUTED_VALUE"""),52.8)</f>
        <v>52.8</v>
      </c>
      <c r="Q171" s="12" t="str">
        <f t="shared" ref="Q171:S171" si="175">IF(H171&gt;M$5, $G171, "")</f>
        <v/>
      </c>
      <c r="R171" s="13" t="str">
        <f t="shared" si="175"/>
        <v/>
      </c>
      <c r="S171" s="14" t="str">
        <f t="shared" si="175"/>
        <v/>
      </c>
    </row>
    <row r="172">
      <c r="A172" s="1" t="s">
        <v>185</v>
      </c>
      <c r="G172" s="9" t="str">
        <f>IFERROR(__xludf.DUMMYFUNCTION("SPLIT(A172,"","")"),"./src/main/java/org/jfree/chart/labels/AbstractPieItemLabelGenerator.java")</f>
        <v>./src/main/java/org/jfree/chart/labels/AbstractPieItemLabelGenerator.java</v>
      </c>
      <c r="H172" s="9">
        <f>IFERROR(__xludf.DUMMYFUNCTION("""COMPUTED_VALUE"""),7.0)</f>
        <v>7</v>
      </c>
      <c r="I172" s="9">
        <f>IFERROR(__xludf.DUMMYFUNCTION("""COMPUTED_VALUE"""),103.0)</f>
        <v>103</v>
      </c>
      <c r="J172" s="9">
        <f>IFERROR(__xludf.DUMMYFUNCTION("""COMPUTED_VALUE"""),51.64)</f>
        <v>51.64</v>
      </c>
      <c r="Q172" s="12" t="str">
        <f t="shared" ref="Q172:S172" si="176">IF(H172&gt;M$5, $G172, "")</f>
        <v/>
      </c>
      <c r="R172" s="13" t="str">
        <f t="shared" si="176"/>
        <v/>
      </c>
      <c r="S172" s="14" t="str">
        <f t="shared" si="176"/>
        <v/>
      </c>
    </row>
    <row r="173">
      <c r="A173" s="1" t="s">
        <v>186</v>
      </c>
      <c r="G173" s="9" t="str">
        <f>IFERROR(__xludf.DUMMYFUNCTION("SPLIT(A173,"","")"),"./src/main/java/org/jfree/chart/labels/AbstractXYItemLabelGenerator.java")</f>
        <v>./src/main/java/org/jfree/chart/labels/AbstractXYItemLabelGenerator.java</v>
      </c>
      <c r="H173" s="9">
        <f>IFERROR(__xludf.DUMMYFUNCTION("""COMPUTED_VALUE"""),10.0)</f>
        <v>10</v>
      </c>
      <c r="I173" s="9">
        <f>IFERROR(__xludf.DUMMYFUNCTION("""COMPUTED_VALUE"""),155.0)</f>
        <v>155</v>
      </c>
      <c r="J173" s="9">
        <f>IFERROR(__xludf.DUMMYFUNCTION("""COMPUTED_VALUE"""),50.79)</f>
        <v>50.79</v>
      </c>
      <c r="Q173" s="12" t="str">
        <f t="shared" ref="Q173:S173" si="177">IF(H173&gt;M$5, $G173, "")</f>
        <v/>
      </c>
      <c r="R173" s="13" t="str">
        <f t="shared" si="177"/>
        <v/>
      </c>
      <c r="S173" s="14" t="str">
        <f t="shared" si="177"/>
        <v/>
      </c>
    </row>
    <row r="174">
      <c r="A174" s="1" t="s">
        <v>187</v>
      </c>
      <c r="G174" s="9" t="str">
        <f>IFERROR(__xludf.DUMMYFUNCTION("SPLIT(A174,"","")"),"./src/main/java/org/jfree/chart/labels/BoxAndWhiskerToolTipGenerator.java")</f>
        <v>./src/main/java/org/jfree/chart/labels/BoxAndWhiskerToolTipGenerator.java</v>
      </c>
      <c r="H174" s="9">
        <f>IFERROR(__xludf.DUMMYFUNCTION("""COMPUTED_VALUE"""),5.0)</f>
        <v>5</v>
      </c>
      <c r="I174" s="9">
        <f>IFERROR(__xludf.DUMMYFUNCTION("""COMPUTED_VALUE"""),52.0)</f>
        <v>52</v>
      </c>
      <c r="J174" s="9">
        <f>IFERROR(__xludf.DUMMYFUNCTION("""COMPUTED_VALUE"""),60.9)</f>
        <v>60.9</v>
      </c>
      <c r="Q174" s="12" t="str">
        <f t="shared" ref="Q174:S174" si="178">IF(H174&gt;M$5, $G174, "")</f>
        <v/>
      </c>
      <c r="R174" s="13" t="str">
        <f t="shared" si="178"/>
        <v/>
      </c>
      <c r="S174" s="14" t="str">
        <f t="shared" si="178"/>
        <v/>
      </c>
    </row>
    <row r="175">
      <c r="A175" s="1" t="s">
        <v>188</v>
      </c>
      <c r="G175" s="9" t="str">
        <f>IFERROR(__xludf.DUMMYFUNCTION("SPLIT(A175,"","")"),"./src/main/java/org/jfree/chart/labels/BoxAndWhiskerXYToolTipGenerator.java")</f>
        <v>./src/main/java/org/jfree/chart/labels/BoxAndWhiskerXYToolTipGenerator.java</v>
      </c>
      <c r="H175" s="9">
        <f>IFERROR(__xludf.DUMMYFUNCTION("""COMPUTED_VALUE"""),3.0)</f>
        <v>3</v>
      </c>
      <c r="I175" s="9">
        <f>IFERROR(__xludf.DUMMYFUNCTION("""COMPUTED_VALUE"""),57.0)</f>
        <v>57</v>
      </c>
      <c r="J175" s="9">
        <f>IFERROR(__xludf.DUMMYFUNCTION("""COMPUTED_VALUE"""),59.86)</f>
        <v>59.86</v>
      </c>
      <c r="Q175" s="12" t="str">
        <f t="shared" ref="Q175:S175" si="179">IF(H175&gt;M$5, $G175, "")</f>
        <v/>
      </c>
      <c r="R175" s="13" t="str">
        <f t="shared" si="179"/>
        <v/>
      </c>
      <c r="S175" s="14" t="str">
        <f t="shared" si="179"/>
        <v/>
      </c>
    </row>
    <row r="176">
      <c r="A176" s="1" t="s">
        <v>189</v>
      </c>
      <c r="G176" s="9" t="str">
        <f>IFERROR(__xludf.DUMMYFUNCTION("SPLIT(A176,"","")"),"./src/main/java/org/jfree/chart/labels/BubbleXYItemLabelGenerator.java")</f>
        <v>./src/main/java/org/jfree/chart/labels/BubbleXYItemLabelGenerator.java</v>
      </c>
      <c r="H176" s="9">
        <f>IFERROR(__xludf.DUMMYFUNCTION("""COMPUTED_VALUE"""),9.0)</f>
        <v>9</v>
      </c>
      <c r="I176" s="9">
        <f>IFERROR(__xludf.DUMMYFUNCTION("""COMPUTED_VALUE"""),115.0)</f>
        <v>115</v>
      </c>
      <c r="J176" s="9">
        <f>IFERROR(__xludf.DUMMYFUNCTION("""COMPUTED_VALUE"""),52.48)</f>
        <v>52.48</v>
      </c>
      <c r="Q176" s="12" t="str">
        <f t="shared" ref="Q176:S176" si="180">IF(H176&gt;M$5, $G176, "")</f>
        <v/>
      </c>
      <c r="R176" s="13" t="str">
        <f t="shared" si="180"/>
        <v/>
      </c>
      <c r="S176" s="14" t="str">
        <f t="shared" si="180"/>
        <v/>
      </c>
    </row>
    <row r="177">
      <c r="A177" s="1" t="s">
        <v>190</v>
      </c>
      <c r="G177" s="9" t="str">
        <f>IFERROR(__xludf.DUMMYFUNCTION("SPLIT(A177,"","")"),"./src/main/java/org/jfree/chart/labels/CategoryItemLabelGenerator.java")</f>
        <v>./src/main/java/org/jfree/chart/labels/CategoryItemLabelGenerator.java</v>
      </c>
      <c r="H177" s="9">
        <f>IFERROR(__xludf.DUMMYFUNCTION("""COMPUTED_VALUE"""),6.0)</f>
        <v>6</v>
      </c>
      <c r="I177" s="9">
        <f>IFERROR(__xludf.DUMMYFUNCTION("""COMPUTED_VALUE"""),7.0)</f>
        <v>7</v>
      </c>
      <c r="J177" s="9">
        <f>IFERROR(__xludf.DUMMYFUNCTION("""COMPUTED_VALUE"""),90.91)</f>
        <v>90.91</v>
      </c>
      <c r="Q177" s="12" t="str">
        <f t="shared" ref="Q177:S177" si="181">IF(H177&gt;M$5, $G177, "")</f>
        <v/>
      </c>
      <c r="R177" s="13" t="str">
        <f t="shared" si="181"/>
        <v/>
      </c>
      <c r="S177" s="14" t="str">
        <f t="shared" si="181"/>
        <v/>
      </c>
    </row>
    <row r="178">
      <c r="A178" s="1" t="s">
        <v>191</v>
      </c>
      <c r="G178" s="9" t="str">
        <f>IFERROR(__xludf.DUMMYFUNCTION("SPLIT(A178,"","")"),"./src/main/java/org/jfree/chart/labels/CategorySeriesLabelGenerator.java")</f>
        <v>./src/main/java/org/jfree/chart/labels/CategorySeriesLabelGenerator.java</v>
      </c>
      <c r="H178" s="9">
        <f>IFERROR(__xludf.DUMMYFUNCTION("""COMPUTED_VALUE"""),5.0)</f>
        <v>5</v>
      </c>
      <c r="I178" s="9">
        <f>IFERROR(__xludf.DUMMYFUNCTION("""COMPUTED_VALUE"""),5.0)</f>
        <v>5</v>
      </c>
      <c r="J178" s="9">
        <f>IFERROR(__xludf.DUMMYFUNCTION("""COMPUTED_VALUE"""),91.07)</f>
        <v>91.07</v>
      </c>
      <c r="Q178" s="12" t="str">
        <f t="shared" ref="Q178:S178" si="182">IF(H178&gt;M$5, $G178, "")</f>
        <v/>
      </c>
      <c r="R178" s="13" t="str">
        <f t="shared" si="182"/>
        <v/>
      </c>
      <c r="S178" s="14" t="str">
        <f t="shared" si="182"/>
        <v/>
      </c>
    </row>
    <row r="179">
      <c r="A179" s="1" t="s">
        <v>192</v>
      </c>
      <c r="G179" s="9" t="str">
        <f>IFERROR(__xludf.DUMMYFUNCTION("SPLIT(A179,"","")"),"./src/main/java/org/jfree/chart/labels/CategoryToolTipGenerator.java")</f>
        <v>./src/main/java/org/jfree/chart/labels/CategoryToolTipGenerator.java</v>
      </c>
      <c r="H179" s="9">
        <f>IFERROR(__xludf.DUMMYFUNCTION("""COMPUTED_VALUE"""),5.0)</f>
        <v>5</v>
      </c>
      <c r="I179" s="9">
        <f>IFERROR(__xludf.DUMMYFUNCTION("""COMPUTED_VALUE"""),5.0)</f>
        <v>5</v>
      </c>
      <c r="J179" s="9">
        <f>IFERROR(__xludf.DUMMYFUNCTION("""COMPUTED_VALUE"""),91.8)</f>
        <v>91.8</v>
      </c>
      <c r="Q179" s="12" t="str">
        <f t="shared" ref="Q179:S179" si="183">IF(H179&gt;M$5, $G179, "")</f>
        <v/>
      </c>
      <c r="R179" s="13" t="str">
        <f t="shared" si="183"/>
        <v/>
      </c>
      <c r="S179" s="14" t="str">
        <f t="shared" si="183"/>
        <v/>
      </c>
    </row>
    <row r="180">
      <c r="A180" s="1" t="s">
        <v>193</v>
      </c>
      <c r="G180" s="9" t="str">
        <f>IFERROR(__xludf.DUMMYFUNCTION("SPLIT(A180,"","")"),"./src/main/java/org/jfree/chart/labels/CrosshairLabelGenerator.java")</f>
        <v>./src/main/java/org/jfree/chart/labels/CrosshairLabelGenerator.java</v>
      </c>
      <c r="H180" s="9">
        <f>IFERROR(__xludf.DUMMYFUNCTION("""COMPUTED_VALUE"""),5.0)</f>
        <v>5</v>
      </c>
      <c r="I180" s="9">
        <f>IFERROR(__xludf.DUMMYFUNCTION("""COMPUTED_VALUE"""),5.0)</f>
        <v>5</v>
      </c>
      <c r="J180" s="9">
        <f>IFERROR(__xludf.DUMMYFUNCTION("""COMPUTED_VALUE"""),90.0)</f>
        <v>90</v>
      </c>
      <c r="Q180" s="12" t="str">
        <f t="shared" ref="Q180:S180" si="184">IF(H180&gt;M$5, $G180, "")</f>
        <v/>
      </c>
      <c r="R180" s="13" t="str">
        <f t="shared" si="184"/>
        <v/>
      </c>
      <c r="S180" s="14" t="str">
        <f t="shared" si="184"/>
        <v/>
      </c>
    </row>
    <row r="181">
      <c r="A181" s="1" t="s">
        <v>194</v>
      </c>
      <c r="G181" s="9" t="str">
        <f>IFERROR(__xludf.DUMMYFUNCTION("SPLIT(A181,"","")"),"./src/main/java/org/jfree/chart/labels/CustomXYToolTipGenerator.java")</f>
        <v>./src/main/java/org/jfree/chart/labels/CustomXYToolTipGenerator.java</v>
      </c>
      <c r="H181" s="9">
        <f>IFERROR(__xludf.DUMMYFUNCTION("""COMPUTED_VALUE"""),5.0)</f>
        <v>5</v>
      </c>
      <c r="I181" s="9">
        <f>IFERROR(__xludf.DUMMYFUNCTION("""COMPUTED_VALUE"""),77.0)</f>
        <v>77</v>
      </c>
      <c r="J181" s="9">
        <f>IFERROR(__xludf.DUMMYFUNCTION("""COMPUTED_VALUE"""),54.44)</f>
        <v>54.44</v>
      </c>
      <c r="Q181" s="12" t="str">
        <f t="shared" ref="Q181:S181" si="185">IF(H181&gt;M$5, $G181, "")</f>
        <v/>
      </c>
      <c r="R181" s="13" t="str">
        <f t="shared" si="185"/>
        <v/>
      </c>
      <c r="S181" s="14" t="str">
        <f t="shared" si="185"/>
        <v/>
      </c>
    </row>
    <row r="182">
      <c r="A182" s="1" t="s">
        <v>195</v>
      </c>
      <c r="G182" s="9" t="str">
        <f>IFERROR(__xludf.DUMMYFUNCTION("SPLIT(A182,"","")"),"./src/main/java/org/jfree/chart/labels/FlowLabelGenerator.java")</f>
        <v>./src/main/java/org/jfree/chart/labels/FlowLabelGenerator.java</v>
      </c>
      <c r="H182" s="9">
        <f>IFERROR(__xludf.DUMMYFUNCTION("""COMPUTED_VALUE"""),2.0)</f>
        <v>2</v>
      </c>
      <c r="I182" s="9">
        <f>IFERROR(__xludf.DUMMYFUNCTION("""COMPUTED_VALUE"""),6.0)</f>
        <v>6</v>
      </c>
      <c r="J182" s="9">
        <f>IFERROR(__xludf.DUMMYFUNCTION("""COMPUTED_VALUE"""),88.89)</f>
        <v>88.89</v>
      </c>
      <c r="Q182" s="12" t="str">
        <f t="shared" ref="Q182:S182" si="186">IF(H182&gt;M$5, $G182, "")</f>
        <v/>
      </c>
      <c r="R182" s="13" t="str">
        <f t="shared" si="186"/>
        <v/>
      </c>
      <c r="S182" s="14" t="str">
        <f t="shared" si="186"/>
        <v/>
      </c>
    </row>
    <row r="183">
      <c r="A183" s="1" t="s">
        <v>196</v>
      </c>
      <c r="G183" s="9" t="str">
        <f>IFERROR(__xludf.DUMMYFUNCTION("SPLIT(A183,"","")"),"./src/main/java/org/jfree/chart/labels/HighLowItemLabelGenerator.java")</f>
        <v>./src/main/java/org/jfree/chart/labels/HighLowItemLabelGenerator.java</v>
      </c>
      <c r="H183" s="9">
        <f>IFERROR(__xludf.DUMMYFUNCTION("""COMPUTED_VALUE"""),6.0)</f>
        <v>6</v>
      </c>
      <c r="I183" s="9">
        <f>IFERROR(__xludf.DUMMYFUNCTION("""COMPUTED_VALUE"""),106.0)</f>
        <v>106</v>
      </c>
      <c r="J183" s="9">
        <f>IFERROR(__xludf.DUMMYFUNCTION("""COMPUTED_VALUE"""),46.46)</f>
        <v>46.46</v>
      </c>
      <c r="Q183" s="12" t="str">
        <f t="shared" ref="Q183:S183" si="187">IF(H183&gt;M$5, $G183, "")</f>
        <v/>
      </c>
      <c r="R183" s="13" t="str">
        <f t="shared" si="187"/>
        <v/>
      </c>
      <c r="S183" s="14" t="str">
        <f t="shared" si="187"/>
        <v/>
      </c>
    </row>
    <row r="184">
      <c r="A184" s="1" t="s">
        <v>197</v>
      </c>
      <c r="G184" s="9" t="str">
        <f>IFERROR(__xludf.DUMMYFUNCTION("SPLIT(A184,"","")"),"./src/main/java/org/jfree/chart/labels/IntervalCategoryItemLabelGenerator.java")</f>
        <v>./src/main/java/org/jfree/chart/labels/IntervalCategoryItemLabelGenerator.java</v>
      </c>
      <c r="H184" s="9">
        <f>IFERROR(__xludf.DUMMYFUNCTION("""COMPUTED_VALUE"""),6.0)</f>
        <v>6</v>
      </c>
      <c r="I184" s="9">
        <f>IFERROR(__xludf.DUMMYFUNCTION("""COMPUTED_VALUE"""),54.0)</f>
        <v>54</v>
      </c>
      <c r="J184" s="9">
        <f>IFERROR(__xludf.DUMMYFUNCTION("""COMPUTED_VALUE"""),55.74)</f>
        <v>55.74</v>
      </c>
      <c r="Q184" s="12" t="str">
        <f t="shared" ref="Q184:S184" si="188">IF(H184&gt;M$5, $G184, "")</f>
        <v/>
      </c>
      <c r="R184" s="13" t="str">
        <f t="shared" si="188"/>
        <v/>
      </c>
      <c r="S184" s="14" t="str">
        <f t="shared" si="188"/>
        <v/>
      </c>
    </row>
    <row r="185">
      <c r="A185" s="1" t="s">
        <v>198</v>
      </c>
      <c r="G185" s="9" t="str">
        <f>IFERROR(__xludf.DUMMYFUNCTION("SPLIT(A185,"","")"),"./src/main/java/org/jfree/chart/labels/IntervalCategoryToolTipGenerator.java")</f>
        <v>./src/main/java/org/jfree/chart/labels/IntervalCategoryToolTipGenerator.java</v>
      </c>
      <c r="H185" s="9">
        <f>IFERROR(__xludf.DUMMYFUNCTION("""COMPUTED_VALUE"""),4.0)</f>
        <v>4</v>
      </c>
      <c r="I185" s="9">
        <f>IFERROR(__xludf.DUMMYFUNCTION("""COMPUTED_VALUE"""),64.0)</f>
        <v>64</v>
      </c>
      <c r="J185" s="9">
        <f>IFERROR(__xludf.DUMMYFUNCTION("""COMPUTED_VALUE"""),54.61)</f>
        <v>54.61</v>
      </c>
      <c r="Q185" s="12" t="str">
        <f t="shared" ref="Q185:S185" si="189">IF(H185&gt;M$5, $G185, "")</f>
        <v/>
      </c>
      <c r="R185" s="13" t="str">
        <f t="shared" si="189"/>
        <v/>
      </c>
      <c r="S185" s="14" t="str">
        <f t="shared" si="189"/>
        <v/>
      </c>
    </row>
    <row r="186">
      <c r="A186" s="1" t="s">
        <v>199</v>
      </c>
      <c r="G186" s="9" t="str">
        <f>IFERROR(__xludf.DUMMYFUNCTION("SPLIT(A186,"","")"),"./src/main/java/org/jfree/chart/labels/IntervalXYItemLabelGenerator.java")</f>
        <v>./src/main/java/org/jfree/chart/labels/IntervalXYItemLabelGenerator.java</v>
      </c>
      <c r="H186" s="9">
        <f>IFERROR(__xludf.DUMMYFUNCTION("""COMPUTED_VALUE"""),6.0)</f>
        <v>6</v>
      </c>
      <c r="I186" s="9">
        <f>IFERROR(__xludf.DUMMYFUNCTION("""COMPUTED_VALUE"""),128.0)</f>
        <v>128</v>
      </c>
      <c r="J186" s="9">
        <f>IFERROR(__xludf.DUMMYFUNCTION("""COMPUTED_VALUE"""),48.18)</f>
        <v>48.18</v>
      </c>
      <c r="Q186" s="12" t="str">
        <f t="shared" ref="Q186:S186" si="190">IF(H186&gt;M$5, $G186, "")</f>
        <v/>
      </c>
      <c r="R186" s="13" t="str">
        <f t="shared" si="190"/>
        <v/>
      </c>
      <c r="S186" s="14" t="str">
        <f t="shared" si="190"/>
        <v/>
      </c>
    </row>
    <row r="187">
      <c r="A187" s="1" t="s">
        <v>200</v>
      </c>
      <c r="G187" s="9" t="str">
        <f>IFERROR(__xludf.DUMMYFUNCTION("SPLIT(A187,"","")"),"./src/main/java/org/jfree/chart/labels/IntervalXYToolTipGenerator.java")</f>
        <v>./src/main/java/org/jfree/chart/labels/IntervalXYToolTipGenerator.java</v>
      </c>
      <c r="H187" s="9">
        <f>IFERROR(__xludf.DUMMYFUNCTION("""COMPUTED_VALUE"""),6.0)</f>
        <v>6</v>
      </c>
      <c r="I187" s="9">
        <f>IFERROR(__xludf.DUMMYFUNCTION("""COMPUTED_VALUE"""),124.0)</f>
        <v>124</v>
      </c>
      <c r="J187" s="9">
        <f>IFERROR(__xludf.DUMMYFUNCTION("""COMPUTED_VALUE"""),48.97)</f>
        <v>48.97</v>
      </c>
      <c r="Q187" s="12" t="str">
        <f t="shared" ref="Q187:S187" si="191">IF(H187&gt;M$5, $G187, "")</f>
        <v/>
      </c>
      <c r="R187" s="13" t="str">
        <f t="shared" si="191"/>
        <v/>
      </c>
      <c r="S187" s="14" t="str">
        <f t="shared" si="191"/>
        <v/>
      </c>
    </row>
    <row r="188">
      <c r="A188" s="1" t="s">
        <v>201</v>
      </c>
      <c r="G188" s="9" t="str">
        <f>IFERROR(__xludf.DUMMYFUNCTION("SPLIT(A188,"","")"),"./src/main/java/org/jfree/chart/labels/ItemLabelAnchor.java")</f>
        <v>./src/main/java/org/jfree/chart/labels/ItemLabelAnchor.java</v>
      </c>
      <c r="H188" s="9">
        <f>IFERROR(__xludf.DUMMYFUNCTION("""COMPUTED_VALUE"""),7.0)</f>
        <v>7</v>
      </c>
      <c r="I188" s="9">
        <f>IFERROR(__xludf.DUMMYFUNCTION("""COMPUTED_VALUE"""),28.0)</f>
        <v>28</v>
      </c>
      <c r="J188" s="9">
        <f>IFERROR(__xludf.DUMMYFUNCTION("""COMPUTED_VALUE"""),69.57)</f>
        <v>69.57</v>
      </c>
      <c r="Q188" s="12" t="str">
        <f t="shared" ref="Q188:S188" si="192">IF(H188&gt;M$5, $G188, "")</f>
        <v/>
      </c>
      <c r="R188" s="13" t="str">
        <f t="shared" si="192"/>
        <v/>
      </c>
      <c r="S188" s="14" t="str">
        <f t="shared" si="192"/>
        <v/>
      </c>
    </row>
    <row r="189">
      <c r="A189" s="1" t="s">
        <v>202</v>
      </c>
      <c r="G189" s="9" t="str">
        <f>IFERROR(__xludf.DUMMYFUNCTION("SPLIT(A189,"","")"),"./src/main/java/org/jfree/chart/labels/ItemLabelPosition.java")</f>
        <v>./src/main/java/org/jfree/chart/labels/ItemLabelPosition.java</v>
      </c>
      <c r="H189" s="9">
        <f>IFERROR(__xludf.DUMMYFUNCTION("""COMPUTED_VALUE"""),9.0)</f>
        <v>9</v>
      </c>
      <c r="I189" s="9">
        <f>IFERROR(__xludf.DUMMYFUNCTION("""COMPUTED_VALUE"""),76.0)</f>
        <v>76</v>
      </c>
      <c r="J189" s="9">
        <f>IFERROR(__xludf.DUMMYFUNCTION("""COMPUTED_VALUE"""),55.29)</f>
        <v>55.29</v>
      </c>
      <c r="Q189" s="12" t="str">
        <f t="shared" ref="Q189:S189" si="193">IF(H189&gt;M$5, $G189, "")</f>
        <v/>
      </c>
      <c r="R189" s="13" t="str">
        <f t="shared" si="193"/>
        <v/>
      </c>
      <c r="S189" s="14" t="str">
        <f t="shared" si="193"/>
        <v/>
      </c>
    </row>
    <row r="190">
      <c r="A190" s="1" t="s">
        <v>203</v>
      </c>
      <c r="G190" s="9" t="str">
        <f>IFERROR(__xludf.DUMMYFUNCTION("SPLIT(A190,"","")"),"./src/main/java/org/jfree/chart/labels/MultipleXYSeriesLabelGenerator.java")</f>
        <v>./src/main/java/org/jfree/chart/labels/MultipleXYSeriesLabelGenerator.java</v>
      </c>
      <c r="H190" s="9">
        <f>IFERROR(__xludf.DUMMYFUNCTION("""COMPUTED_VALUE"""),10.0)</f>
        <v>10</v>
      </c>
      <c r="I190" s="9">
        <f>IFERROR(__xludf.DUMMYFUNCTION("""COMPUTED_VALUE"""),112.0)</f>
        <v>112</v>
      </c>
      <c r="J190" s="9">
        <f>IFERROR(__xludf.DUMMYFUNCTION("""COMPUTED_VALUE"""),47.17)</f>
        <v>47.17</v>
      </c>
      <c r="Q190" s="12" t="str">
        <f t="shared" ref="Q190:S190" si="194">IF(H190&gt;M$5, $G190, "")</f>
        <v/>
      </c>
      <c r="R190" s="13" t="str">
        <f t="shared" si="194"/>
        <v/>
      </c>
      <c r="S190" s="14" t="str">
        <f t="shared" si="194"/>
        <v/>
      </c>
    </row>
    <row r="191">
      <c r="A191" s="1" t="s">
        <v>204</v>
      </c>
      <c r="G191" s="9" t="str">
        <f>IFERROR(__xludf.DUMMYFUNCTION("SPLIT(A191,"","")"),"./src/main/java/org/jfree/chart/labels/PieSectionLabelGenerator.java")</f>
        <v>./src/main/java/org/jfree/chart/labels/PieSectionLabelGenerator.java</v>
      </c>
      <c r="H191" s="9">
        <f>IFERROR(__xludf.DUMMYFUNCTION("""COMPUTED_VALUE"""),6.0)</f>
        <v>6</v>
      </c>
      <c r="I191" s="9">
        <f>IFERROR(__xludf.DUMMYFUNCTION("""COMPUTED_VALUE"""),11.0)</f>
        <v>11</v>
      </c>
      <c r="J191" s="9">
        <f>IFERROR(__xludf.DUMMYFUNCTION("""COMPUTED_VALUE"""),87.06)</f>
        <v>87.06</v>
      </c>
      <c r="Q191" s="12" t="str">
        <f t="shared" ref="Q191:S191" si="195">IF(H191&gt;M$5, $G191, "")</f>
        <v/>
      </c>
      <c r="R191" s="13" t="str">
        <f t="shared" si="195"/>
        <v/>
      </c>
      <c r="S191" s="14" t="str">
        <f t="shared" si="195"/>
        <v/>
      </c>
    </row>
    <row r="192">
      <c r="A192" s="1" t="s">
        <v>205</v>
      </c>
      <c r="G192" s="9" t="str">
        <f>IFERROR(__xludf.DUMMYFUNCTION("SPLIT(A192,"","")"),"./src/main/java/org/jfree/chart/labels/PieToolTipGenerator.java")</f>
        <v>./src/main/java/org/jfree/chart/labels/PieToolTipGenerator.java</v>
      </c>
      <c r="H192" s="9">
        <f>IFERROR(__xludf.DUMMYFUNCTION("""COMPUTED_VALUE"""),4.0)</f>
        <v>4</v>
      </c>
      <c r="I192" s="9">
        <f>IFERROR(__xludf.DUMMYFUNCTION("""COMPUTED_VALUE"""),5.0)</f>
        <v>5</v>
      </c>
      <c r="J192" s="9">
        <f>IFERROR(__xludf.DUMMYFUNCTION("""COMPUTED_VALUE"""),90.74)</f>
        <v>90.74</v>
      </c>
      <c r="Q192" s="12" t="str">
        <f t="shared" ref="Q192:S192" si="196">IF(H192&gt;M$5, $G192, "")</f>
        <v/>
      </c>
      <c r="R192" s="13" t="str">
        <f t="shared" si="196"/>
        <v/>
      </c>
      <c r="S192" s="14" t="str">
        <f t="shared" si="196"/>
        <v/>
      </c>
    </row>
    <row r="193">
      <c r="A193" s="1" t="s">
        <v>206</v>
      </c>
      <c r="G193" s="9" t="str">
        <f>IFERROR(__xludf.DUMMYFUNCTION("SPLIT(A193,"","")"),"./src/main/java/org/jfree/chart/labels/StandardCategoryItemLabelGenerator.java")</f>
        <v>./src/main/java/org/jfree/chart/labels/StandardCategoryItemLabelGenerator.java</v>
      </c>
      <c r="H193" s="9">
        <f>IFERROR(__xludf.DUMMYFUNCTION("""COMPUTED_VALUE"""),6.0)</f>
        <v>6</v>
      </c>
      <c r="I193" s="9">
        <f>IFERROR(__xludf.DUMMYFUNCTION("""COMPUTED_VALUE"""),47.0)</f>
        <v>47</v>
      </c>
      <c r="J193" s="9">
        <f>IFERROR(__xludf.DUMMYFUNCTION("""COMPUTED_VALUE"""),64.66)</f>
        <v>64.66</v>
      </c>
      <c r="Q193" s="12" t="str">
        <f t="shared" ref="Q193:S193" si="197">IF(H193&gt;M$5, $G193, "")</f>
        <v/>
      </c>
      <c r="R193" s="13" t="str">
        <f t="shared" si="197"/>
        <v/>
      </c>
      <c r="S193" s="14" t="str">
        <f t="shared" si="197"/>
        <v/>
      </c>
    </row>
    <row r="194">
      <c r="A194" s="1" t="s">
        <v>207</v>
      </c>
      <c r="G194" s="9" t="str">
        <f>IFERROR(__xludf.DUMMYFUNCTION("SPLIT(A194,"","")"),"./src/main/java/org/jfree/chart/labels/StandardCategorySeriesLabelGenerator.java")</f>
        <v>./src/main/java/org/jfree/chart/labels/StandardCategorySeriesLabelGenerator.java</v>
      </c>
      <c r="H194" s="9">
        <f>IFERROR(__xludf.DUMMYFUNCTION("""COMPUTED_VALUE"""),8.0)</f>
        <v>8</v>
      </c>
      <c r="I194" s="9">
        <f>IFERROR(__xludf.DUMMYFUNCTION("""COMPUTED_VALUE"""),57.0)</f>
        <v>57</v>
      </c>
      <c r="J194" s="9">
        <f>IFERROR(__xludf.DUMMYFUNCTION("""COMPUTED_VALUE"""),60.42)</f>
        <v>60.42</v>
      </c>
      <c r="Q194" s="12" t="str">
        <f t="shared" ref="Q194:S194" si="198">IF(H194&gt;M$5, $G194, "")</f>
        <v/>
      </c>
      <c r="R194" s="13" t="str">
        <f t="shared" si="198"/>
        <v/>
      </c>
      <c r="S194" s="14" t="str">
        <f t="shared" si="198"/>
        <v/>
      </c>
    </row>
    <row r="195">
      <c r="A195" s="1" t="s">
        <v>208</v>
      </c>
      <c r="G195" s="9" t="str">
        <f>IFERROR(__xludf.DUMMYFUNCTION("SPLIT(A195,"","")"),"./src/main/java/org/jfree/chart/labels/StandardCategoryToolTipGenerator.java")</f>
        <v>./src/main/java/org/jfree/chart/labels/StandardCategoryToolTipGenerator.java</v>
      </c>
      <c r="H195" s="9">
        <f>IFERROR(__xludf.DUMMYFUNCTION("""COMPUTED_VALUE"""),3.0)</f>
        <v>3</v>
      </c>
      <c r="I195" s="9">
        <f>IFERROR(__xludf.DUMMYFUNCTION("""COMPUTED_VALUE"""),43.0)</f>
        <v>43</v>
      </c>
      <c r="J195" s="9">
        <f>IFERROR(__xludf.DUMMYFUNCTION("""COMPUTED_VALUE"""),63.87)</f>
        <v>63.87</v>
      </c>
      <c r="Q195" s="12" t="str">
        <f t="shared" ref="Q195:S195" si="199">IF(H195&gt;M$5, $G195, "")</f>
        <v/>
      </c>
      <c r="R195" s="13" t="str">
        <f t="shared" si="199"/>
        <v/>
      </c>
      <c r="S195" s="14" t="str">
        <f t="shared" si="199"/>
        <v/>
      </c>
    </row>
    <row r="196">
      <c r="A196" s="1" t="s">
        <v>209</v>
      </c>
      <c r="G196" s="9" t="str">
        <f>IFERROR(__xludf.DUMMYFUNCTION("SPLIT(A196,"","")"),"./src/main/java/org/jfree/chart/labels/StandardCrosshairLabelGenerator.java")</f>
        <v>./src/main/java/org/jfree/chart/labels/StandardCrosshairLabelGenerator.java</v>
      </c>
      <c r="H196" s="9">
        <f>IFERROR(__xludf.DUMMYFUNCTION("""COMPUTED_VALUE"""),5.0)</f>
        <v>5</v>
      </c>
      <c r="I196" s="9">
        <f>IFERROR(__xludf.DUMMYFUNCTION("""COMPUTED_VALUE"""),57.0)</f>
        <v>57</v>
      </c>
      <c r="J196" s="9">
        <f>IFERROR(__xludf.DUMMYFUNCTION("""COMPUTED_VALUE"""),58.39)</f>
        <v>58.39</v>
      </c>
      <c r="Q196" s="12" t="str">
        <f t="shared" ref="Q196:S196" si="200">IF(H196&gt;M$5, $G196, "")</f>
        <v/>
      </c>
      <c r="R196" s="13" t="str">
        <f t="shared" si="200"/>
        <v/>
      </c>
      <c r="S196" s="14" t="str">
        <f t="shared" si="200"/>
        <v/>
      </c>
    </row>
    <row r="197">
      <c r="A197" s="1" t="s">
        <v>210</v>
      </c>
      <c r="G197" s="9" t="str">
        <f>IFERROR(__xludf.DUMMYFUNCTION("SPLIT(A197,"","")"),"./src/main/java/org/jfree/chart/labels/StandardFlowLabelGenerator.java")</f>
        <v>./src/main/java/org/jfree/chart/labels/StandardFlowLabelGenerator.java</v>
      </c>
      <c r="H197" s="9">
        <f>IFERROR(__xludf.DUMMYFUNCTION("""COMPUTED_VALUE"""),2.0)</f>
        <v>2</v>
      </c>
      <c r="I197" s="9">
        <f>IFERROR(__xludf.DUMMYFUNCTION("""COMPUTED_VALUE"""),47.0)</f>
        <v>47</v>
      </c>
      <c r="J197" s="9">
        <f>IFERROR(__xludf.DUMMYFUNCTION("""COMPUTED_VALUE"""),59.13)</f>
        <v>59.13</v>
      </c>
      <c r="Q197" s="12" t="str">
        <f t="shared" ref="Q197:S197" si="201">IF(H197&gt;M$5, $G197, "")</f>
        <v/>
      </c>
      <c r="R197" s="13" t="str">
        <f t="shared" si="201"/>
        <v/>
      </c>
      <c r="S197" s="14" t="str">
        <f t="shared" si="201"/>
        <v/>
      </c>
    </row>
    <row r="198">
      <c r="A198" s="1" t="s">
        <v>211</v>
      </c>
      <c r="G198" s="9" t="str">
        <f>IFERROR(__xludf.DUMMYFUNCTION("SPLIT(A198,"","")"),"./src/main/java/org/jfree/chart/labels/StandardPieSectionLabelGenerator.java")</f>
        <v>./src/main/java/org/jfree/chart/labels/StandardPieSectionLabelGenerator.java</v>
      </c>
      <c r="H198" s="9">
        <f>IFERROR(__xludf.DUMMYFUNCTION("""COMPUTED_VALUE"""),7.0)</f>
        <v>7</v>
      </c>
      <c r="I198" s="9">
        <f>IFERROR(__xludf.DUMMYFUNCTION("""COMPUTED_VALUE"""),85.0)</f>
        <v>85</v>
      </c>
      <c r="J198" s="9">
        <f>IFERROR(__xludf.DUMMYFUNCTION("""COMPUTED_VALUE"""),63.04)</f>
        <v>63.04</v>
      </c>
      <c r="Q198" s="12" t="str">
        <f t="shared" ref="Q198:S198" si="202">IF(H198&gt;M$5, $G198, "")</f>
        <v/>
      </c>
      <c r="R198" s="13" t="str">
        <f t="shared" si="202"/>
        <v/>
      </c>
      <c r="S198" s="14" t="str">
        <f t="shared" si="202"/>
        <v/>
      </c>
    </row>
    <row r="199">
      <c r="A199" s="1" t="s">
        <v>212</v>
      </c>
      <c r="G199" s="9" t="str">
        <f>IFERROR(__xludf.DUMMYFUNCTION("SPLIT(A199,"","")"),"./src/main/java/org/jfree/chart/labels/StandardPieToolTipGenerator.java")</f>
        <v>./src/main/java/org/jfree/chart/labels/StandardPieToolTipGenerator.java</v>
      </c>
      <c r="H199" s="9">
        <f>IFERROR(__xludf.DUMMYFUNCTION("""COMPUTED_VALUE"""),8.0)</f>
        <v>8</v>
      </c>
      <c r="I199" s="9">
        <f>IFERROR(__xludf.DUMMYFUNCTION("""COMPUTED_VALUE"""),37.0)</f>
        <v>37</v>
      </c>
      <c r="J199" s="9">
        <f>IFERROR(__xludf.DUMMYFUNCTION("""COMPUTED_VALUE"""),71.32)</f>
        <v>71.32</v>
      </c>
      <c r="Q199" s="12" t="str">
        <f t="shared" ref="Q199:S199" si="203">IF(H199&gt;M$5, $G199, "")</f>
        <v/>
      </c>
      <c r="R199" s="13" t="str">
        <f t="shared" si="203"/>
        <v/>
      </c>
      <c r="S199" s="14" t="str">
        <f t="shared" si="203"/>
        <v/>
      </c>
    </row>
    <row r="200">
      <c r="A200" s="1" t="s">
        <v>213</v>
      </c>
      <c r="G200" s="9" t="str">
        <f>IFERROR(__xludf.DUMMYFUNCTION("SPLIT(A200,"","")"),"./src/main/java/org/jfree/chart/labels/StandardXYItemLabelGenerator.java")</f>
        <v>./src/main/java/org/jfree/chart/labels/StandardXYItemLabelGenerator.java</v>
      </c>
      <c r="H200" s="9">
        <f>IFERROR(__xludf.DUMMYFUNCTION("""COMPUTED_VALUE"""),6.0)</f>
        <v>6</v>
      </c>
      <c r="I200" s="9">
        <f>IFERROR(__xludf.DUMMYFUNCTION("""COMPUTED_VALUE"""),58.0)</f>
        <v>58</v>
      </c>
      <c r="J200" s="9">
        <f>IFERROR(__xludf.DUMMYFUNCTION("""COMPUTED_VALUE"""),66.47)</f>
        <v>66.47</v>
      </c>
      <c r="Q200" s="12" t="str">
        <f t="shared" ref="Q200:S200" si="204">IF(H200&gt;M$5, $G200, "")</f>
        <v/>
      </c>
      <c r="R200" s="13" t="str">
        <f t="shared" si="204"/>
        <v/>
      </c>
      <c r="S200" s="14" t="str">
        <f t="shared" si="204"/>
        <v/>
      </c>
    </row>
    <row r="201">
      <c r="A201" s="1" t="s">
        <v>214</v>
      </c>
      <c r="G201" s="9" t="str">
        <f>IFERROR(__xludf.DUMMYFUNCTION("SPLIT(A201,"","")"),"./src/main/java/org/jfree/chart/labels/StandardXYSeriesLabelGenerator.java")</f>
        <v>./src/main/java/org/jfree/chart/labels/StandardXYSeriesLabelGenerator.java</v>
      </c>
      <c r="H201" s="9">
        <f>IFERROR(__xludf.DUMMYFUNCTION("""COMPUTED_VALUE"""),9.0)</f>
        <v>9</v>
      </c>
      <c r="I201" s="9">
        <f>IFERROR(__xludf.DUMMYFUNCTION("""COMPUTED_VALUE"""),58.0)</f>
        <v>58</v>
      </c>
      <c r="J201" s="9">
        <f>IFERROR(__xludf.DUMMYFUNCTION("""COMPUTED_VALUE"""),61.59)</f>
        <v>61.59</v>
      </c>
      <c r="Q201" s="12" t="str">
        <f t="shared" ref="Q201:S201" si="205">IF(H201&gt;M$5, $G201, "")</f>
        <v/>
      </c>
      <c r="R201" s="13" t="str">
        <f t="shared" si="205"/>
        <v/>
      </c>
      <c r="S201" s="14" t="str">
        <f t="shared" si="205"/>
        <v/>
      </c>
    </row>
    <row r="202">
      <c r="A202" s="1" t="s">
        <v>215</v>
      </c>
      <c r="G202" s="9" t="str">
        <f>IFERROR(__xludf.DUMMYFUNCTION("SPLIT(A202,"","")"),"./src/main/java/org/jfree/chart/labels/StandardXYToolTipGenerator.java")</f>
        <v>./src/main/java/org/jfree/chart/labels/StandardXYToolTipGenerator.java</v>
      </c>
      <c r="H202" s="9">
        <f>IFERROR(__xludf.DUMMYFUNCTION("""COMPUTED_VALUE"""),6.0)</f>
        <v>6</v>
      </c>
      <c r="I202" s="9">
        <f>IFERROR(__xludf.DUMMYFUNCTION("""COMPUTED_VALUE"""),59.0)</f>
        <v>59</v>
      </c>
      <c r="J202" s="9">
        <f>IFERROR(__xludf.DUMMYFUNCTION("""COMPUTED_VALUE"""),66.09)</f>
        <v>66.09</v>
      </c>
      <c r="Q202" s="12" t="str">
        <f t="shared" ref="Q202:S202" si="206">IF(H202&gt;M$5, $G202, "")</f>
        <v/>
      </c>
      <c r="R202" s="13" t="str">
        <f t="shared" si="206"/>
        <v/>
      </c>
      <c r="S202" s="14" t="str">
        <f t="shared" si="206"/>
        <v/>
      </c>
    </row>
    <row r="203">
      <c r="A203" s="1" t="s">
        <v>216</v>
      </c>
      <c r="G203" s="9" t="str">
        <f>IFERROR(__xludf.DUMMYFUNCTION("SPLIT(A203,"","")"),"./src/main/java/org/jfree/chart/labels/StandardXYZToolTipGenerator.java")</f>
        <v>./src/main/java/org/jfree/chart/labels/StandardXYZToolTipGenerator.java</v>
      </c>
      <c r="H203" s="9">
        <f>IFERROR(__xludf.DUMMYFUNCTION("""COMPUTED_VALUE"""),7.0)</f>
        <v>7</v>
      </c>
      <c r="I203" s="9">
        <f>IFERROR(__xludf.DUMMYFUNCTION("""COMPUTED_VALUE"""),109.0)</f>
        <v>109</v>
      </c>
      <c r="J203" s="9">
        <f>IFERROR(__xludf.DUMMYFUNCTION("""COMPUTED_VALUE"""),52.81)</f>
        <v>52.81</v>
      </c>
      <c r="Q203" s="12" t="str">
        <f t="shared" ref="Q203:S203" si="207">IF(H203&gt;M$5, $G203, "")</f>
        <v/>
      </c>
      <c r="R203" s="13" t="str">
        <f t="shared" si="207"/>
        <v/>
      </c>
      <c r="S203" s="14" t="str">
        <f t="shared" si="207"/>
        <v/>
      </c>
    </row>
    <row r="204">
      <c r="A204" s="1" t="s">
        <v>217</v>
      </c>
      <c r="G204" s="9" t="str">
        <f>IFERROR(__xludf.DUMMYFUNCTION("SPLIT(A204,"","")"),"./src/main/java/org/jfree/chart/labels/SymbolicXYItemLabelGenerator.java")</f>
        <v>./src/main/java/org/jfree/chart/labels/SymbolicXYItemLabelGenerator.java</v>
      </c>
      <c r="H204" s="9">
        <f>IFERROR(__xludf.DUMMYFUNCTION("""COMPUTED_VALUE"""),5.0)</f>
        <v>5</v>
      </c>
      <c r="I204" s="9">
        <f>IFERROR(__xludf.DUMMYFUNCTION("""COMPUTED_VALUE"""),70.0)</f>
        <v>70</v>
      </c>
      <c r="J204" s="9">
        <f>IFERROR(__xludf.DUMMYFUNCTION("""COMPUTED_VALUE"""),55.13)</f>
        <v>55.13</v>
      </c>
      <c r="Q204" s="12" t="str">
        <f t="shared" ref="Q204:S204" si="208">IF(H204&gt;M$5, $G204, "")</f>
        <v/>
      </c>
      <c r="R204" s="13" t="str">
        <f t="shared" si="208"/>
        <v/>
      </c>
      <c r="S204" s="14" t="str">
        <f t="shared" si="208"/>
        <v/>
      </c>
    </row>
    <row r="205">
      <c r="A205" s="1" t="s">
        <v>218</v>
      </c>
      <c r="G205" s="9" t="str">
        <f>IFERROR(__xludf.DUMMYFUNCTION("SPLIT(A205,"","")"),"./src/main/java/org/jfree/chart/labels/XYItemLabelGenerator.java")</f>
        <v>./src/main/java/org/jfree/chart/labels/XYItemLabelGenerator.java</v>
      </c>
      <c r="H205" s="9">
        <f>IFERROR(__xludf.DUMMYFUNCTION("""COMPUTED_VALUE"""),4.0)</f>
        <v>4</v>
      </c>
      <c r="I205" s="9">
        <f>IFERROR(__xludf.DUMMYFUNCTION("""COMPUTED_VALUE"""),5.0)</f>
        <v>5</v>
      </c>
      <c r="J205" s="9">
        <f>IFERROR(__xludf.DUMMYFUNCTION("""COMPUTED_VALUE"""),90.74)</f>
        <v>90.74</v>
      </c>
      <c r="Q205" s="12" t="str">
        <f t="shared" ref="Q205:S205" si="209">IF(H205&gt;M$5, $G205, "")</f>
        <v/>
      </c>
      <c r="R205" s="13" t="str">
        <f t="shared" si="209"/>
        <v/>
      </c>
      <c r="S205" s="14" t="str">
        <f t="shared" si="209"/>
        <v/>
      </c>
    </row>
    <row r="206">
      <c r="A206" s="1" t="s">
        <v>219</v>
      </c>
      <c r="G206" s="9" t="str">
        <f>IFERROR(__xludf.DUMMYFUNCTION("SPLIT(A206,"","")"),"./src/main/java/org/jfree/chart/labels/XYSeriesLabelGenerator.java")</f>
        <v>./src/main/java/org/jfree/chart/labels/XYSeriesLabelGenerator.java</v>
      </c>
      <c r="H206" s="9">
        <f>IFERROR(__xludf.DUMMYFUNCTION("""COMPUTED_VALUE"""),5.0)</f>
        <v>5</v>
      </c>
      <c r="I206" s="9">
        <f>IFERROR(__xludf.DUMMYFUNCTION("""COMPUTED_VALUE"""),5.0)</f>
        <v>5</v>
      </c>
      <c r="J206" s="9">
        <f>IFERROR(__xludf.DUMMYFUNCTION("""COMPUTED_VALUE"""),91.23)</f>
        <v>91.23</v>
      </c>
      <c r="Q206" s="12" t="str">
        <f t="shared" ref="Q206:S206" si="210">IF(H206&gt;M$5, $G206, "")</f>
        <v/>
      </c>
      <c r="R206" s="13" t="str">
        <f t="shared" si="210"/>
        <v/>
      </c>
      <c r="S206" s="14" t="str">
        <f t="shared" si="210"/>
        <v/>
      </c>
    </row>
    <row r="207">
      <c r="A207" s="1" t="s">
        <v>220</v>
      </c>
      <c r="G207" s="9" t="str">
        <f>IFERROR(__xludf.DUMMYFUNCTION("SPLIT(A207,"","")"),"./src/main/java/org/jfree/chart/labels/XYToolTipGenerator.java")</f>
        <v>./src/main/java/org/jfree/chart/labels/XYToolTipGenerator.java</v>
      </c>
      <c r="H207" s="9">
        <f>IFERROR(__xludf.DUMMYFUNCTION("""COMPUTED_VALUE"""),4.0)</f>
        <v>4</v>
      </c>
      <c r="I207" s="9">
        <f>IFERROR(__xludf.DUMMYFUNCTION("""COMPUTED_VALUE"""),5.0)</f>
        <v>5</v>
      </c>
      <c r="J207" s="9">
        <f>IFERROR(__xludf.DUMMYFUNCTION("""COMPUTED_VALUE"""),90.57)</f>
        <v>90.57</v>
      </c>
      <c r="Q207" s="12" t="str">
        <f t="shared" ref="Q207:S207" si="211">IF(H207&gt;M$5, $G207, "")</f>
        <v/>
      </c>
      <c r="R207" s="13" t="str">
        <f t="shared" si="211"/>
        <v/>
      </c>
      <c r="S207" s="14" t="str">
        <f t="shared" si="211"/>
        <v/>
      </c>
    </row>
    <row r="208">
      <c r="A208" s="1" t="s">
        <v>221</v>
      </c>
      <c r="G208" s="9" t="str">
        <f>IFERROR(__xludf.DUMMYFUNCTION("SPLIT(A208,"","")"),"./src/main/java/org/jfree/chart/labels/XYZToolTipGenerator.java")</f>
        <v>./src/main/java/org/jfree/chart/labels/XYZToolTipGenerator.java</v>
      </c>
      <c r="H208" s="9">
        <f>IFERROR(__xludf.DUMMYFUNCTION("""COMPUTED_VALUE"""),4.0)</f>
        <v>4</v>
      </c>
      <c r="I208" s="9">
        <f>IFERROR(__xludf.DUMMYFUNCTION("""COMPUTED_VALUE"""),5.0)</f>
        <v>5</v>
      </c>
      <c r="J208" s="9">
        <f>IFERROR(__xludf.DUMMYFUNCTION("""COMPUTED_VALUE"""),90.57)</f>
        <v>90.57</v>
      </c>
      <c r="Q208" s="12" t="str">
        <f t="shared" ref="Q208:S208" si="212">IF(H208&gt;M$5, $G208, "")</f>
        <v/>
      </c>
      <c r="R208" s="13" t="str">
        <f t="shared" si="212"/>
        <v/>
      </c>
      <c r="S208" s="14" t="str">
        <f t="shared" si="212"/>
        <v/>
      </c>
    </row>
    <row r="209">
      <c r="A209" s="1" t="s">
        <v>222</v>
      </c>
      <c r="G209" s="9" t="str">
        <f>IFERROR(__xludf.DUMMYFUNCTION("SPLIT(A209,"","")"),"./src/main/java/org/jfree/chart/legend/LegendGraphic.java")</f>
        <v>./src/main/java/org/jfree/chart/legend/LegendGraphic.java</v>
      </c>
      <c r="H209" s="9">
        <f>IFERROR(__xludf.DUMMYFUNCTION("""COMPUTED_VALUE"""),8.0)</f>
        <v>8</v>
      </c>
      <c r="I209" s="9">
        <f>IFERROR(__xludf.DUMMYFUNCTION("""COMPUTED_VALUE"""),334.0)</f>
        <v>334</v>
      </c>
      <c r="J209" s="9">
        <f>IFERROR(__xludf.DUMMYFUNCTION("""COMPUTED_VALUE"""),51.1)</f>
        <v>51.1</v>
      </c>
      <c r="Q209" s="12" t="str">
        <f t="shared" ref="Q209:S209" si="213">IF(H209&gt;M$5, $G209, "")</f>
        <v/>
      </c>
      <c r="R209" s="13" t="str">
        <f t="shared" si="213"/>
        <v/>
      </c>
      <c r="S209" s="14" t="str">
        <f t="shared" si="213"/>
        <v/>
      </c>
    </row>
    <row r="210">
      <c r="A210" s="1" t="s">
        <v>223</v>
      </c>
      <c r="G210" s="9" t="str">
        <f>IFERROR(__xludf.DUMMYFUNCTION("SPLIT(A210,"","")"),"./src/main/java/org/jfree/chart/legend/LegendItem.java")</f>
        <v>./src/main/java/org/jfree/chart/legend/LegendItem.java</v>
      </c>
      <c r="H210" s="9">
        <f>IFERROR(__xludf.DUMMYFUNCTION("""COMPUTED_VALUE"""),6.0)</f>
        <v>6</v>
      </c>
      <c r="I210" s="9">
        <f>IFERROR(__xludf.DUMMYFUNCTION("""COMPUTED_VALUE"""),468.0)</f>
        <v>468</v>
      </c>
      <c r="J210" s="9">
        <f>IFERROR(__xludf.DUMMYFUNCTION("""COMPUTED_VALUE"""),52.39)</f>
        <v>52.39</v>
      </c>
      <c r="Q210" s="12" t="str">
        <f t="shared" ref="Q210:S210" si="214">IF(H210&gt;M$5, $G210, "")</f>
        <v/>
      </c>
      <c r="R210" s="13" t="str">
        <f t="shared" si="214"/>
        <v>./src/main/java/org/jfree/chart/legend/LegendItem.java</v>
      </c>
      <c r="S210" s="14" t="str">
        <f t="shared" si="214"/>
        <v/>
      </c>
    </row>
    <row r="211">
      <c r="A211" s="1" t="s">
        <v>224</v>
      </c>
      <c r="G211" s="9" t="str">
        <f>IFERROR(__xludf.DUMMYFUNCTION("SPLIT(A211,"","")"),"./src/main/java/org/jfree/chart/legend/LegendItemBlockContainer.java")</f>
        <v>./src/main/java/org/jfree/chart/legend/LegendItemBlockContainer.java</v>
      </c>
      <c r="H211" s="9">
        <f>IFERROR(__xludf.DUMMYFUNCTION("""COMPUTED_VALUE"""),3.0)</f>
        <v>3</v>
      </c>
      <c r="I211" s="9">
        <f>IFERROR(__xludf.DUMMYFUNCTION("""COMPUTED_VALUE"""),69.0)</f>
        <v>69</v>
      </c>
      <c r="J211" s="9">
        <f>IFERROR(__xludf.DUMMYFUNCTION("""COMPUTED_VALUE"""),59.41)</f>
        <v>59.41</v>
      </c>
      <c r="Q211" s="12" t="str">
        <f t="shared" ref="Q211:S211" si="215">IF(H211&gt;M$5, $G211, "")</f>
        <v/>
      </c>
      <c r="R211" s="13" t="str">
        <f t="shared" si="215"/>
        <v/>
      </c>
      <c r="S211" s="14" t="str">
        <f t="shared" si="215"/>
        <v/>
      </c>
    </row>
    <row r="212">
      <c r="A212" s="1" t="s">
        <v>225</v>
      </c>
      <c r="G212" s="9" t="str">
        <f>IFERROR(__xludf.DUMMYFUNCTION("SPLIT(A212,"","")"),"./src/main/java/org/jfree/chart/legend/LegendItemCollection.java")</f>
        <v>./src/main/java/org/jfree/chart/legend/LegendItemCollection.java</v>
      </c>
      <c r="H212" s="9">
        <f>IFERROR(__xludf.DUMMYFUNCTION("""COMPUTED_VALUE"""),3.0)</f>
        <v>3</v>
      </c>
      <c r="I212" s="9">
        <f>IFERROR(__xludf.DUMMYFUNCTION("""COMPUTED_VALUE"""),56.0)</f>
        <v>56</v>
      </c>
      <c r="J212" s="9">
        <f>IFERROR(__xludf.DUMMYFUNCTION("""COMPUTED_VALUE"""),60.56)</f>
        <v>60.56</v>
      </c>
      <c r="Q212" s="12" t="str">
        <f t="shared" ref="Q212:S212" si="216">IF(H212&gt;M$5, $G212, "")</f>
        <v/>
      </c>
      <c r="R212" s="13" t="str">
        <f t="shared" si="216"/>
        <v/>
      </c>
      <c r="S212" s="14" t="str">
        <f t="shared" si="216"/>
        <v/>
      </c>
    </row>
    <row r="213">
      <c r="A213" s="1" t="s">
        <v>226</v>
      </c>
      <c r="G213" s="9" t="str">
        <f>IFERROR(__xludf.DUMMYFUNCTION("SPLIT(A213,"","")"),"./src/main/java/org/jfree/chart/legend/LegendItemSource.java")</f>
        <v>./src/main/java/org/jfree/chart/legend/LegendItemSource.java</v>
      </c>
      <c r="H213" s="9">
        <f>IFERROR(__xludf.DUMMYFUNCTION("""COMPUTED_VALUE"""),2.0)</f>
        <v>2</v>
      </c>
      <c r="I213" s="9">
        <f>IFERROR(__xludf.DUMMYFUNCTION("""COMPUTED_VALUE"""),5.0)</f>
        <v>5</v>
      </c>
      <c r="J213" s="9">
        <f>IFERROR(__xludf.DUMMYFUNCTION("""COMPUTED_VALUE"""),90.0)</f>
        <v>90</v>
      </c>
      <c r="Q213" s="12" t="str">
        <f t="shared" ref="Q213:S213" si="217">IF(H213&gt;M$5, $G213, "")</f>
        <v/>
      </c>
      <c r="R213" s="13" t="str">
        <f t="shared" si="217"/>
        <v/>
      </c>
      <c r="S213" s="14" t="str">
        <f t="shared" si="217"/>
        <v/>
      </c>
    </row>
    <row r="214">
      <c r="A214" s="1" t="s">
        <v>227</v>
      </c>
      <c r="G214" s="9" t="str">
        <f>IFERROR(__xludf.DUMMYFUNCTION("SPLIT(A214,"","")"),"./src/main/java/org/jfree/chart/legend/LegendRenderingOrder.java")</f>
        <v>./src/main/java/org/jfree/chart/legend/LegendRenderingOrder.java</v>
      </c>
      <c r="H214" s="9">
        <f>IFERROR(__xludf.DUMMYFUNCTION("""COMPUTED_VALUE"""),2.0)</f>
        <v>2</v>
      </c>
      <c r="I214" s="9">
        <f>IFERROR(__xludf.DUMMYFUNCTION("""COMPUTED_VALUE"""),5.0)</f>
        <v>5</v>
      </c>
      <c r="J214" s="9">
        <f>IFERROR(__xludf.DUMMYFUNCTION("""COMPUTED_VALUE"""),88.89)</f>
        <v>88.89</v>
      </c>
      <c r="Q214" s="12" t="str">
        <f t="shared" ref="Q214:S214" si="218">IF(H214&gt;M$5, $G214, "")</f>
        <v/>
      </c>
      <c r="R214" s="13" t="str">
        <f t="shared" si="218"/>
        <v/>
      </c>
      <c r="S214" s="14" t="str">
        <f t="shared" si="218"/>
        <v/>
      </c>
    </row>
    <row r="215">
      <c r="A215" s="1" t="s">
        <v>228</v>
      </c>
      <c r="G215" s="9" t="str">
        <f>IFERROR(__xludf.DUMMYFUNCTION("SPLIT(A215,"","")"),"./src/main/java/org/jfree/chart/legend/LegendTitle.java")</f>
        <v>./src/main/java/org/jfree/chart/legend/LegendTitle.java</v>
      </c>
      <c r="H215" s="9">
        <f>IFERROR(__xludf.DUMMYFUNCTION("""COMPUTED_VALUE"""),7.0)</f>
        <v>7</v>
      </c>
      <c r="I215" s="9">
        <f>IFERROR(__xludf.DUMMYFUNCTION("""COMPUTED_VALUE"""),347.0)</f>
        <v>347</v>
      </c>
      <c r="J215" s="9">
        <f>IFERROR(__xludf.DUMMYFUNCTION("""COMPUTED_VALUE"""),43.76)</f>
        <v>43.76</v>
      </c>
      <c r="Q215" s="12" t="str">
        <f t="shared" ref="Q215:S215" si="219">IF(H215&gt;M$5, $G215, "")</f>
        <v/>
      </c>
      <c r="R215" s="13" t="str">
        <f t="shared" si="219"/>
        <v/>
      </c>
      <c r="S215" s="14" t="str">
        <f t="shared" si="219"/>
        <v/>
      </c>
    </row>
    <row r="216">
      <c r="A216" s="1" t="s">
        <v>229</v>
      </c>
      <c r="G216" s="9" t="str">
        <f>IFERROR(__xludf.DUMMYFUNCTION("SPLIT(A216,"","")"),"./src/main/java/org/jfree/chart/legend/PaintScaleLegend.java")</f>
        <v>./src/main/java/org/jfree/chart/legend/PaintScaleLegend.java</v>
      </c>
      <c r="H216" s="9">
        <f>IFERROR(__xludf.DUMMYFUNCTION("""COMPUTED_VALUE"""),5.0)</f>
        <v>5</v>
      </c>
      <c r="I216" s="9">
        <f>IFERROR(__xludf.DUMMYFUNCTION("""COMPUTED_VALUE"""),392.0)</f>
        <v>392</v>
      </c>
      <c r="J216" s="9">
        <f>IFERROR(__xludf.DUMMYFUNCTION("""COMPUTED_VALUE"""),40.79)</f>
        <v>40.79</v>
      </c>
      <c r="Q216" s="12" t="str">
        <f t="shared" ref="Q216:S216" si="220">IF(H216&gt;M$5, $G216, "")</f>
        <v/>
      </c>
      <c r="R216" s="13" t="str">
        <f t="shared" si="220"/>
        <v/>
      </c>
      <c r="S216" s="14" t="str">
        <f t="shared" si="220"/>
        <v/>
      </c>
    </row>
    <row r="217">
      <c r="A217" s="1" t="s">
        <v>230</v>
      </c>
      <c r="G217" s="9" t="str">
        <f>IFERROR(__xludf.DUMMYFUNCTION("SPLIT(A217,"","")"),"./src/main/java/org/jfree/chart/plot/CategoryCrosshairState.java")</f>
        <v>./src/main/java/org/jfree/chart/plot/CategoryCrosshairState.java</v>
      </c>
      <c r="H217" s="9">
        <f>IFERROR(__xludf.DUMMYFUNCTION("""COMPUTED_VALUE"""),4.0)</f>
        <v>4</v>
      </c>
      <c r="I217" s="9">
        <f>IFERROR(__xludf.DUMMYFUNCTION("""COMPUTED_VALUE"""),64.0)</f>
        <v>64</v>
      </c>
      <c r="J217" s="9">
        <f>IFERROR(__xludf.DUMMYFUNCTION("""COMPUTED_VALUE"""),59.24)</f>
        <v>59.24</v>
      </c>
      <c r="Q217" s="12" t="str">
        <f t="shared" ref="Q217:S217" si="221">IF(H217&gt;M$5, $G217, "")</f>
        <v/>
      </c>
      <c r="R217" s="13" t="str">
        <f t="shared" si="221"/>
        <v/>
      </c>
      <c r="S217" s="14" t="str">
        <f t="shared" si="221"/>
        <v/>
      </c>
    </row>
    <row r="218">
      <c r="A218" s="1" t="s">
        <v>231</v>
      </c>
      <c r="G218" s="9" t="str">
        <f>IFERROR(__xludf.DUMMYFUNCTION("SPLIT(A218,"","")"),"./src/main/java/org/jfree/chart/plot/CategoryMarker.java")</f>
        <v>./src/main/java/org/jfree/chart/plot/CategoryMarker.java</v>
      </c>
      <c r="H218" s="9">
        <f>IFERROR(__xludf.DUMMYFUNCTION("""COMPUTED_VALUE"""),7.0)</f>
        <v>7</v>
      </c>
      <c r="I218" s="9">
        <f>IFERROR(__xludf.DUMMYFUNCTION("""COMPUTED_VALUE"""),69.0)</f>
        <v>69</v>
      </c>
      <c r="J218" s="9">
        <f>IFERROR(__xludf.DUMMYFUNCTION("""COMPUTED_VALUE"""),60.34)</f>
        <v>60.34</v>
      </c>
      <c r="Q218" s="12" t="str">
        <f t="shared" ref="Q218:S218" si="222">IF(H218&gt;M$5, $G218, "")</f>
        <v/>
      </c>
      <c r="R218" s="13" t="str">
        <f t="shared" si="222"/>
        <v/>
      </c>
      <c r="S218" s="14" t="str">
        <f t="shared" si="222"/>
        <v/>
      </c>
    </row>
    <row r="219">
      <c r="A219" s="1" t="s">
        <v>232</v>
      </c>
      <c r="G219" s="9" t="str">
        <f>IFERROR(__xludf.DUMMYFUNCTION("SPLIT(A219,"","")"),"./src/main/java/org/jfree/chart/plot/CategoryPlot.java")</f>
        <v>./src/main/java/org/jfree/chart/plot/CategoryPlot.java</v>
      </c>
      <c r="H219" s="9">
        <f>IFERROR(__xludf.DUMMYFUNCTION("""COMPUTED_VALUE"""),32.0)</f>
        <v>32</v>
      </c>
      <c r="I219" s="9">
        <f>IFERROR(__xludf.DUMMYFUNCTION("""COMPUTED_VALUE"""),2415.0)</f>
        <v>2415</v>
      </c>
      <c r="J219" s="9">
        <f>IFERROR(__xludf.DUMMYFUNCTION("""COMPUTED_VALUE"""),46.61)</f>
        <v>46.61</v>
      </c>
      <c r="Q219" s="12" t="str">
        <f t="shared" ref="Q219:S219" si="223">IF(H219&gt;M$5, $G219, "")</f>
        <v>./src/main/java/org/jfree/chart/plot/CategoryPlot.java</v>
      </c>
      <c r="R219" s="13" t="str">
        <f t="shared" si="223"/>
        <v>./src/main/java/org/jfree/chart/plot/CategoryPlot.java</v>
      </c>
      <c r="S219" s="14" t="str">
        <f t="shared" si="223"/>
        <v/>
      </c>
    </row>
    <row r="220">
      <c r="A220" s="1" t="s">
        <v>233</v>
      </c>
      <c r="G220" s="9" t="str">
        <f>IFERROR(__xludf.DUMMYFUNCTION("SPLIT(A220,"","")"),"./src/main/java/org/jfree/chart/plot/CenterTextMode.java")</f>
        <v>./src/main/java/org/jfree/chart/plot/CenterTextMode.java</v>
      </c>
      <c r="H220" s="9">
        <f>IFERROR(__xludf.DUMMYFUNCTION("""COMPUTED_VALUE"""),3.0)</f>
        <v>3</v>
      </c>
      <c r="I220" s="9">
        <f>IFERROR(__xludf.DUMMYFUNCTION("""COMPUTED_VALUE"""),6.0)</f>
        <v>6</v>
      </c>
      <c r="J220" s="9">
        <f>IFERROR(__xludf.DUMMYFUNCTION("""COMPUTED_VALUE"""),87.23)</f>
        <v>87.23</v>
      </c>
      <c r="Q220" s="12" t="str">
        <f t="shared" ref="Q220:S220" si="224">IF(H220&gt;M$5, $G220, "")</f>
        <v/>
      </c>
      <c r="R220" s="13" t="str">
        <f t="shared" si="224"/>
        <v/>
      </c>
      <c r="S220" s="14" t="str">
        <f t="shared" si="224"/>
        <v/>
      </c>
    </row>
    <row r="221">
      <c r="A221" s="1" t="s">
        <v>234</v>
      </c>
      <c r="G221" s="9" t="str">
        <f>IFERROR(__xludf.DUMMYFUNCTION("SPLIT(A221,"","")"),"./src/main/java/org/jfree/chart/plot/CombinedDomainCategoryPlot.java")</f>
        <v>./src/main/java/org/jfree/chart/plot/CombinedDomainCategoryPlot.java</v>
      </c>
      <c r="H221" s="9">
        <f>IFERROR(__xludf.DUMMYFUNCTION("""COMPUTED_VALUE"""),14.0)</f>
        <v>14</v>
      </c>
      <c r="I221" s="9">
        <f>IFERROR(__xludf.DUMMYFUNCTION("""COMPUTED_VALUE"""),358.0)</f>
        <v>358</v>
      </c>
      <c r="J221" s="9">
        <f>IFERROR(__xludf.DUMMYFUNCTION("""COMPUTED_VALUE"""),41.6)</f>
        <v>41.6</v>
      </c>
      <c r="Q221" s="12" t="str">
        <f t="shared" ref="Q221:S221" si="225">IF(H221&gt;M$5, $G221, "")</f>
        <v/>
      </c>
      <c r="R221" s="13" t="str">
        <f t="shared" si="225"/>
        <v/>
      </c>
      <c r="S221" s="14" t="str">
        <f t="shared" si="225"/>
        <v/>
      </c>
    </row>
    <row r="222">
      <c r="A222" s="1" t="s">
        <v>235</v>
      </c>
      <c r="G222" s="9" t="str">
        <f>IFERROR(__xludf.DUMMYFUNCTION("SPLIT(A222,"","")"),"./src/main/java/org/jfree/chart/plot/CombinedDomainXYPlot.java")</f>
        <v>./src/main/java/org/jfree/chart/plot/CombinedDomainXYPlot.java</v>
      </c>
      <c r="H222" s="9">
        <f>IFERROR(__xludf.DUMMYFUNCTION("""COMPUTED_VALUE"""),15.0)</f>
        <v>15</v>
      </c>
      <c r="I222" s="9">
        <f>IFERROR(__xludf.DUMMYFUNCTION("""COMPUTED_VALUE"""),396.0)</f>
        <v>396</v>
      </c>
      <c r="J222" s="9">
        <f>IFERROR(__xludf.DUMMYFUNCTION("""COMPUTED_VALUE"""),42.69)</f>
        <v>42.69</v>
      </c>
      <c r="Q222" s="12" t="str">
        <f t="shared" ref="Q222:S222" si="226">IF(H222&gt;M$5, $G222, "")</f>
        <v/>
      </c>
      <c r="R222" s="13" t="str">
        <f t="shared" si="226"/>
        <v/>
      </c>
      <c r="S222" s="14" t="str">
        <f t="shared" si="226"/>
        <v/>
      </c>
    </row>
    <row r="223">
      <c r="A223" s="1" t="s">
        <v>236</v>
      </c>
      <c r="G223" s="9" t="str">
        <f>IFERROR(__xludf.DUMMYFUNCTION("SPLIT(A223,"","")"),"./src/main/java/org/jfree/chart/plot/CombinedRangeCategoryPlot.java")</f>
        <v>./src/main/java/org/jfree/chart/plot/CombinedRangeCategoryPlot.java</v>
      </c>
      <c r="H223" s="9">
        <f>IFERROR(__xludf.DUMMYFUNCTION("""COMPUTED_VALUE"""),12.0)</f>
        <v>12</v>
      </c>
      <c r="I223" s="9">
        <f>IFERROR(__xludf.DUMMYFUNCTION("""COMPUTED_VALUE"""),307.0)</f>
        <v>307</v>
      </c>
      <c r="J223" s="9">
        <f>IFERROR(__xludf.DUMMYFUNCTION("""COMPUTED_VALUE"""),40.39)</f>
        <v>40.39</v>
      </c>
      <c r="Q223" s="12" t="str">
        <f t="shared" ref="Q223:S223" si="227">IF(H223&gt;M$5, $G223, "")</f>
        <v/>
      </c>
      <c r="R223" s="13" t="str">
        <f t="shared" si="227"/>
        <v/>
      </c>
      <c r="S223" s="14" t="str">
        <f t="shared" si="227"/>
        <v/>
      </c>
    </row>
    <row r="224">
      <c r="A224" s="1" t="s">
        <v>237</v>
      </c>
      <c r="G224" s="9" t="str">
        <f>IFERROR(__xludf.DUMMYFUNCTION("SPLIT(A224,"","")"),"./src/main/java/org/jfree/chart/plot/CombinedRangeXYPlot.java")</f>
        <v>./src/main/java/org/jfree/chart/plot/CombinedRangeXYPlot.java</v>
      </c>
      <c r="H224" s="9">
        <f>IFERROR(__xludf.DUMMYFUNCTION("""COMPUTED_VALUE"""),16.0)</f>
        <v>16</v>
      </c>
      <c r="I224" s="9">
        <f>IFERROR(__xludf.DUMMYFUNCTION("""COMPUTED_VALUE"""),371.0)</f>
        <v>371</v>
      </c>
      <c r="J224" s="9">
        <f>IFERROR(__xludf.DUMMYFUNCTION("""COMPUTED_VALUE"""),42.57)</f>
        <v>42.57</v>
      </c>
      <c r="Q224" s="12" t="str">
        <f t="shared" ref="Q224:S224" si="228">IF(H224&gt;M$5, $G224, "")</f>
        <v/>
      </c>
      <c r="R224" s="13" t="str">
        <f t="shared" si="228"/>
        <v/>
      </c>
      <c r="S224" s="14" t="str">
        <f t="shared" si="228"/>
        <v/>
      </c>
    </row>
    <row r="225">
      <c r="A225" s="1" t="s">
        <v>238</v>
      </c>
      <c r="G225" s="9" t="str">
        <f>IFERROR(__xludf.DUMMYFUNCTION("SPLIT(A225,"","")"),"./src/main/java/org/jfree/chart/plot/compass/ArrowNeedle.java")</f>
        <v>./src/main/java/org/jfree/chart/plot/compass/ArrowNeedle.java</v>
      </c>
      <c r="H225" s="9">
        <f>IFERROR(__xludf.DUMMYFUNCTION("""COMPUTED_VALUE"""),2.0)</f>
        <v>2</v>
      </c>
      <c r="I225" s="9">
        <f>IFERROR(__xludf.DUMMYFUNCTION("""COMPUTED_VALUE"""),78.0)</f>
        <v>78</v>
      </c>
      <c r="J225" s="9">
        <f>IFERROR(__xludf.DUMMYFUNCTION("""COMPUTED_VALUE"""),50.0)</f>
        <v>50</v>
      </c>
      <c r="Q225" s="12" t="str">
        <f t="shared" ref="Q225:S225" si="229">IF(H225&gt;M$5, $G225, "")</f>
        <v/>
      </c>
      <c r="R225" s="13" t="str">
        <f t="shared" si="229"/>
        <v/>
      </c>
      <c r="S225" s="14" t="str">
        <f t="shared" si="229"/>
        <v/>
      </c>
    </row>
    <row r="226">
      <c r="A226" s="1" t="s">
        <v>239</v>
      </c>
      <c r="G226" s="9" t="str">
        <f>IFERROR(__xludf.DUMMYFUNCTION("SPLIT(A226,"","")"),"./src/main/java/org/jfree/chart/plot/compass/CompassPlot.java")</f>
        <v>./src/main/java/org/jfree/chart/plot/compass/CompassPlot.java</v>
      </c>
      <c r="H226" s="9">
        <f>IFERROR(__xludf.DUMMYFUNCTION("""COMPUTED_VALUE"""),5.0)</f>
        <v>5</v>
      </c>
      <c r="I226" s="9">
        <f>IFERROR(__xludf.DUMMYFUNCTION("""COMPUTED_VALUE"""),438.0)</f>
        <v>438</v>
      </c>
      <c r="J226" s="9">
        <f>IFERROR(__xludf.DUMMYFUNCTION("""COMPUTED_VALUE"""),43.56)</f>
        <v>43.56</v>
      </c>
      <c r="Q226" s="12" t="str">
        <f t="shared" ref="Q226:S226" si="230">IF(H226&gt;M$5, $G226, "")</f>
        <v/>
      </c>
      <c r="R226" s="13" t="str">
        <f t="shared" si="230"/>
        <v>./src/main/java/org/jfree/chart/plot/compass/CompassPlot.java</v>
      </c>
      <c r="S226" s="14" t="str">
        <f t="shared" si="230"/>
        <v/>
      </c>
    </row>
    <row r="227">
      <c r="A227" s="1" t="s">
        <v>240</v>
      </c>
      <c r="G227" s="9" t="str">
        <f>IFERROR(__xludf.DUMMYFUNCTION("SPLIT(A227,"","")"),"./src/main/java/org/jfree/chart/plot/compass/LineNeedle.java")</f>
        <v>./src/main/java/org/jfree/chart/plot/compass/LineNeedle.java</v>
      </c>
      <c r="H227" s="9">
        <f>IFERROR(__xludf.DUMMYFUNCTION("""COMPUTED_VALUE"""),2.0)</f>
        <v>2</v>
      </c>
      <c r="I227" s="9">
        <f>IFERROR(__xludf.DUMMYFUNCTION("""COMPUTED_VALUE"""),41.0)</f>
        <v>41</v>
      </c>
      <c r="J227" s="9">
        <f>IFERROR(__xludf.DUMMYFUNCTION("""COMPUTED_VALUE"""),62.73)</f>
        <v>62.73</v>
      </c>
      <c r="Q227" s="12" t="str">
        <f t="shared" ref="Q227:S227" si="231">IF(H227&gt;M$5, $G227, "")</f>
        <v/>
      </c>
      <c r="R227" s="13" t="str">
        <f t="shared" si="231"/>
        <v/>
      </c>
      <c r="S227" s="14" t="str">
        <f t="shared" si="231"/>
        <v/>
      </c>
    </row>
    <row r="228">
      <c r="A228" s="1" t="s">
        <v>241</v>
      </c>
      <c r="G228" s="9" t="str">
        <f>IFERROR(__xludf.DUMMYFUNCTION("SPLIT(A228,"","")"),"./src/main/java/org/jfree/chart/plot/compass/LongNeedle.java")</f>
        <v>./src/main/java/org/jfree/chart/plot/compass/LongNeedle.java</v>
      </c>
      <c r="H228" s="9">
        <f>IFERROR(__xludf.DUMMYFUNCTION("""COMPUTED_VALUE"""),2.0)</f>
        <v>2</v>
      </c>
      <c r="I228" s="9">
        <f>IFERROR(__xludf.DUMMYFUNCTION("""COMPUTED_VALUE"""),87.0)</f>
        <v>87</v>
      </c>
      <c r="J228" s="9">
        <f>IFERROR(__xludf.DUMMYFUNCTION("""COMPUTED_VALUE"""),45.96)</f>
        <v>45.96</v>
      </c>
      <c r="Q228" s="12" t="str">
        <f t="shared" ref="Q228:S228" si="232">IF(H228&gt;M$5, $G228, "")</f>
        <v/>
      </c>
      <c r="R228" s="13" t="str">
        <f t="shared" si="232"/>
        <v/>
      </c>
      <c r="S228" s="14" t="str">
        <f t="shared" si="232"/>
        <v/>
      </c>
    </row>
    <row r="229">
      <c r="A229" s="1" t="s">
        <v>242</v>
      </c>
      <c r="G229" s="9" t="str">
        <f>IFERROR(__xludf.DUMMYFUNCTION("SPLIT(A229,"","")"),"./src/main/java/org/jfree/chart/plot/compass/MeterNeedle.java")</f>
        <v>./src/main/java/org/jfree/chart/plot/compass/MeterNeedle.java</v>
      </c>
      <c r="H229" s="9">
        <f>IFERROR(__xludf.DUMMYFUNCTION("""COMPUTED_VALUE"""),3.0)</f>
        <v>3</v>
      </c>
      <c r="I229" s="9">
        <f>IFERROR(__xludf.DUMMYFUNCTION("""COMPUTED_VALUE"""),178.0)</f>
        <v>178</v>
      </c>
      <c r="J229" s="9">
        <f>IFERROR(__xludf.DUMMYFUNCTION("""COMPUTED_VALUE"""),52.66)</f>
        <v>52.66</v>
      </c>
      <c r="Q229" s="12" t="str">
        <f t="shared" ref="Q229:S229" si="233">IF(H229&gt;M$5, $G229, "")</f>
        <v/>
      </c>
      <c r="R229" s="13" t="str">
        <f t="shared" si="233"/>
        <v/>
      </c>
      <c r="S229" s="14" t="str">
        <f t="shared" si="233"/>
        <v/>
      </c>
    </row>
    <row r="230">
      <c r="A230" s="1" t="s">
        <v>243</v>
      </c>
      <c r="G230" s="9" t="str">
        <f>IFERROR(__xludf.DUMMYFUNCTION("SPLIT(A230,"","")"),"./src/main/java/org/jfree/chart/plot/compass/MiddlePinNeedle.java")</f>
        <v>./src/main/java/org/jfree/chart/plot/compass/MiddlePinNeedle.java</v>
      </c>
      <c r="H230" s="9">
        <f>IFERROR(__xludf.DUMMYFUNCTION("""COMPUTED_VALUE"""),3.0)</f>
        <v>3</v>
      </c>
      <c r="I230" s="9">
        <f>IFERROR(__xludf.DUMMYFUNCTION("""COMPUTED_VALUE"""),61.0)</f>
        <v>61</v>
      </c>
      <c r="J230" s="9">
        <f>IFERROR(__xludf.DUMMYFUNCTION("""COMPUTED_VALUE"""),53.79)</f>
        <v>53.79</v>
      </c>
      <c r="Q230" s="12" t="str">
        <f t="shared" ref="Q230:S230" si="234">IF(H230&gt;M$5, $G230, "")</f>
        <v/>
      </c>
      <c r="R230" s="13" t="str">
        <f t="shared" si="234"/>
        <v/>
      </c>
      <c r="S230" s="14" t="str">
        <f t="shared" si="234"/>
        <v/>
      </c>
    </row>
    <row r="231">
      <c r="A231" s="1" t="s">
        <v>244</v>
      </c>
      <c r="G231" s="9" t="str">
        <f>IFERROR(__xludf.DUMMYFUNCTION("SPLIT(A231,"","")"),"./src/main/java/org/jfree/chart/plot/compass/PinNeedle.java")</f>
        <v>./src/main/java/org/jfree/chart/plot/compass/PinNeedle.java</v>
      </c>
      <c r="H231" s="9">
        <f>IFERROR(__xludf.DUMMYFUNCTION("""COMPUTED_VALUE"""),3.0)</f>
        <v>3</v>
      </c>
      <c r="I231" s="9">
        <f>IFERROR(__xludf.DUMMYFUNCTION("""COMPUTED_VALUE"""),59.0)</f>
        <v>59</v>
      </c>
      <c r="J231" s="9">
        <f>IFERROR(__xludf.DUMMYFUNCTION("""COMPUTED_VALUE"""),54.62)</f>
        <v>54.62</v>
      </c>
      <c r="Q231" s="12" t="str">
        <f t="shared" ref="Q231:S231" si="235">IF(H231&gt;M$5, $G231, "")</f>
        <v/>
      </c>
      <c r="R231" s="13" t="str">
        <f t="shared" si="235"/>
        <v/>
      </c>
      <c r="S231" s="14" t="str">
        <f t="shared" si="235"/>
        <v/>
      </c>
    </row>
    <row r="232">
      <c r="A232" s="1" t="s">
        <v>245</v>
      </c>
      <c r="G232" s="9" t="str">
        <f>IFERROR(__xludf.DUMMYFUNCTION("SPLIT(A232,"","")"),"./src/main/java/org/jfree/chart/plot/compass/PlumNeedle.java")</f>
        <v>./src/main/java/org/jfree/chart/plot/compass/PlumNeedle.java</v>
      </c>
      <c r="H232" s="9">
        <f>IFERROR(__xludf.DUMMYFUNCTION("""COMPUTED_VALUE"""),2.0)</f>
        <v>2</v>
      </c>
      <c r="I232" s="9">
        <f>IFERROR(__xludf.DUMMYFUNCTION("""COMPUTED_VALUE"""),51.0)</f>
        <v>51</v>
      </c>
      <c r="J232" s="9">
        <f>IFERROR(__xludf.DUMMYFUNCTION("""COMPUTED_VALUE"""),57.5)</f>
        <v>57.5</v>
      </c>
      <c r="Q232" s="12" t="str">
        <f t="shared" ref="Q232:S232" si="236">IF(H232&gt;M$5, $G232, "")</f>
        <v/>
      </c>
      <c r="R232" s="13" t="str">
        <f t="shared" si="236"/>
        <v/>
      </c>
      <c r="S232" s="14" t="str">
        <f t="shared" si="236"/>
        <v/>
      </c>
    </row>
    <row r="233">
      <c r="A233" s="1" t="s">
        <v>246</v>
      </c>
      <c r="G233" s="9" t="str">
        <f>IFERROR(__xludf.DUMMYFUNCTION("SPLIT(A233,"","")"),"./src/main/java/org/jfree/chart/plot/compass/PointerNeedle.java")</f>
        <v>./src/main/java/org/jfree/chart/plot/compass/PointerNeedle.java</v>
      </c>
      <c r="H233" s="9">
        <f>IFERROR(__xludf.DUMMYFUNCTION("""COMPUTED_VALUE"""),2.0)</f>
        <v>2</v>
      </c>
      <c r="I233" s="9">
        <f>IFERROR(__xludf.DUMMYFUNCTION("""COMPUTED_VALUE"""),70.0)</f>
        <v>70</v>
      </c>
      <c r="J233" s="9">
        <f>IFERROR(__xludf.DUMMYFUNCTION("""COMPUTED_VALUE"""),50.0)</f>
        <v>50</v>
      </c>
      <c r="Q233" s="12" t="str">
        <f t="shared" ref="Q233:S233" si="237">IF(H233&gt;M$5, $G233, "")</f>
        <v/>
      </c>
      <c r="R233" s="13" t="str">
        <f t="shared" si="237"/>
        <v/>
      </c>
      <c r="S233" s="14" t="str">
        <f t="shared" si="237"/>
        <v/>
      </c>
    </row>
    <row r="234">
      <c r="A234" s="1" t="s">
        <v>247</v>
      </c>
      <c r="G234" s="9" t="str">
        <f>IFERROR(__xludf.DUMMYFUNCTION("SPLIT(A234,"","")"),"./src/main/java/org/jfree/chart/plot/compass/ShipNeedle.java")</f>
        <v>./src/main/java/org/jfree/chart/plot/compass/ShipNeedle.java</v>
      </c>
      <c r="H234" s="9">
        <f>IFERROR(__xludf.DUMMYFUNCTION("""COMPUTED_VALUE"""),2.0)</f>
        <v>2</v>
      </c>
      <c r="I234" s="9">
        <f>IFERROR(__xludf.DUMMYFUNCTION("""COMPUTED_VALUE"""),49.0)</f>
        <v>49</v>
      </c>
      <c r="J234" s="9">
        <f>IFERROR(__xludf.DUMMYFUNCTION("""COMPUTED_VALUE"""),58.82)</f>
        <v>58.82</v>
      </c>
      <c r="Q234" s="12" t="str">
        <f t="shared" ref="Q234:S234" si="238">IF(H234&gt;M$5, $G234, "")</f>
        <v/>
      </c>
      <c r="R234" s="13" t="str">
        <f t="shared" si="238"/>
        <v/>
      </c>
      <c r="S234" s="14" t="str">
        <f t="shared" si="238"/>
        <v/>
      </c>
    </row>
    <row r="235">
      <c r="A235" s="1" t="s">
        <v>248</v>
      </c>
      <c r="G235" s="9" t="str">
        <f>IFERROR(__xludf.DUMMYFUNCTION("SPLIT(A235,"","")"),"./src/main/java/org/jfree/chart/plot/compass/WindNeedle.java")</f>
        <v>./src/main/java/org/jfree/chart/plot/compass/WindNeedle.java</v>
      </c>
      <c r="H235" s="9">
        <f>IFERROR(__xludf.DUMMYFUNCTION("""COMPUTED_VALUE"""),2.0)</f>
        <v>2</v>
      </c>
      <c r="I235" s="9">
        <f>IFERROR(__xludf.DUMMYFUNCTION("""COMPUTED_VALUE"""),45.0)</f>
        <v>45</v>
      </c>
      <c r="J235" s="9">
        <f>IFERROR(__xludf.DUMMYFUNCTION("""COMPUTED_VALUE"""),58.72)</f>
        <v>58.72</v>
      </c>
      <c r="Q235" s="12" t="str">
        <f t="shared" ref="Q235:S235" si="239">IF(H235&gt;M$5, $G235, "")</f>
        <v/>
      </c>
      <c r="R235" s="13" t="str">
        <f t="shared" si="239"/>
        <v/>
      </c>
      <c r="S235" s="14" t="str">
        <f t="shared" si="239"/>
        <v/>
      </c>
    </row>
    <row r="236">
      <c r="A236" s="1" t="s">
        <v>249</v>
      </c>
      <c r="G236" s="9" t="str">
        <f>IFERROR(__xludf.DUMMYFUNCTION("SPLIT(A236,"","")"),"./src/main/java/org/jfree/chart/plot/Crosshair.java")</f>
        <v>./src/main/java/org/jfree/chart/plot/Crosshair.java</v>
      </c>
      <c r="H236" s="9">
        <f>IFERROR(__xludf.DUMMYFUNCTION("""COMPUTED_VALUE"""),16.0)</f>
        <v>16</v>
      </c>
      <c r="I236" s="9">
        <f>IFERROR(__xludf.DUMMYFUNCTION("""COMPUTED_VALUE"""),298.0)</f>
        <v>298</v>
      </c>
      <c r="J236" s="9">
        <f>IFERROR(__xludf.DUMMYFUNCTION("""COMPUTED_VALUE"""),55.79)</f>
        <v>55.79</v>
      </c>
      <c r="Q236" s="12" t="str">
        <f t="shared" ref="Q236:S236" si="240">IF(H236&gt;M$5, $G236, "")</f>
        <v/>
      </c>
      <c r="R236" s="13" t="str">
        <f t="shared" si="240"/>
        <v/>
      </c>
      <c r="S236" s="14" t="str">
        <f t="shared" si="240"/>
        <v/>
      </c>
    </row>
    <row r="237">
      <c r="A237" s="1" t="s">
        <v>250</v>
      </c>
      <c r="G237" s="9" t="str">
        <f>IFERROR(__xludf.DUMMYFUNCTION("SPLIT(A237,"","")"),"./src/main/java/org/jfree/chart/plot/CrosshairState.java")</f>
        <v>./src/main/java/org/jfree/chart/plot/CrosshairState.java</v>
      </c>
      <c r="H237" s="9">
        <f>IFERROR(__xludf.DUMMYFUNCTION("""COMPUTED_VALUE"""),7.0)</f>
        <v>7</v>
      </c>
      <c r="I237" s="9">
        <f>IFERROR(__xludf.DUMMYFUNCTION("""COMPUTED_VALUE"""),109.0)</f>
        <v>109</v>
      </c>
      <c r="J237" s="9">
        <f>IFERROR(__xludf.DUMMYFUNCTION("""COMPUTED_VALUE"""),66.36)</f>
        <v>66.36</v>
      </c>
      <c r="Q237" s="12" t="str">
        <f t="shared" ref="Q237:S237" si="241">IF(H237&gt;M$5, $G237, "")</f>
        <v/>
      </c>
      <c r="R237" s="13" t="str">
        <f t="shared" si="241"/>
        <v/>
      </c>
      <c r="S237" s="14" t="str">
        <f t="shared" si="241"/>
        <v/>
      </c>
    </row>
    <row r="238">
      <c r="A238" s="1" t="s">
        <v>251</v>
      </c>
      <c r="G238" s="9" t="str">
        <f>IFERROR(__xludf.DUMMYFUNCTION("SPLIT(A238,"","")"),"./src/main/java/org/jfree/chart/plot/DatasetRenderingOrder.java")</f>
        <v>./src/main/java/org/jfree/chart/plot/DatasetRenderingOrder.java</v>
      </c>
      <c r="H238" s="9">
        <f>IFERROR(__xludf.DUMMYFUNCTION("""COMPUTED_VALUE"""),5.0)</f>
        <v>5</v>
      </c>
      <c r="I238" s="9">
        <f>IFERROR(__xludf.DUMMYFUNCTION("""COMPUTED_VALUE"""),5.0)</f>
        <v>5</v>
      </c>
      <c r="J238" s="9">
        <f>IFERROR(__xludf.DUMMYFUNCTION("""COMPUTED_VALUE"""),91.67)</f>
        <v>91.67</v>
      </c>
      <c r="Q238" s="12" t="str">
        <f t="shared" ref="Q238:S238" si="242">IF(H238&gt;M$5, $G238, "")</f>
        <v/>
      </c>
      <c r="R238" s="13" t="str">
        <f t="shared" si="242"/>
        <v/>
      </c>
      <c r="S238" s="14" t="str">
        <f t="shared" si="242"/>
        <v/>
      </c>
    </row>
    <row r="239">
      <c r="A239" s="1" t="s">
        <v>252</v>
      </c>
      <c r="G239" s="9" t="str">
        <f>IFERROR(__xludf.DUMMYFUNCTION("SPLIT(A239,"","")"),"./src/main/java/org/jfree/chart/plot/DefaultDrawingSupplier.java")</f>
        <v>./src/main/java/org/jfree/chart/plot/DefaultDrawingSupplier.java</v>
      </c>
      <c r="H239" s="9">
        <f>IFERROR(__xludf.DUMMYFUNCTION("""COMPUTED_VALUE"""),8.0)</f>
        <v>8</v>
      </c>
      <c r="I239" s="9">
        <f>IFERROR(__xludf.DUMMYFUNCTION("""COMPUTED_VALUE"""),276.0)</f>
        <v>276</v>
      </c>
      <c r="J239" s="9">
        <f>IFERROR(__xludf.DUMMYFUNCTION("""COMPUTED_VALUE"""),40.39)</f>
        <v>40.39</v>
      </c>
      <c r="Q239" s="12" t="str">
        <f t="shared" ref="Q239:S239" si="243">IF(H239&gt;M$5, $G239, "")</f>
        <v/>
      </c>
      <c r="R239" s="13" t="str">
        <f t="shared" si="243"/>
        <v/>
      </c>
      <c r="S239" s="14" t="str">
        <f t="shared" si="243"/>
        <v/>
      </c>
    </row>
    <row r="240">
      <c r="A240" s="1" t="s">
        <v>253</v>
      </c>
      <c r="G240" s="9" t="str">
        <f>IFERROR(__xludf.DUMMYFUNCTION("SPLIT(A240,"","")"),"./src/main/java/org/jfree/chart/plot/dial/AbstractDialLayer.java")</f>
        <v>./src/main/java/org/jfree/chart/plot/dial/AbstractDialLayer.java</v>
      </c>
      <c r="H240" s="9">
        <f>IFERROR(__xludf.DUMMYFUNCTION("""COMPUTED_VALUE"""),6.0)</f>
        <v>6</v>
      </c>
      <c r="I240" s="9">
        <f>IFERROR(__xludf.DUMMYFUNCTION("""COMPUTED_VALUE"""),74.0)</f>
        <v>74</v>
      </c>
      <c r="J240" s="9">
        <f>IFERROR(__xludf.DUMMYFUNCTION("""COMPUTED_VALUE"""),61.66)</f>
        <v>61.66</v>
      </c>
      <c r="Q240" s="12" t="str">
        <f t="shared" ref="Q240:S240" si="244">IF(H240&gt;M$5, $G240, "")</f>
        <v/>
      </c>
      <c r="R240" s="13" t="str">
        <f t="shared" si="244"/>
        <v/>
      </c>
      <c r="S240" s="14" t="str">
        <f t="shared" si="244"/>
        <v/>
      </c>
    </row>
    <row r="241">
      <c r="A241" s="1" t="s">
        <v>254</v>
      </c>
      <c r="G241" s="9" t="str">
        <f>IFERROR(__xludf.DUMMYFUNCTION("SPLIT(A241,"","")"),"./src/main/java/org/jfree/chart/plot/dial/ArcDialFrame.java")</f>
        <v>./src/main/java/org/jfree/chart/plot/dial/ArcDialFrame.java</v>
      </c>
      <c r="H241" s="9">
        <f>IFERROR(__xludf.DUMMYFUNCTION("""COMPUTED_VALUE"""),10.0)</f>
        <v>10</v>
      </c>
      <c r="I241" s="9">
        <f>IFERROR(__xludf.DUMMYFUNCTION("""COMPUTED_VALUE"""),228.0)</f>
        <v>228</v>
      </c>
      <c r="J241" s="9">
        <f>IFERROR(__xludf.DUMMYFUNCTION("""COMPUTED_VALUE"""),51.18)</f>
        <v>51.18</v>
      </c>
      <c r="Q241" s="12" t="str">
        <f t="shared" ref="Q241:S241" si="245">IF(H241&gt;M$5, $G241, "")</f>
        <v/>
      </c>
      <c r="R241" s="13" t="str">
        <f t="shared" si="245"/>
        <v/>
      </c>
      <c r="S241" s="14" t="str">
        <f t="shared" si="245"/>
        <v/>
      </c>
    </row>
    <row r="242">
      <c r="A242" s="1" t="s">
        <v>255</v>
      </c>
      <c r="G242" s="9" t="str">
        <f>IFERROR(__xludf.DUMMYFUNCTION("SPLIT(A242,"","")"),"./src/main/java/org/jfree/chart/plot/dial/DialBackground.java")</f>
        <v>./src/main/java/org/jfree/chart/plot/dial/DialBackground.java</v>
      </c>
      <c r="H242" s="9">
        <f>IFERROR(__xludf.DUMMYFUNCTION("""COMPUTED_VALUE"""),11.0)</f>
        <v>11</v>
      </c>
      <c r="I242" s="9">
        <f>IFERROR(__xludf.DUMMYFUNCTION("""COMPUTED_VALUE"""),100.0)</f>
        <v>100</v>
      </c>
      <c r="J242" s="9">
        <f>IFERROR(__xludf.DUMMYFUNCTION("""COMPUTED_VALUE"""),58.68)</f>
        <v>58.68</v>
      </c>
      <c r="Q242" s="12" t="str">
        <f t="shared" ref="Q242:S242" si="246">IF(H242&gt;M$5, $G242, "")</f>
        <v/>
      </c>
      <c r="R242" s="13" t="str">
        <f t="shared" si="246"/>
        <v/>
      </c>
      <c r="S242" s="14" t="str">
        <f t="shared" si="246"/>
        <v/>
      </c>
    </row>
    <row r="243">
      <c r="A243" s="1" t="s">
        <v>256</v>
      </c>
      <c r="G243" s="9" t="str">
        <f>IFERROR(__xludf.DUMMYFUNCTION("SPLIT(A243,"","")"),"./src/main/java/org/jfree/chart/plot/dial/DialCap.java")</f>
        <v>./src/main/java/org/jfree/chart/plot/dial/DialCap.java</v>
      </c>
      <c r="H243" s="9">
        <f>IFERROR(__xludf.DUMMYFUNCTION("""COMPUTED_VALUE"""),10.0)</f>
        <v>10</v>
      </c>
      <c r="I243" s="9">
        <f>IFERROR(__xludf.DUMMYFUNCTION("""COMPUTED_VALUE"""),131.0)</f>
        <v>131</v>
      </c>
      <c r="J243" s="9">
        <f>IFERROR(__xludf.DUMMYFUNCTION("""COMPUTED_VALUE"""),57.05)</f>
        <v>57.05</v>
      </c>
      <c r="Q243" s="12" t="str">
        <f t="shared" ref="Q243:S243" si="247">IF(H243&gt;M$5, $G243, "")</f>
        <v/>
      </c>
      <c r="R243" s="13" t="str">
        <f t="shared" si="247"/>
        <v/>
      </c>
      <c r="S243" s="14" t="str">
        <f t="shared" si="247"/>
        <v/>
      </c>
    </row>
    <row r="244">
      <c r="A244" s="1" t="s">
        <v>257</v>
      </c>
      <c r="G244" s="9" t="str">
        <f>IFERROR(__xludf.DUMMYFUNCTION("SPLIT(A244,"","")"),"./src/main/java/org/jfree/chart/plot/dial/DialFrame.java")</f>
        <v>./src/main/java/org/jfree/chart/plot/dial/DialFrame.java</v>
      </c>
      <c r="H244" s="9">
        <f>IFERROR(__xludf.DUMMYFUNCTION("""COMPUTED_VALUE"""),4.0)</f>
        <v>4</v>
      </c>
      <c r="I244" s="9">
        <f>IFERROR(__xludf.DUMMYFUNCTION("""COMPUTED_VALUE"""),7.0)</f>
        <v>7</v>
      </c>
      <c r="J244" s="9">
        <f>IFERROR(__xludf.DUMMYFUNCTION("""COMPUTED_VALUE"""),88.14)</f>
        <v>88.14</v>
      </c>
      <c r="Q244" s="12" t="str">
        <f t="shared" ref="Q244:S244" si="248">IF(H244&gt;M$5, $G244, "")</f>
        <v/>
      </c>
      <c r="R244" s="13" t="str">
        <f t="shared" si="248"/>
        <v/>
      </c>
      <c r="S244" s="14" t="str">
        <f t="shared" si="248"/>
        <v/>
      </c>
    </row>
    <row r="245">
      <c r="A245" s="1" t="s">
        <v>258</v>
      </c>
      <c r="G245" s="9" t="str">
        <f>IFERROR(__xludf.DUMMYFUNCTION("SPLIT(A245,"","")"),"./src/main/java/org/jfree/chart/plot/dial/DialLayer.java")</f>
        <v>./src/main/java/org/jfree/chart/plot/dial/DialLayer.java</v>
      </c>
      <c r="H245" s="9">
        <f>IFERROR(__xludf.DUMMYFUNCTION("""COMPUTED_VALUE"""),4.0)</f>
        <v>4</v>
      </c>
      <c r="I245" s="9">
        <f>IFERROR(__xludf.DUMMYFUNCTION("""COMPUTED_VALUE"""),14.0)</f>
        <v>14</v>
      </c>
      <c r="J245" s="9">
        <f>IFERROR(__xludf.DUMMYFUNCTION("""COMPUTED_VALUE"""),86.27)</f>
        <v>86.27</v>
      </c>
      <c r="Q245" s="12" t="str">
        <f t="shared" ref="Q245:S245" si="249">IF(H245&gt;M$5, $G245, "")</f>
        <v/>
      </c>
      <c r="R245" s="13" t="str">
        <f t="shared" si="249"/>
        <v/>
      </c>
      <c r="S245" s="14" t="str">
        <f t="shared" si="249"/>
        <v/>
      </c>
    </row>
    <row r="246">
      <c r="A246" s="1" t="s">
        <v>259</v>
      </c>
      <c r="G246" s="9" t="str">
        <f>IFERROR(__xludf.DUMMYFUNCTION("SPLIT(A246,"","")"),"./src/main/java/org/jfree/chart/plot/dial/DialLayerChangeEvent.java")</f>
        <v>./src/main/java/org/jfree/chart/plot/dial/DialLayerChangeEvent.java</v>
      </c>
      <c r="H246" s="9">
        <f>IFERROR(__xludf.DUMMYFUNCTION("""COMPUTED_VALUE"""),3.0)</f>
        <v>3</v>
      </c>
      <c r="I246" s="9">
        <f>IFERROR(__xludf.DUMMYFUNCTION("""COMPUTED_VALUE"""),12.0)</f>
        <v>12</v>
      </c>
      <c r="J246" s="9">
        <f>IFERROR(__xludf.DUMMYFUNCTION("""COMPUTED_VALUE"""),80.65)</f>
        <v>80.65</v>
      </c>
      <c r="Q246" s="12" t="str">
        <f t="shared" ref="Q246:S246" si="250">IF(H246&gt;M$5, $G246, "")</f>
        <v/>
      </c>
      <c r="R246" s="13" t="str">
        <f t="shared" si="250"/>
        <v/>
      </c>
      <c r="S246" s="14" t="str">
        <f t="shared" si="250"/>
        <v/>
      </c>
    </row>
    <row r="247">
      <c r="A247" s="1" t="s">
        <v>260</v>
      </c>
      <c r="G247" s="9" t="str">
        <f>IFERROR(__xludf.DUMMYFUNCTION("SPLIT(A247,"","")"),"./src/main/java/org/jfree/chart/plot/dial/DialLayerChangeListener.java")</f>
        <v>./src/main/java/org/jfree/chart/plot/dial/DialLayerChangeListener.java</v>
      </c>
      <c r="H247" s="9">
        <f>IFERROR(__xludf.DUMMYFUNCTION("""COMPUTED_VALUE"""),4.0)</f>
        <v>4</v>
      </c>
      <c r="I247" s="9">
        <f>IFERROR(__xludf.DUMMYFUNCTION("""COMPUTED_VALUE"""),5.0)</f>
        <v>5</v>
      </c>
      <c r="J247" s="9">
        <f>IFERROR(__xludf.DUMMYFUNCTION("""COMPUTED_VALUE"""),90.2)</f>
        <v>90.2</v>
      </c>
      <c r="Q247" s="12" t="str">
        <f t="shared" ref="Q247:S247" si="251">IF(H247&gt;M$5, $G247, "")</f>
        <v/>
      </c>
      <c r="R247" s="13" t="str">
        <f t="shared" si="251"/>
        <v/>
      </c>
      <c r="S247" s="14" t="str">
        <f t="shared" si="251"/>
        <v/>
      </c>
    </row>
    <row r="248">
      <c r="A248" s="1" t="s">
        <v>261</v>
      </c>
      <c r="G248" s="9" t="str">
        <f>IFERROR(__xludf.DUMMYFUNCTION("SPLIT(A248,"","")"),"./src/main/java/org/jfree/chart/plot/dial/DialPlot.java")</f>
        <v>./src/main/java/org/jfree/chart/plot/dial/DialPlot.java</v>
      </c>
      <c r="H248" s="9">
        <f>IFERROR(__xludf.DUMMYFUNCTION("""COMPUTED_VALUE"""),16.0)</f>
        <v>16</v>
      </c>
      <c r="I248" s="9">
        <f>IFERROR(__xludf.DUMMYFUNCTION("""COMPUTED_VALUE"""),373.0)</f>
        <v>373</v>
      </c>
      <c r="J248" s="9">
        <f>IFERROR(__xludf.DUMMYFUNCTION("""COMPUTED_VALUE"""),50.4)</f>
        <v>50.4</v>
      </c>
      <c r="Q248" s="12" t="str">
        <f t="shared" ref="Q248:S248" si="252">IF(H248&gt;M$5, $G248, "")</f>
        <v/>
      </c>
      <c r="R248" s="13" t="str">
        <f t="shared" si="252"/>
        <v/>
      </c>
      <c r="S248" s="14" t="str">
        <f t="shared" si="252"/>
        <v/>
      </c>
    </row>
    <row r="249">
      <c r="A249" s="1" t="s">
        <v>262</v>
      </c>
      <c r="G249" s="9" t="str">
        <f>IFERROR(__xludf.DUMMYFUNCTION("SPLIT(A249,"","")"),"./src/main/java/org/jfree/chart/plot/dial/DialPointer.java")</f>
        <v>./src/main/java/org/jfree/chart/plot/dial/DialPointer.java</v>
      </c>
      <c r="H249" s="9">
        <f>IFERROR(__xludf.DUMMYFUNCTION("""COMPUTED_VALUE"""),10.0)</f>
        <v>10</v>
      </c>
      <c r="I249" s="9">
        <f>IFERROR(__xludf.DUMMYFUNCTION("""COMPUTED_VALUE"""),279.0)</f>
        <v>279</v>
      </c>
      <c r="J249" s="9">
        <f>IFERROR(__xludf.DUMMYFUNCTION("""COMPUTED_VALUE"""),50.36)</f>
        <v>50.36</v>
      </c>
      <c r="Q249" s="12" t="str">
        <f t="shared" ref="Q249:S249" si="253">IF(H249&gt;M$5, $G249, "")</f>
        <v/>
      </c>
      <c r="R249" s="13" t="str">
        <f t="shared" si="253"/>
        <v/>
      </c>
      <c r="S249" s="14" t="str">
        <f t="shared" si="253"/>
        <v/>
      </c>
    </row>
    <row r="250">
      <c r="A250" s="1" t="s">
        <v>263</v>
      </c>
      <c r="G250" s="9" t="str">
        <f>IFERROR(__xludf.DUMMYFUNCTION("SPLIT(A250,"","")"),"./src/main/java/org/jfree/chart/plot/dial/DialScale.java")</f>
        <v>./src/main/java/org/jfree/chart/plot/dial/DialScale.java</v>
      </c>
      <c r="H250" s="9">
        <f>IFERROR(__xludf.DUMMYFUNCTION("""COMPUTED_VALUE"""),4.0)</f>
        <v>4</v>
      </c>
      <c r="I250" s="9">
        <f>IFERROR(__xludf.DUMMYFUNCTION("""COMPUTED_VALUE"""),5.0)</f>
        <v>5</v>
      </c>
      <c r="J250" s="9">
        <f>IFERROR(__xludf.DUMMYFUNCTION("""COMPUTED_VALUE"""),92.06)</f>
        <v>92.06</v>
      </c>
      <c r="Q250" s="12" t="str">
        <f t="shared" ref="Q250:S250" si="254">IF(H250&gt;M$5, $G250, "")</f>
        <v/>
      </c>
      <c r="R250" s="13" t="str">
        <f t="shared" si="254"/>
        <v/>
      </c>
      <c r="S250" s="14" t="str">
        <f t="shared" si="254"/>
        <v/>
      </c>
    </row>
    <row r="251">
      <c r="A251" s="1" t="s">
        <v>264</v>
      </c>
      <c r="G251" s="9" t="str">
        <f>IFERROR(__xludf.DUMMYFUNCTION("SPLIT(A251,"","")"),"./src/main/java/org/jfree/chart/plot/dial/DialTextAnnotation.java")</f>
        <v>./src/main/java/org/jfree/chart/plot/dial/DialTextAnnotation.java</v>
      </c>
      <c r="H251" s="9">
        <f>IFERROR(__xludf.DUMMYFUNCTION("""COMPUTED_VALUE"""),12.0)</f>
        <v>12</v>
      </c>
      <c r="I251" s="9">
        <f>IFERROR(__xludf.DUMMYFUNCTION("""COMPUTED_VALUE"""),159.0)</f>
        <v>159</v>
      </c>
      <c r="J251" s="9">
        <f>IFERROR(__xludf.DUMMYFUNCTION("""COMPUTED_VALUE"""),55.96)</f>
        <v>55.96</v>
      </c>
      <c r="Q251" s="12" t="str">
        <f t="shared" ref="Q251:S251" si="255">IF(H251&gt;M$5, $G251, "")</f>
        <v/>
      </c>
      <c r="R251" s="13" t="str">
        <f t="shared" si="255"/>
        <v/>
      </c>
      <c r="S251" s="14" t="str">
        <f t="shared" si="255"/>
        <v/>
      </c>
    </row>
    <row r="252">
      <c r="A252" s="1" t="s">
        <v>265</v>
      </c>
      <c r="G252" s="9" t="str">
        <f>IFERROR(__xludf.DUMMYFUNCTION("SPLIT(A252,"","")"),"./src/main/java/org/jfree/chart/plot/dial/DialValueIndicator.java")</f>
        <v>./src/main/java/org/jfree/chart/plot/dial/DialValueIndicator.java</v>
      </c>
      <c r="H252" s="9">
        <f>IFERROR(__xludf.DUMMYFUNCTION("""COMPUTED_VALUE"""),16.0)</f>
        <v>16</v>
      </c>
      <c r="I252" s="9">
        <f>IFERROR(__xludf.DUMMYFUNCTION("""COMPUTED_VALUE"""),327.0)</f>
        <v>327</v>
      </c>
      <c r="J252" s="9">
        <f>IFERROR(__xludf.DUMMYFUNCTION("""COMPUTED_VALUE"""),52.61)</f>
        <v>52.61</v>
      </c>
      <c r="Q252" s="12" t="str">
        <f t="shared" ref="Q252:S252" si="256">IF(H252&gt;M$5, $G252, "")</f>
        <v/>
      </c>
      <c r="R252" s="13" t="str">
        <f t="shared" si="256"/>
        <v/>
      </c>
      <c r="S252" s="14" t="str">
        <f t="shared" si="256"/>
        <v/>
      </c>
    </row>
    <row r="253">
      <c r="A253" s="1" t="s">
        <v>266</v>
      </c>
      <c r="G253" s="9" t="str">
        <f>IFERROR(__xludf.DUMMYFUNCTION("SPLIT(A253,"","")"),"./src/main/java/org/jfree/chart/plot/dial/StandardDialFrame.java")</f>
        <v>./src/main/java/org/jfree/chart/plot/dial/StandardDialFrame.java</v>
      </c>
      <c r="H253" s="9">
        <f>IFERROR(__xludf.DUMMYFUNCTION("""COMPUTED_VALUE"""),10.0)</f>
        <v>10</v>
      </c>
      <c r="I253" s="9">
        <f>IFERROR(__xludf.DUMMYFUNCTION("""COMPUTED_VALUE"""),149.0)</f>
        <v>149</v>
      </c>
      <c r="J253" s="9">
        <f>IFERROR(__xludf.DUMMYFUNCTION("""COMPUTED_VALUE"""),53.73)</f>
        <v>53.73</v>
      </c>
      <c r="Q253" s="12" t="str">
        <f t="shared" ref="Q253:S253" si="257">IF(H253&gt;M$5, $G253, "")</f>
        <v/>
      </c>
      <c r="R253" s="13" t="str">
        <f t="shared" si="257"/>
        <v/>
      </c>
      <c r="S253" s="14" t="str">
        <f t="shared" si="257"/>
        <v/>
      </c>
    </row>
    <row r="254">
      <c r="A254" s="1" t="s">
        <v>267</v>
      </c>
      <c r="G254" s="9" t="str">
        <f>IFERROR(__xludf.DUMMYFUNCTION("SPLIT(A254,"","")"),"./src/main/java/org/jfree/chart/plot/dial/StandardDialRange.java")</f>
        <v>./src/main/java/org/jfree/chart/plot/dial/StandardDialRange.java</v>
      </c>
      <c r="H254" s="9">
        <f>IFERROR(__xludf.DUMMYFUNCTION("""COMPUTED_VALUE"""),10.0)</f>
        <v>10</v>
      </c>
      <c r="I254" s="9">
        <f>IFERROR(__xludf.DUMMYFUNCTION("""COMPUTED_VALUE"""),181.0)</f>
        <v>181</v>
      </c>
      <c r="J254" s="9">
        <f>IFERROR(__xludf.DUMMYFUNCTION("""COMPUTED_VALUE"""),53.71)</f>
        <v>53.71</v>
      </c>
      <c r="Q254" s="12" t="str">
        <f t="shared" ref="Q254:S254" si="258">IF(H254&gt;M$5, $G254, "")</f>
        <v/>
      </c>
      <c r="R254" s="13" t="str">
        <f t="shared" si="258"/>
        <v/>
      </c>
      <c r="S254" s="14" t="str">
        <f t="shared" si="258"/>
        <v/>
      </c>
    </row>
    <row r="255">
      <c r="A255" s="1" t="s">
        <v>268</v>
      </c>
      <c r="G255" s="9" t="str">
        <f>IFERROR(__xludf.DUMMYFUNCTION("SPLIT(A255,"","")"),"./src/main/java/org/jfree/chart/plot/dial/StandardDialScale.java")</f>
        <v>./src/main/java/org/jfree/chart/plot/dial/StandardDialScale.java</v>
      </c>
      <c r="H255" s="9">
        <f>IFERROR(__xludf.DUMMYFUNCTION("""COMPUTED_VALUE"""),11.0)</f>
        <v>11</v>
      </c>
      <c r="I255" s="9">
        <f>IFERROR(__xludf.DUMMYFUNCTION("""COMPUTED_VALUE"""),417.0)</f>
        <v>417</v>
      </c>
      <c r="J255" s="9">
        <f>IFERROR(__xludf.DUMMYFUNCTION("""COMPUTED_VALUE"""),54.58)</f>
        <v>54.58</v>
      </c>
      <c r="Q255" s="12" t="str">
        <f t="shared" ref="Q255:S255" si="259">IF(H255&gt;M$5, $G255, "")</f>
        <v/>
      </c>
      <c r="R255" s="13" t="str">
        <f t="shared" si="259"/>
        <v/>
      </c>
      <c r="S255" s="14" t="str">
        <f t="shared" si="259"/>
        <v/>
      </c>
    </row>
    <row r="256">
      <c r="A256" s="1" t="s">
        <v>269</v>
      </c>
      <c r="G256" s="9" t="str">
        <f>IFERROR(__xludf.DUMMYFUNCTION("SPLIT(A256,"","")"),"./src/main/java/org/jfree/chart/plot/DialShape.java")</f>
        <v>./src/main/java/org/jfree/chart/plot/DialShape.java</v>
      </c>
      <c r="H256" s="9">
        <f>IFERROR(__xludf.DUMMYFUNCTION("""COMPUTED_VALUE"""),6.0)</f>
        <v>6</v>
      </c>
      <c r="I256" s="9">
        <f>IFERROR(__xludf.DUMMYFUNCTION("""COMPUTED_VALUE"""),6.0)</f>
        <v>6</v>
      </c>
      <c r="J256" s="9">
        <f>IFERROR(__xludf.DUMMYFUNCTION("""COMPUTED_VALUE"""),87.5)</f>
        <v>87.5</v>
      </c>
      <c r="Q256" s="12" t="str">
        <f t="shared" ref="Q256:S256" si="260">IF(H256&gt;M$5, $G256, "")</f>
        <v/>
      </c>
      <c r="R256" s="13" t="str">
        <f t="shared" si="260"/>
        <v/>
      </c>
      <c r="S256" s="14" t="str">
        <f t="shared" si="260"/>
        <v/>
      </c>
    </row>
    <row r="257">
      <c r="A257" s="1" t="s">
        <v>270</v>
      </c>
      <c r="G257" s="9" t="str">
        <f>IFERROR(__xludf.DUMMYFUNCTION("SPLIT(A257,"","")"),"./src/main/java/org/jfree/chart/plot/DrawingSupplier.java")</f>
        <v>./src/main/java/org/jfree/chart/plot/DrawingSupplier.java</v>
      </c>
      <c r="H257" s="9">
        <f>IFERROR(__xludf.DUMMYFUNCTION("""COMPUTED_VALUE"""),5.0)</f>
        <v>5</v>
      </c>
      <c r="I257" s="9">
        <f>IFERROR(__xludf.DUMMYFUNCTION("""COMPUTED_VALUE"""),12.0)</f>
        <v>12</v>
      </c>
      <c r="J257" s="9">
        <f>IFERROR(__xludf.DUMMYFUNCTION("""COMPUTED_VALUE"""),86.36)</f>
        <v>86.36</v>
      </c>
      <c r="Q257" s="12" t="str">
        <f t="shared" ref="Q257:S257" si="261">IF(H257&gt;M$5, $G257, "")</f>
        <v/>
      </c>
      <c r="R257" s="13" t="str">
        <f t="shared" si="261"/>
        <v/>
      </c>
      <c r="S257" s="14" t="str">
        <f t="shared" si="261"/>
        <v/>
      </c>
    </row>
    <row r="258">
      <c r="A258" s="1" t="s">
        <v>271</v>
      </c>
      <c r="G258" s="9" t="str">
        <f>IFERROR(__xludf.DUMMYFUNCTION("SPLIT(A258,"","")"),"./src/main/java/org/jfree/chart/plot/FastScatterPlot.java")</f>
        <v>./src/main/java/org/jfree/chart/plot/FastScatterPlot.java</v>
      </c>
      <c r="H258" s="9">
        <f>IFERROR(__xludf.DUMMYFUNCTION("""COMPUTED_VALUE"""),15.0)</f>
        <v>15</v>
      </c>
      <c r="I258" s="9">
        <f>IFERROR(__xludf.DUMMYFUNCTION("""COMPUTED_VALUE"""),507.0)</f>
        <v>507</v>
      </c>
      <c r="J258" s="9">
        <f>IFERROR(__xludf.DUMMYFUNCTION("""COMPUTED_VALUE"""),47.95)</f>
        <v>47.95</v>
      </c>
      <c r="Q258" s="12" t="str">
        <f t="shared" ref="Q258:S258" si="262">IF(H258&gt;M$5, $G258, "")</f>
        <v/>
      </c>
      <c r="R258" s="13" t="str">
        <f t="shared" si="262"/>
        <v>./src/main/java/org/jfree/chart/plot/FastScatterPlot.java</v>
      </c>
      <c r="S258" s="14" t="str">
        <f t="shared" si="262"/>
        <v/>
      </c>
    </row>
    <row r="259">
      <c r="A259" s="1" t="s">
        <v>272</v>
      </c>
      <c r="G259" s="9" t="str">
        <f>IFERROR(__xludf.DUMMYFUNCTION("SPLIT(A259,"","")"),"./src/main/java/org/jfree/chart/plot/flow/FlowPlot.java")</f>
        <v>./src/main/java/org/jfree/chart/plot/flow/FlowPlot.java</v>
      </c>
      <c r="H259" s="9">
        <f>IFERROR(__xludf.DUMMYFUNCTION("""COMPUTED_VALUE"""),3.0)</f>
        <v>3</v>
      </c>
      <c r="I259" s="9">
        <f>IFERROR(__xludf.DUMMYFUNCTION("""COMPUTED_VALUE"""),455.0)</f>
        <v>455</v>
      </c>
      <c r="J259" s="9">
        <f>IFERROR(__xludf.DUMMYFUNCTION("""COMPUTED_VALUE"""),39.74)</f>
        <v>39.74</v>
      </c>
      <c r="Q259" s="12" t="str">
        <f t="shared" ref="Q259:S259" si="263">IF(H259&gt;M$5, $G259, "")</f>
        <v/>
      </c>
      <c r="R259" s="13" t="str">
        <f t="shared" si="263"/>
        <v>./src/main/java/org/jfree/chart/plot/flow/FlowPlot.java</v>
      </c>
      <c r="S259" s="14" t="str">
        <f t="shared" si="263"/>
        <v/>
      </c>
    </row>
    <row r="260">
      <c r="A260" s="1" t="s">
        <v>273</v>
      </c>
      <c r="G260" s="9" t="str">
        <f>IFERROR(__xludf.DUMMYFUNCTION("SPLIT(A260,"","")"),"./src/main/java/org/jfree/chart/plot/IntervalMarker.java")</f>
        <v>./src/main/java/org/jfree/chart/plot/IntervalMarker.java</v>
      </c>
      <c r="H260" s="9">
        <f>IFERROR(__xludf.DUMMYFUNCTION("""COMPUTED_VALUE"""),8.0)</f>
        <v>8</v>
      </c>
      <c r="I260" s="9">
        <f>IFERROR(__xludf.DUMMYFUNCTION("""COMPUTED_VALUE"""),82.0)</f>
        <v>82</v>
      </c>
      <c r="J260" s="9">
        <f>IFERROR(__xludf.DUMMYFUNCTION("""COMPUTED_VALUE"""),58.38)</f>
        <v>58.38</v>
      </c>
      <c r="Q260" s="12" t="str">
        <f t="shared" ref="Q260:S260" si="264">IF(H260&gt;M$5, $G260, "")</f>
        <v/>
      </c>
      <c r="R260" s="13" t="str">
        <f t="shared" si="264"/>
        <v/>
      </c>
      <c r="S260" s="14" t="str">
        <f t="shared" si="264"/>
        <v/>
      </c>
    </row>
    <row r="261">
      <c r="A261" s="1" t="s">
        <v>274</v>
      </c>
      <c r="G261" s="9" t="str">
        <f>IFERROR(__xludf.DUMMYFUNCTION("SPLIT(A261,"","")"),"./src/main/java/org/jfree/chart/plot/Marker.java")</f>
        <v>./src/main/java/org/jfree/chart/plot/Marker.java</v>
      </c>
      <c r="H261" s="9">
        <f>IFERROR(__xludf.DUMMYFUNCTION("""COMPUTED_VALUE"""),13.0)</f>
        <v>13</v>
      </c>
      <c r="I261" s="9">
        <f>IFERROR(__xludf.DUMMYFUNCTION("""COMPUTED_VALUE"""),268.0)</f>
        <v>268</v>
      </c>
      <c r="J261" s="9">
        <f>IFERROR(__xludf.DUMMYFUNCTION("""COMPUTED_VALUE"""),55.56)</f>
        <v>55.56</v>
      </c>
      <c r="Q261" s="12" t="str">
        <f t="shared" ref="Q261:S261" si="265">IF(H261&gt;M$5, $G261, "")</f>
        <v/>
      </c>
      <c r="R261" s="13" t="str">
        <f t="shared" si="265"/>
        <v/>
      </c>
      <c r="S261" s="14" t="str">
        <f t="shared" si="265"/>
        <v/>
      </c>
    </row>
    <row r="262">
      <c r="A262" s="1" t="s">
        <v>275</v>
      </c>
      <c r="G262" s="9" t="str">
        <f>IFERROR(__xludf.DUMMYFUNCTION("SPLIT(A262,"","")"),"./src/main/java/org/jfree/chart/plot/MeterInterval.java")</f>
        <v>./src/main/java/org/jfree/chart/plot/MeterInterval.java</v>
      </c>
      <c r="H262" s="9">
        <f>IFERROR(__xludf.DUMMYFUNCTION("""COMPUTED_VALUE"""),9.0)</f>
        <v>9</v>
      </c>
      <c r="I262" s="9">
        <f>IFERROR(__xludf.DUMMYFUNCTION("""COMPUTED_VALUE"""),89.0)</f>
        <v>89</v>
      </c>
      <c r="J262" s="9">
        <f>IFERROR(__xludf.DUMMYFUNCTION("""COMPUTED_VALUE"""),55.05)</f>
        <v>55.05</v>
      </c>
      <c r="Q262" s="12" t="str">
        <f t="shared" ref="Q262:S262" si="266">IF(H262&gt;M$5, $G262, "")</f>
        <v/>
      </c>
      <c r="R262" s="13" t="str">
        <f t="shared" si="266"/>
        <v/>
      </c>
      <c r="S262" s="14" t="str">
        <f t="shared" si="266"/>
        <v/>
      </c>
    </row>
    <row r="263">
      <c r="A263" s="1" t="s">
        <v>276</v>
      </c>
      <c r="G263" s="9" t="str">
        <f>IFERROR(__xludf.DUMMYFUNCTION("SPLIT(A263,"","")"),"./src/main/java/org/jfree/chart/plot/MeterPlot.java")</f>
        <v>./src/main/java/org/jfree/chart/plot/MeterPlot.java</v>
      </c>
      <c r="H263" s="9">
        <f>IFERROR(__xludf.DUMMYFUNCTION("""COMPUTED_VALUE"""),19.0)</f>
        <v>19</v>
      </c>
      <c r="I263" s="9">
        <f>IFERROR(__xludf.DUMMYFUNCTION("""COMPUTED_VALUE"""),643.0)</f>
        <v>643</v>
      </c>
      <c r="J263" s="9">
        <f>IFERROR(__xludf.DUMMYFUNCTION("""COMPUTED_VALUE"""),44.71)</f>
        <v>44.71</v>
      </c>
      <c r="Q263" s="12" t="str">
        <f t="shared" ref="Q263:S263" si="267">IF(H263&gt;M$5, $G263, "")</f>
        <v>./src/main/java/org/jfree/chart/plot/MeterPlot.java</v>
      </c>
      <c r="R263" s="13" t="str">
        <f t="shared" si="267"/>
        <v>./src/main/java/org/jfree/chart/plot/MeterPlot.java</v>
      </c>
      <c r="S263" s="14" t="str">
        <f t="shared" si="267"/>
        <v/>
      </c>
    </row>
    <row r="264">
      <c r="A264" s="1" t="s">
        <v>277</v>
      </c>
      <c r="G264" s="9" t="str">
        <f>IFERROR(__xludf.DUMMYFUNCTION("SPLIT(A264,"","")"),"./src/main/java/org/jfree/chart/plot/Pannable.java")</f>
        <v>./src/main/java/org/jfree/chart/plot/Pannable.java</v>
      </c>
      <c r="H264" s="9">
        <f>IFERROR(__xludf.DUMMYFUNCTION("""COMPUTED_VALUE"""),4.0)</f>
        <v>4</v>
      </c>
      <c r="I264" s="9">
        <f>IFERROR(__xludf.DUMMYFUNCTION("""COMPUTED_VALUE"""),11.0)</f>
        <v>11</v>
      </c>
      <c r="J264" s="9">
        <f>IFERROR(__xludf.DUMMYFUNCTION("""COMPUTED_VALUE"""),86.25)</f>
        <v>86.25</v>
      </c>
      <c r="Q264" s="12" t="str">
        <f t="shared" ref="Q264:S264" si="268">IF(H264&gt;M$5, $G264, "")</f>
        <v/>
      </c>
      <c r="R264" s="13" t="str">
        <f t="shared" si="268"/>
        <v/>
      </c>
      <c r="S264" s="14" t="str">
        <f t="shared" si="268"/>
        <v/>
      </c>
    </row>
    <row r="265">
      <c r="A265" s="1" t="s">
        <v>278</v>
      </c>
      <c r="G265" s="9" t="str">
        <f>IFERROR(__xludf.DUMMYFUNCTION("SPLIT(A265,"","")"),"./src/main/java/org/jfree/chart/plot/pie/AbstractPieLabelDistributor.java")</f>
        <v>./src/main/java/org/jfree/chart/plot/pie/AbstractPieLabelDistributor.java</v>
      </c>
      <c r="H265" s="9">
        <f>IFERROR(__xludf.DUMMYFUNCTION("""COMPUTED_VALUE"""),2.0)</f>
        <v>2</v>
      </c>
      <c r="I265" s="9">
        <f>IFERROR(__xludf.DUMMYFUNCTION("""COMPUTED_VALUE"""),24.0)</f>
        <v>24</v>
      </c>
      <c r="J265" s="9">
        <f>IFERROR(__xludf.DUMMYFUNCTION("""COMPUTED_VALUE"""),75.0)</f>
        <v>75</v>
      </c>
      <c r="Q265" s="12" t="str">
        <f t="shared" ref="Q265:S265" si="269">IF(H265&gt;M$5, $G265, "")</f>
        <v/>
      </c>
      <c r="R265" s="13" t="str">
        <f t="shared" si="269"/>
        <v/>
      </c>
      <c r="S265" s="14" t="str">
        <f t="shared" si="269"/>
        <v/>
      </c>
    </row>
    <row r="266">
      <c r="A266" s="1" t="s">
        <v>279</v>
      </c>
      <c r="G266" s="9" t="str">
        <f>IFERROR(__xludf.DUMMYFUNCTION("SPLIT(A266,"","")"),"./src/main/java/org/jfree/chart/plot/pie/MultiplePiePlot.java")</f>
        <v>./src/main/java/org/jfree/chart/plot/pie/MultiplePiePlot.java</v>
      </c>
      <c r="H266" s="9">
        <f>IFERROR(__xludf.DUMMYFUNCTION("""COMPUTED_VALUE"""),5.0)</f>
        <v>5</v>
      </c>
      <c r="I266" s="9">
        <f>IFERROR(__xludf.DUMMYFUNCTION("""COMPUTED_VALUE"""),355.0)</f>
        <v>355</v>
      </c>
      <c r="J266" s="9">
        <f>IFERROR(__xludf.DUMMYFUNCTION("""COMPUTED_VALUE"""),38.15)</f>
        <v>38.15</v>
      </c>
      <c r="Q266" s="12" t="str">
        <f t="shared" ref="Q266:S266" si="270">IF(H266&gt;M$5, $G266, "")</f>
        <v/>
      </c>
      <c r="R266" s="13" t="str">
        <f t="shared" si="270"/>
        <v/>
      </c>
      <c r="S266" s="14" t="str">
        <f t="shared" si="270"/>
        <v/>
      </c>
    </row>
    <row r="267">
      <c r="A267" s="1" t="s">
        <v>280</v>
      </c>
      <c r="G267" s="9" t="str">
        <f>IFERROR(__xludf.DUMMYFUNCTION("SPLIT(A267,"","")"),"./src/main/java/org/jfree/chart/plot/pie/PieLabelDistributor.java")</f>
        <v>./src/main/java/org/jfree/chart/plot/pie/PieLabelDistributor.java</v>
      </c>
      <c r="H267" s="9">
        <f>IFERROR(__xludf.DUMMYFUNCTION("""COMPUTED_VALUE"""),2.0)</f>
        <v>2</v>
      </c>
      <c r="I267" s="9">
        <f>IFERROR(__xludf.DUMMYFUNCTION("""COMPUTED_VALUE"""),106.0)</f>
        <v>106</v>
      </c>
      <c r="J267" s="9">
        <f>IFERROR(__xludf.DUMMYFUNCTION("""COMPUTED_VALUE"""),46.46)</f>
        <v>46.46</v>
      </c>
      <c r="Q267" s="12" t="str">
        <f t="shared" ref="Q267:S267" si="271">IF(H267&gt;M$5, $G267, "")</f>
        <v/>
      </c>
      <c r="R267" s="13" t="str">
        <f t="shared" si="271"/>
        <v/>
      </c>
      <c r="S267" s="14" t="str">
        <f t="shared" si="271"/>
        <v/>
      </c>
    </row>
    <row r="268">
      <c r="A268" s="1" t="s">
        <v>281</v>
      </c>
      <c r="G268" s="9" t="str">
        <f>IFERROR(__xludf.DUMMYFUNCTION("SPLIT(A268,"","")"),"./src/main/java/org/jfree/chart/plot/pie/PieLabelLinkStyle.java")</f>
        <v>./src/main/java/org/jfree/chart/plot/pie/PieLabelLinkStyle.java</v>
      </c>
      <c r="H268" s="9">
        <f>IFERROR(__xludf.DUMMYFUNCTION("""COMPUTED_VALUE"""),2.0)</f>
        <v>2</v>
      </c>
      <c r="I268" s="9">
        <f>IFERROR(__xludf.DUMMYFUNCTION("""COMPUTED_VALUE"""),6.0)</f>
        <v>6</v>
      </c>
      <c r="J268" s="9">
        <f>IFERROR(__xludf.DUMMYFUNCTION("""COMPUTED_VALUE"""),87.5)</f>
        <v>87.5</v>
      </c>
      <c r="Q268" s="12" t="str">
        <f t="shared" ref="Q268:S268" si="272">IF(H268&gt;M$5, $G268, "")</f>
        <v/>
      </c>
      <c r="R268" s="13" t="str">
        <f t="shared" si="272"/>
        <v/>
      </c>
      <c r="S268" s="14" t="str">
        <f t="shared" si="272"/>
        <v/>
      </c>
    </row>
    <row r="269">
      <c r="A269" s="1" t="s">
        <v>282</v>
      </c>
      <c r="G269" s="9" t="str">
        <f>IFERROR(__xludf.DUMMYFUNCTION("SPLIT(A269,"","")"),"./src/main/java/org/jfree/chart/plot/pie/PieLabelRecord.java")</f>
        <v>./src/main/java/org/jfree/chart/plot/pie/PieLabelRecord.java</v>
      </c>
      <c r="H269" s="9">
        <f>IFERROR(__xludf.DUMMYFUNCTION("""COMPUTED_VALUE"""),2.0)</f>
        <v>2</v>
      </c>
      <c r="I269" s="9">
        <f>IFERROR(__xludf.DUMMYFUNCTION("""COMPUTED_VALUE"""),114.0)</f>
        <v>114</v>
      </c>
      <c r="J269" s="9">
        <f>IFERROR(__xludf.DUMMYFUNCTION("""COMPUTED_VALUE"""),54.94)</f>
        <v>54.94</v>
      </c>
      <c r="Q269" s="12" t="str">
        <f t="shared" ref="Q269:S269" si="273">IF(H269&gt;M$5, $G269, "")</f>
        <v/>
      </c>
      <c r="R269" s="13" t="str">
        <f t="shared" si="273"/>
        <v/>
      </c>
      <c r="S269" s="14" t="str">
        <f t="shared" si="273"/>
        <v/>
      </c>
    </row>
    <row r="270">
      <c r="A270" s="1" t="s">
        <v>283</v>
      </c>
      <c r="G270" s="9" t="str">
        <f>IFERROR(__xludf.DUMMYFUNCTION("SPLIT(A270,"","")"),"./src/main/java/org/jfree/chart/plot/pie/PiePlot.java")</f>
        <v>./src/main/java/org/jfree/chart/plot/pie/PiePlot.java</v>
      </c>
      <c r="H270" s="9">
        <f>IFERROR(__xludf.DUMMYFUNCTION("""COMPUTED_VALUE"""),6.0)</f>
        <v>6</v>
      </c>
      <c r="I270" s="9">
        <f>IFERROR(__xludf.DUMMYFUNCTION("""COMPUTED_VALUE"""),1547.0)</f>
        <v>1547</v>
      </c>
      <c r="J270" s="9">
        <f>IFERROR(__xludf.DUMMYFUNCTION("""COMPUTED_VALUE"""),47.04)</f>
        <v>47.04</v>
      </c>
      <c r="Q270" s="12" t="str">
        <f t="shared" ref="Q270:S270" si="274">IF(H270&gt;M$5, $G270, "")</f>
        <v/>
      </c>
      <c r="R270" s="13" t="str">
        <f t="shared" si="274"/>
        <v>./src/main/java/org/jfree/chart/plot/pie/PiePlot.java</v>
      </c>
      <c r="S270" s="14" t="str">
        <f t="shared" si="274"/>
        <v/>
      </c>
    </row>
    <row r="271">
      <c r="A271" s="1" t="s">
        <v>284</v>
      </c>
      <c r="G271" s="9" t="str">
        <f>IFERROR(__xludf.DUMMYFUNCTION("SPLIT(A271,"","")"),"./src/main/java/org/jfree/chart/plot/pie/PiePlotState.java")</f>
        <v>./src/main/java/org/jfree/chart/plot/pie/PiePlotState.java</v>
      </c>
      <c r="H271" s="9">
        <f>IFERROR(__xludf.DUMMYFUNCTION("""COMPUTED_VALUE"""),2.0)</f>
        <v>2</v>
      </c>
      <c r="I271" s="9">
        <f>IFERROR(__xludf.DUMMYFUNCTION("""COMPUTED_VALUE"""),81.0)</f>
        <v>81</v>
      </c>
      <c r="J271" s="9">
        <f>IFERROR(__xludf.DUMMYFUNCTION("""COMPUTED_VALUE"""),66.11)</f>
        <v>66.11</v>
      </c>
      <c r="Q271" s="12" t="str">
        <f t="shared" ref="Q271:S271" si="275">IF(H271&gt;M$5, $G271, "")</f>
        <v/>
      </c>
      <c r="R271" s="13" t="str">
        <f t="shared" si="275"/>
        <v/>
      </c>
      <c r="S271" s="14" t="str">
        <f t="shared" si="275"/>
        <v/>
      </c>
    </row>
    <row r="272">
      <c r="A272" s="1" t="s">
        <v>285</v>
      </c>
      <c r="G272" s="9" t="str">
        <f>IFERROR(__xludf.DUMMYFUNCTION("SPLIT(A272,"","")"),"./src/main/java/org/jfree/chart/plot/Plot.java")</f>
        <v>./src/main/java/org/jfree/chart/plot/Plot.java</v>
      </c>
      <c r="H272" s="9">
        <f>IFERROR(__xludf.DUMMYFUNCTION("""COMPUTED_VALUE"""),22.0)</f>
        <v>22</v>
      </c>
      <c r="I272" s="9">
        <f>IFERROR(__xludf.DUMMYFUNCTION("""COMPUTED_VALUE"""),656.0)</f>
        <v>656</v>
      </c>
      <c r="J272" s="9">
        <f>IFERROR(__xludf.DUMMYFUNCTION("""COMPUTED_VALUE"""),50.27)</f>
        <v>50.27</v>
      </c>
      <c r="Q272" s="12" t="str">
        <f t="shared" ref="Q272:S272" si="276">IF(H272&gt;M$5, $G272, "")</f>
        <v>./src/main/java/org/jfree/chart/plot/Plot.java</v>
      </c>
      <c r="R272" s="13" t="str">
        <f t="shared" si="276"/>
        <v>./src/main/java/org/jfree/chart/plot/Plot.java</v>
      </c>
      <c r="S272" s="14" t="str">
        <f t="shared" si="276"/>
        <v/>
      </c>
    </row>
    <row r="273">
      <c r="A273" s="1" t="s">
        <v>286</v>
      </c>
      <c r="G273" s="9" t="str">
        <f>IFERROR(__xludf.DUMMYFUNCTION("SPLIT(A273,"","")"),"./src/main/java/org/jfree/chart/plot/PlotOrientation.java")</f>
        <v>./src/main/java/org/jfree/chart/plot/PlotOrientation.java</v>
      </c>
      <c r="H273" s="9">
        <f>IFERROR(__xludf.DUMMYFUNCTION("""COMPUTED_VALUE"""),4.0)</f>
        <v>4</v>
      </c>
      <c r="I273" s="9">
        <f>IFERROR(__xludf.DUMMYFUNCTION("""COMPUTED_VALUE"""),11.0)</f>
        <v>11</v>
      </c>
      <c r="J273" s="9">
        <f>IFERROR(__xludf.DUMMYFUNCTION("""COMPUTED_VALUE"""),83.08)</f>
        <v>83.08</v>
      </c>
      <c r="Q273" s="12" t="str">
        <f t="shared" ref="Q273:S273" si="277">IF(H273&gt;M$5, $G273, "")</f>
        <v/>
      </c>
      <c r="R273" s="13" t="str">
        <f t="shared" si="277"/>
        <v/>
      </c>
      <c r="S273" s="14" t="str">
        <f t="shared" si="277"/>
        <v/>
      </c>
    </row>
    <row r="274">
      <c r="A274" s="1" t="s">
        <v>287</v>
      </c>
      <c r="G274" s="9" t="str">
        <f>IFERROR(__xludf.DUMMYFUNCTION("SPLIT(A274,"","")"),"./src/main/java/org/jfree/chart/plot/PlotRenderingInfo.java")</f>
        <v>./src/main/java/org/jfree/chart/plot/PlotRenderingInfo.java</v>
      </c>
      <c r="H274" s="9">
        <f>IFERROR(__xludf.DUMMYFUNCTION("""COMPUTED_VALUE"""),11.0)</f>
        <v>11</v>
      </c>
      <c r="I274" s="9">
        <f>IFERROR(__xludf.DUMMYFUNCTION("""COMPUTED_VALUE"""),117.0)</f>
        <v>117</v>
      </c>
      <c r="J274" s="9">
        <f>IFERROR(__xludf.DUMMYFUNCTION("""COMPUTED_VALUE"""),55.68)</f>
        <v>55.68</v>
      </c>
      <c r="Q274" s="12" t="str">
        <f t="shared" ref="Q274:S274" si="278">IF(H274&gt;M$5, $G274, "")</f>
        <v/>
      </c>
      <c r="R274" s="13" t="str">
        <f t="shared" si="278"/>
        <v/>
      </c>
      <c r="S274" s="14" t="str">
        <f t="shared" si="278"/>
        <v/>
      </c>
    </row>
    <row r="275">
      <c r="A275" s="1" t="s">
        <v>288</v>
      </c>
      <c r="G275" s="9" t="str">
        <f>IFERROR(__xludf.DUMMYFUNCTION("SPLIT(A275,"","")"),"./src/main/java/org/jfree/chart/plot/PlotState.java")</f>
        <v>./src/main/java/org/jfree/chart/plot/PlotState.java</v>
      </c>
      <c r="H275" s="9">
        <f>IFERROR(__xludf.DUMMYFUNCTION("""COMPUTED_VALUE"""),4.0)</f>
        <v>4</v>
      </c>
      <c r="I275" s="9">
        <f>IFERROR(__xludf.DUMMYFUNCTION("""COMPUTED_VALUE"""),14.0)</f>
        <v>14</v>
      </c>
      <c r="J275" s="9">
        <f>IFERROR(__xludf.DUMMYFUNCTION("""COMPUTED_VALUE"""),77.05)</f>
        <v>77.05</v>
      </c>
      <c r="Q275" s="12" t="str">
        <f t="shared" ref="Q275:S275" si="279">IF(H275&gt;M$5, $G275, "")</f>
        <v/>
      </c>
      <c r="R275" s="13" t="str">
        <f t="shared" si="279"/>
        <v/>
      </c>
      <c r="S275" s="14" t="str">
        <f t="shared" si="279"/>
        <v/>
      </c>
    </row>
    <row r="276">
      <c r="A276" s="1" t="s">
        <v>289</v>
      </c>
      <c r="G276" s="9" t="str">
        <f>IFERROR(__xludf.DUMMYFUNCTION("SPLIT(A276,"","")"),"./src/main/java/org/jfree/chart/plot/PolarAxisLocation.java")</f>
        <v>./src/main/java/org/jfree/chart/plot/PolarAxisLocation.java</v>
      </c>
      <c r="H276" s="9">
        <f>IFERROR(__xludf.DUMMYFUNCTION("""COMPUTED_VALUE"""),6.0)</f>
        <v>6</v>
      </c>
      <c r="I276" s="9">
        <f>IFERROR(__xludf.DUMMYFUNCTION("""COMPUTED_VALUE"""),11.0)</f>
        <v>11</v>
      </c>
      <c r="J276" s="9">
        <f>IFERROR(__xludf.DUMMYFUNCTION("""COMPUTED_VALUE"""),82.26)</f>
        <v>82.26</v>
      </c>
      <c r="Q276" s="12" t="str">
        <f t="shared" ref="Q276:S276" si="280">IF(H276&gt;M$5, $G276, "")</f>
        <v/>
      </c>
      <c r="R276" s="13" t="str">
        <f t="shared" si="280"/>
        <v/>
      </c>
      <c r="S276" s="14" t="str">
        <f t="shared" si="280"/>
        <v/>
      </c>
    </row>
    <row r="277">
      <c r="A277" s="1" t="s">
        <v>290</v>
      </c>
      <c r="G277" s="9" t="str">
        <f>IFERROR(__xludf.DUMMYFUNCTION("SPLIT(A277,"","")"),"./src/main/java/org/jfree/chart/plot/PolarPlot.java")</f>
        <v>./src/main/java/org/jfree/chart/plot/PolarPlot.java</v>
      </c>
      <c r="H277" s="9">
        <f>IFERROR(__xludf.DUMMYFUNCTION("""COMPUTED_VALUE"""),27.0)</f>
        <v>27</v>
      </c>
      <c r="I277" s="9">
        <f>IFERROR(__xludf.DUMMYFUNCTION("""COMPUTED_VALUE"""),988.0)</f>
        <v>988</v>
      </c>
      <c r="J277" s="9">
        <f>IFERROR(__xludf.DUMMYFUNCTION("""COMPUTED_VALUE"""),46.33)</f>
        <v>46.33</v>
      </c>
      <c r="Q277" s="12" t="str">
        <f t="shared" ref="Q277:S277" si="281">IF(H277&gt;M$5, $G277, "")</f>
        <v>./src/main/java/org/jfree/chart/plot/PolarPlot.java</v>
      </c>
      <c r="R277" s="13" t="str">
        <f t="shared" si="281"/>
        <v>./src/main/java/org/jfree/chart/plot/PolarPlot.java</v>
      </c>
      <c r="S277" s="14" t="str">
        <f t="shared" si="281"/>
        <v/>
      </c>
    </row>
    <row r="278">
      <c r="A278" s="1" t="s">
        <v>291</v>
      </c>
      <c r="G278" s="9" t="str">
        <f>IFERROR(__xludf.DUMMYFUNCTION("SPLIT(A278,"","")"),"./src/main/java/org/jfree/chart/plot/RingPlot.java")</f>
        <v>./src/main/java/org/jfree/chart/plot/RingPlot.java</v>
      </c>
      <c r="H278" s="9">
        <f>IFERROR(__xludf.DUMMYFUNCTION("""COMPUTED_VALUE"""),22.0)</f>
        <v>22</v>
      </c>
      <c r="I278" s="9">
        <f>IFERROR(__xludf.DUMMYFUNCTION("""COMPUTED_VALUE"""),331.0)</f>
        <v>331</v>
      </c>
      <c r="J278" s="9">
        <f>IFERROR(__xludf.DUMMYFUNCTION("""COMPUTED_VALUE"""),47.46)</f>
        <v>47.46</v>
      </c>
      <c r="Q278" s="12" t="str">
        <f t="shared" ref="Q278:S278" si="282">IF(H278&gt;M$5, $G278, "")</f>
        <v>./src/main/java/org/jfree/chart/plot/RingPlot.java</v>
      </c>
      <c r="R278" s="13" t="str">
        <f t="shared" si="282"/>
        <v/>
      </c>
      <c r="S278" s="14" t="str">
        <f t="shared" si="282"/>
        <v/>
      </c>
    </row>
    <row r="279">
      <c r="A279" s="1" t="s">
        <v>292</v>
      </c>
      <c r="G279" s="9" t="str">
        <f>IFERROR(__xludf.DUMMYFUNCTION("SPLIT(A279,"","")"),"./src/main/java/org/jfree/chart/plot/SeriesRenderingOrder.java")</f>
        <v>./src/main/java/org/jfree/chart/plot/SeriesRenderingOrder.java</v>
      </c>
      <c r="H279" s="9">
        <f>IFERROR(__xludf.DUMMYFUNCTION("""COMPUTED_VALUE"""),5.0)</f>
        <v>5</v>
      </c>
      <c r="I279" s="9">
        <f>IFERROR(__xludf.DUMMYFUNCTION("""COMPUTED_VALUE"""),5.0)</f>
        <v>5</v>
      </c>
      <c r="J279" s="9">
        <f>IFERROR(__xludf.DUMMYFUNCTION("""COMPUTED_VALUE"""),91.38)</f>
        <v>91.38</v>
      </c>
      <c r="Q279" s="12" t="str">
        <f t="shared" ref="Q279:S279" si="283">IF(H279&gt;M$5, $G279, "")</f>
        <v/>
      </c>
      <c r="R279" s="13" t="str">
        <f t="shared" si="283"/>
        <v/>
      </c>
      <c r="S279" s="14" t="str">
        <f t="shared" si="283"/>
        <v/>
      </c>
    </row>
    <row r="280">
      <c r="A280" s="1" t="s">
        <v>293</v>
      </c>
      <c r="G280" s="9" t="str">
        <f>IFERROR(__xludf.DUMMYFUNCTION("SPLIT(A280,"","")"),"./src/main/java/org/jfree/chart/plot/SpiderWebPlot.java")</f>
        <v>./src/main/java/org/jfree/chart/plot/SpiderWebPlot.java</v>
      </c>
      <c r="H280" s="9">
        <f>IFERROR(__xludf.DUMMYFUNCTION("""COMPUTED_VALUE"""),24.0)</f>
        <v>24</v>
      </c>
      <c r="I280" s="9">
        <f>IFERROR(__xludf.DUMMYFUNCTION("""COMPUTED_VALUE"""),677.0)</f>
        <v>677</v>
      </c>
      <c r="J280" s="9">
        <f>IFERROR(__xludf.DUMMYFUNCTION("""COMPUTED_VALUE"""),47.15)</f>
        <v>47.15</v>
      </c>
      <c r="Q280" s="12" t="str">
        <f t="shared" ref="Q280:S280" si="284">IF(H280&gt;M$5, $G280, "")</f>
        <v>./src/main/java/org/jfree/chart/plot/SpiderWebPlot.java</v>
      </c>
      <c r="R280" s="13" t="str">
        <f t="shared" si="284"/>
        <v>./src/main/java/org/jfree/chart/plot/SpiderWebPlot.java</v>
      </c>
      <c r="S280" s="14" t="str">
        <f t="shared" si="284"/>
        <v/>
      </c>
    </row>
    <row r="281">
      <c r="A281" s="1" t="s">
        <v>294</v>
      </c>
      <c r="G281" s="9" t="str">
        <f>IFERROR(__xludf.DUMMYFUNCTION("SPLIT(A281,"","")"),"./src/main/java/org/jfree/chart/plot/ThermometerPlot.java")</f>
        <v>./src/main/java/org/jfree/chart/plot/ThermometerPlot.java</v>
      </c>
      <c r="H281" s="9">
        <f>IFERROR(__xludf.DUMMYFUNCTION("""COMPUTED_VALUE"""),20.0)</f>
        <v>20</v>
      </c>
      <c r="I281" s="9">
        <f>IFERROR(__xludf.DUMMYFUNCTION("""COMPUTED_VALUE"""),764.0)</f>
        <v>764</v>
      </c>
      <c r="J281" s="9">
        <f>IFERROR(__xludf.DUMMYFUNCTION("""COMPUTED_VALUE"""),47.09)</f>
        <v>47.09</v>
      </c>
      <c r="Q281" s="12" t="str">
        <f t="shared" ref="Q281:S281" si="285">IF(H281&gt;M$5, $G281, "")</f>
        <v>./src/main/java/org/jfree/chart/plot/ThermometerPlot.java</v>
      </c>
      <c r="R281" s="13" t="str">
        <f t="shared" si="285"/>
        <v>./src/main/java/org/jfree/chart/plot/ThermometerPlot.java</v>
      </c>
      <c r="S281" s="14" t="str">
        <f t="shared" si="285"/>
        <v/>
      </c>
    </row>
    <row r="282">
      <c r="A282" s="1" t="s">
        <v>295</v>
      </c>
      <c r="G282" s="9" t="str">
        <f>IFERROR(__xludf.DUMMYFUNCTION("SPLIT(A282,"","")"),"./src/main/java/org/jfree/chart/plot/ValueAxisPlot.java")</f>
        <v>./src/main/java/org/jfree/chart/plot/ValueAxisPlot.java</v>
      </c>
      <c r="H282" s="9">
        <f>IFERROR(__xludf.DUMMYFUNCTION("""COMPUTED_VALUE"""),4.0)</f>
        <v>4</v>
      </c>
      <c r="I282" s="9">
        <f>IFERROR(__xludf.DUMMYFUNCTION("""COMPUTED_VALUE"""),6.0)</f>
        <v>6</v>
      </c>
      <c r="J282" s="9">
        <f>IFERROR(__xludf.DUMMYFUNCTION("""COMPUTED_VALUE"""),88.68)</f>
        <v>88.68</v>
      </c>
      <c r="Q282" s="12" t="str">
        <f t="shared" ref="Q282:S282" si="286">IF(H282&gt;M$5, $G282, "")</f>
        <v/>
      </c>
      <c r="R282" s="13" t="str">
        <f t="shared" si="286"/>
        <v/>
      </c>
      <c r="S282" s="14" t="str">
        <f t="shared" si="286"/>
        <v/>
      </c>
    </row>
    <row r="283">
      <c r="A283" s="1" t="s">
        <v>296</v>
      </c>
      <c r="G283" s="9" t="str">
        <f>IFERROR(__xludf.DUMMYFUNCTION("SPLIT(A283,"","")"),"./src/main/java/org/jfree/chart/plot/ValueMarker.java")</f>
        <v>./src/main/java/org/jfree/chart/plot/ValueMarker.java</v>
      </c>
      <c r="H283" s="9">
        <f>IFERROR(__xludf.DUMMYFUNCTION("""COMPUTED_VALUE"""),4.0)</f>
        <v>4</v>
      </c>
      <c r="I283" s="9">
        <f>IFERROR(__xludf.DUMMYFUNCTION("""COMPUTED_VALUE"""),43.0)</f>
        <v>43</v>
      </c>
      <c r="J283" s="9">
        <f>IFERROR(__xludf.DUMMYFUNCTION("""COMPUTED_VALUE"""),68.15)</f>
        <v>68.15</v>
      </c>
      <c r="Q283" s="12" t="str">
        <f t="shared" ref="Q283:S283" si="287">IF(H283&gt;M$5, $G283, "")</f>
        <v/>
      </c>
      <c r="R283" s="13" t="str">
        <f t="shared" si="287"/>
        <v/>
      </c>
      <c r="S283" s="14" t="str">
        <f t="shared" si="287"/>
        <v/>
      </c>
    </row>
    <row r="284">
      <c r="A284" s="1" t="s">
        <v>297</v>
      </c>
      <c r="G284" s="9" t="str">
        <f>IFERROR(__xludf.DUMMYFUNCTION("SPLIT(A284,"","")"),"./src/main/java/org/jfree/chart/plot/WaferMapPlot.java")</f>
        <v>./src/main/java/org/jfree/chart/plot/WaferMapPlot.java</v>
      </c>
      <c r="H284" s="9">
        <f>IFERROR(__xludf.DUMMYFUNCTION("""COMPUTED_VALUE"""),10.0)</f>
        <v>10</v>
      </c>
      <c r="I284" s="9">
        <f>IFERROR(__xludf.DUMMYFUNCTION("""COMPUTED_VALUE"""),237.0)</f>
        <v>237</v>
      </c>
      <c r="J284" s="9">
        <f>IFERROR(__xludf.DUMMYFUNCTION("""COMPUTED_VALUE"""),39.07)</f>
        <v>39.07</v>
      </c>
      <c r="Q284" s="12" t="str">
        <f t="shared" ref="Q284:S284" si="288">IF(H284&gt;M$5, $G284, "")</f>
        <v/>
      </c>
      <c r="R284" s="13" t="str">
        <f t="shared" si="288"/>
        <v/>
      </c>
      <c r="S284" s="14" t="str">
        <f t="shared" si="288"/>
        <v/>
      </c>
    </row>
    <row r="285">
      <c r="A285" s="1" t="s">
        <v>298</v>
      </c>
      <c r="G285" s="9" t="str">
        <f>IFERROR(__xludf.DUMMYFUNCTION("SPLIT(A285,"","")"),"./src/main/java/org/jfree/chart/plot/XYCrosshairState.java")</f>
        <v>./src/main/java/org/jfree/chart/plot/XYCrosshairState.java</v>
      </c>
      <c r="H285" s="9">
        <f>IFERROR(__xludf.DUMMYFUNCTION("""COMPUTED_VALUE"""),2.0)</f>
        <v>2</v>
      </c>
      <c r="I285" s="9">
        <f>IFERROR(__xludf.DUMMYFUNCTION("""COMPUTED_VALUE"""),6.0)</f>
        <v>6</v>
      </c>
      <c r="J285" s="9">
        <f>IFERROR(__xludf.DUMMYFUNCTION("""COMPUTED_VALUE"""),88.46)</f>
        <v>88.46</v>
      </c>
      <c r="Q285" s="12" t="str">
        <f t="shared" ref="Q285:S285" si="289">IF(H285&gt;M$5, $G285, "")</f>
        <v/>
      </c>
      <c r="R285" s="13" t="str">
        <f t="shared" si="289"/>
        <v/>
      </c>
      <c r="S285" s="14" t="str">
        <f t="shared" si="289"/>
        <v/>
      </c>
    </row>
    <row r="286">
      <c r="A286" s="1" t="s">
        <v>299</v>
      </c>
      <c r="G286" s="9" t="str">
        <f>IFERROR(__xludf.DUMMYFUNCTION("SPLIT(A286,"","")"),"./src/main/java/org/jfree/chart/plot/XYPlot.java")</f>
        <v>./src/main/java/org/jfree/chart/plot/XYPlot.java</v>
      </c>
      <c r="H286" s="9">
        <f>IFERROR(__xludf.DUMMYFUNCTION("""COMPUTED_VALUE"""),31.0)</f>
        <v>31</v>
      </c>
      <c r="I286" s="9">
        <f>IFERROR(__xludf.DUMMYFUNCTION("""COMPUTED_VALUE"""),2732.0)</f>
        <v>2732</v>
      </c>
      <c r="J286" s="9">
        <f>IFERROR(__xludf.DUMMYFUNCTION("""COMPUTED_VALUE"""),45.15)</f>
        <v>45.15</v>
      </c>
      <c r="Q286" s="12" t="str">
        <f t="shared" ref="Q286:S286" si="290">IF(H286&gt;M$5, $G286, "")</f>
        <v>./src/main/java/org/jfree/chart/plot/XYPlot.java</v>
      </c>
      <c r="R286" s="13" t="str">
        <f t="shared" si="290"/>
        <v>./src/main/java/org/jfree/chart/plot/XYPlot.java</v>
      </c>
      <c r="S286" s="14" t="str">
        <f t="shared" si="290"/>
        <v/>
      </c>
    </row>
    <row r="287">
      <c r="A287" s="1" t="s">
        <v>300</v>
      </c>
      <c r="G287" s="9" t="str">
        <f>IFERROR(__xludf.DUMMYFUNCTION("SPLIT(A287,"","")"),"./src/main/java/org/jfree/chart/plot/Zoomable.java")</f>
        <v>./src/main/java/org/jfree/chart/plot/Zoomable.java</v>
      </c>
      <c r="H287" s="9">
        <f>IFERROR(__xludf.DUMMYFUNCTION("""COMPUTED_VALUE"""),6.0)</f>
        <v>6</v>
      </c>
      <c r="I287" s="9">
        <f>IFERROR(__xludf.DUMMYFUNCTION("""COMPUTED_VALUE"""),18.0)</f>
        <v>18</v>
      </c>
      <c r="J287" s="9">
        <f>IFERROR(__xludf.DUMMYFUNCTION("""COMPUTED_VALUE"""),88.08)</f>
        <v>88.08</v>
      </c>
      <c r="Q287" s="12" t="str">
        <f t="shared" ref="Q287:S287" si="291">IF(H287&gt;M$5, $G287, "")</f>
        <v/>
      </c>
      <c r="R287" s="13" t="str">
        <f t="shared" si="291"/>
        <v/>
      </c>
      <c r="S287" s="14" t="str">
        <f t="shared" si="291"/>
        <v/>
      </c>
    </row>
    <row r="288">
      <c r="A288" s="1" t="s">
        <v>301</v>
      </c>
      <c r="G288" s="9" t="str">
        <f>IFERROR(__xludf.DUMMYFUNCTION("SPLIT(A288,"","")"),"./src/main/java/org/jfree/chart/renderer/AbstractRenderer.java")</f>
        <v>./src/main/java/org/jfree/chart/renderer/AbstractRenderer.java</v>
      </c>
      <c r="H288" s="9">
        <f>IFERROR(__xludf.DUMMYFUNCTION("""COMPUTED_VALUE"""),30.0)</f>
        <v>30</v>
      </c>
      <c r="I288" s="9">
        <f>IFERROR(__xludf.DUMMYFUNCTION("""COMPUTED_VALUE"""),1235.0)</f>
        <v>1235</v>
      </c>
      <c r="J288" s="9">
        <f>IFERROR(__xludf.DUMMYFUNCTION("""COMPUTED_VALUE"""),55.48)</f>
        <v>55.48</v>
      </c>
      <c r="Q288" s="12" t="str">
        <f t="shared" ref="Q288:S288" si="292">IF(H288&gt;M$5, $G288, "")</f>
        <v>./src/main/java/org/jfree/chart/renderer/AbstractRenderer.java</v>
      </c>
      <c r="R288" s="13" t="str">
        <f t="shared" si="292"/>
        <v>./src/main/java/org/jfree/chart/renderer/AbstractRenderer.java</v>
      </c>
      <c r="S288" s="14" t="str">
        <f t="shared" si="292"/>
        <v/>
      </c>
    </row>
    <row r="289">
      <c r="A289" s="1" t="s">
        <v>302</v>
      </c>
      <c r="G289" s="9" t="str">
        <f>IFERROR(__xludf.DUMMYFUNCTION("SPLIT(A289,"","")"),"./src/main/java/org/jfree/chart/renderer/AreaRendererEndType.java")</f>
        <v>./src/main/java/org/jfree/chart/renderer/AreaRendererEndType.java</v>
      </c>
      <c r="H289" s="9">
        <f>IFERROR(__xludf.DUMMYFUNCTION("""COMPUTED_VALUE"""),4.0)</f>
        <v>4</v>
      </c>
      <c r="I289" s="9">
        <f>IFERROR(__xludf.DUMMYFUNCTION("""COMPUTED_VALUE"""),6.0)</f>
        <v>6</v>
      </c>
      <c r="J289" s="9">
        <f>IFERROR(__xludf.DUMMYFUNCTION("""COMPUTED_VALUE"""),89.66)</f>
        <v>89.66</v>
      </c>
      <c r="Q289" s="12" t="str">
        <f t="shared" ref="Q289:S289" si="293">IF(H289&gt;M$5, $G289, "")</f>
        <v/>
      </c>
      <c r="R289" s="13" t="str">
        <f t="shared" si="293"/>
        <v/>
      </c>
      <c r="S289" s="14" t="str">
        <f t="shared" si="293"/>
        <v/>
      </c>
    </row>
    <row r="290">
      <c r="A290" s="1" t="s">
        <v>303</v>
      </c>
      <c r="G290" s="9" t="str">
        <f>IFERROR(__xludf.DUMMYFUNCTION("SPLIT(A290,"","")"),"./src/main/java/org/jfree/chart/renderer/category/AbstractCategoryItemRenderer.java")</f>
        <v>./src/main/java/org/jfree/chart/renderer/category/AbstractCategoryItemRenderer.java</v>
      </c>
      <c r="H290" s="9">
        <f>IFERROR(__xludf.DUMMYFUNCTION("""COMPUTED_VALUE"""),28.0)</f>
        <v>28</v>
      </c>
      <c r="I290" s="9">
        <f>IFERROR(__xludf.DUMMYFUNCTION("""COMPUTED_VALUE"""),925.0)</f>
        <v>925</v>
      </c>
      <c r="J290" s="9">
        <f>IFERROR(__xludf.DUMMYFUNCTION("""COMPUTED_VALUE"""),40.01)</f>
        <v>40.01</v>
      </c>
      <c r="Q290" s="12" t="str">
        <f t="shared" ref="Q290:S290" si="294">IF(H290&gt;M$5, $G290, "")</f>
        <v>./src/main/java/org/jfree/chart/renderer/category/AbstractCategoryItemRenderer.java</v>
      </c>
      <c r="R290" s="13" t="str">
        <f t="shared" si="294"/>
        <v>./src/main/java/org/jfree/chart/renderer/category/AbstractCategoryItemRenderer.java</v>
      </c>
      <c r="S290" s="14" t="str">
        <f t="shared" si="294"/>
        <v/>
      </c>
    </row>
    <row r="291">
      <c r="A291" s="1" t="s">
        <v>304</v>
      </c>
      <c r="G291" s="9" t="str">
        <f>IFERROR(__xludf.DUMMYFUNCTION("SPLIT(A291,"","")"),"./src/main/java/org/jfree/chart/renderer/category/AreaRenderer.java")</f>
        <v>./src/main/java/org/jfree/chart/renderer/category/AreaRenderer.java</v>
      </c>
      <c r="H291" s="9">
        <f>IFERROR(__xludf.DUMMYFUNCTION("""COMPUTED_VALUE"""),10.0)</f>
        <v>10</v>
      </c>
      <c r="I291" s="9">
        <f>IFERROR(__xludf.DUMMYFUNCTION("""COMPUTED_VALUE"""),192.0)</f>
        <v>192</v>
      </c>
      <c r="J291" s="9">
        <f>IFERROR(__xludf.DUMMYFUNCTION("""COMPUTED_VALUE"""),35.79)</f>
        <v>35.79</v>
      </c>
      <c r="Q291" s="12" t="str">
        <f t="shared" ref="Q291:S291" si="295">IF(H291&gt;M$5, $G291, "")</f>
        <v/>
      </c>
      <c r="R291" s="13" t="str">
        <f t="shared" si="295"/>
        <v/>
      </c>
      <c r="S291" s="14" t="str">
        <f t="shared" si="295"/>
        <v/>
      </c>
    </row>
    <row r="292">
      <c r="A292" s="1" t="s">
        <v>305</v>
      </c>
      <c r="G292" s="9" t="str">
        <f>IFERROR(__xludf.DUMMYFUNCTION("SPLIT(A292,"","")"),"./src/main/java/org/jfree/chart/renderer/category/BarPainter.java")</f>
        <v>./src/main/java/org/jfree/chart/renderer/category/BarPainter.java</v>
      </c>
      <c r="H292" s="9">
        <f>IFERROR(__xludf.DUMMYFUNCTION("""COMPUTED_VALUE"""),7.0)</f>
        <v>7</v>
      </c>
      <c r="I292" s="9">
        <f>IFERROR(__xludf.DUMMYFUNCTION("""COMPUTED_VALUE"""),11.0)</f>
        <v>11</v>
      </c>
      <c r="J292" s="9">
        <f>IFERROR(__xludf.DUMMYFUNCTION("""COMPUTED_VALUE"""),86.9)</f>
        <v>86.9</v>
      </c>
      <c r="Q292" s="12" t="str">
        <f t="shared" ref="Q292:S292" si="296">IF(H292&gt;M$5, $G292, "")</f>
        <v/>
      </c>
      <c r="R292" s="13" t="str">
        <f t="shared" si="296"/>
        <v/>
      </c>
      <c r="S292" s="14" t="str">
        <f t="shared" si="296"/>
        <v/>
      </c>
    </row>
    <row r="293">
      <c r="A293" s="1" t="s">
        <v>306</v>
      </c>
      <c r="G293" s="9" t="str">
        <f>IFERROR(__xludf.DUMMYFUNCTION("SPLIT(A293,"","")"),"./src/main/java/org/jfree/chart/renderer/category/BarRenderer.java")</f>
        <v>./src/main/java/org/jfree/chart/renderer/category/BarRenderer.java</v>
      </c>
      <c r="H293" s="9">
        <f>IFERROR(__xludf.DUMMYFUNCTION("""COMPUTED_VALUE"""),16.0)</f>
        <v>16</v>
      </c>
      <c r="I293" s="9">
        <f>IFERROR(__xludf.DUMMYFUNCTION("""COMPUTED_VALUE"""),683.0)</f>
        <v>683</v>
      </c>
      <c r="J293" s="9">
        <f>IFERROR(__xludf.DUMMYFUNCTION("""COMPUTED_VALUE"""),43.08)</f>
        <v>43.08</v>
      </c>
      <c r="Q293" s="12" t="str">
        <f t="shared" ref="Q293:S293" si="297">IF(H293&gt;M$5, $G293, "")</f>
        <v/>
      </c>
      <c r="R293" s="13" t="str">
        <f t="shared" si="297"/>
        <v>./src/main/java/org/jfree/chart/renderer/category/BarRenderer.java</v>
      </c>
      <c r="S293" s="14" t="str">
        <f t="shared" si="297"/>
        <v/>
      </c>
    </row>
    <row r="294">
      <c r="A294" s="1" t="s">
        <v>307</v>
      </c>
      <c r="G294" s="9" t="str">
        <f>IFERROR(__xludf.DUMMYFUNCTION("SPLIT(A294,"","")"),"./src/main/java/org/jfree/chart/renderer/category/BoxAndWhiskerRenderer.java")</f>
        <v>./src/main/java/org/jfree/chart/renderer/category/BoxAndWhiskerRenderer.java</v>
      </c>
      <c r="H294" s="9">
        <f>IFERROR(__xludf.DUMMYFUNCTION("""COMPUTED_VALUE"""),16.0)</f>
        <v>16</v>
      </c>
      <c r="I294" s="9">
        <f>IFERROR(__xludf.DUMMYFUNCTION("""COMPUTED_VALUE"""),596.0)</f>
        <v>596</v>
      </c>
      <c r="J294" s="9">
        <f>IFERROR(__xludf.DUMMYFUNCTION("""COMPUTED_VALUE"""),41.11)</f>
        <v>41.11</v>
      </c>
      <c r="Q294" s="12" t="str">
        <f t="shared" ref="Q294:S294" si="298">IF(H294&gt;M$5, $G294, "")</f>
        <v/>
      </c>
      <c r="R294" s="13" t="str">
        <f t="shared" si="298"/>
        <v>./src/main/java/org/jfree/chart/renderer/category/BoxAndWhiskerRenderer.java</v>
      </c>
      <c r="S294" s="14" t="str">
        <f t="shared" si="298"/>
        <v/>
      </c>
    </row>
    <row r="295">
      <c r="A295" s="1" t="s">
        <v>308</v>
      </c>
      <c r="G295" s="9" t="str">
        <f>IFERROR(__xludf.DUMMYFUNCTION("SPLIT(A295,"","")"),"./src/main/java/org/jfree/chart/renderer/category/CategoryItemRenderer.java")</f>
        <v>./src/main/java/org/jfree/chart/renderer/category/CategoryItemRenderer.java</v>
      </c>
      <c r="H295" s="9">
        <f>IFERROR(__xludf.DUMMYFUNCTION("""COMPUTED_VALUE"""),16.0)</f>
        <v>16</v>
      </c>
      <c r="I295" s="9">
        <f>IFERROR(__xludf.DUMMYFUNCTION("""COMPUTED_VALUE"""),170.0)</f>
        <v>170</v>
      </c>
      <c r="J295" s="9">
        <f>IFERROR(__xludf.DUMMYFUNCTION("""COMPUTED_VALUE"""),88.19)</f>
        <v>88.19</v>
      </c>
      <c r="Q295" s="12" t="str">
        <f t="shared" ref="Q295:S295" si="299">IF(H295&gt;M$5, $G295, "")</f>
        <v/>
      </c>
      <c r="R295" s="13" t="str">
        <f t="shared" si="299"/>
        <v/>
      </c>
      <c r="S295" s="14" t="str">
        <f t="shared" si="299"/>
        <v/>
      </c>
    </row>
    <row r="296">
      <c r="A296" s="1" t="s">
        <v>309</v>
      </c>
      <c r="G296" s="9" t="str">
        <f>IFERROR(__xludf.DUMMYFUNCTION("SPLIT(A296,"","")"),"./src/main/java/org/jfree/chart/renderer/category/CategoryItemRendererState.java")</f>
        <v>./src/main/java/org/jfree/chart/renderer/category/CategoryItemRendererState.java</v>
      </c>
      <c r="H296" s="9">
        <f>IFERROR(__xludf.DUMMYFUNCTION("""COMPUTED_VALUE"""),3.0)</f>
        <v>3</v>
      </c>
      <c r="I296" s="9">
        <f>IFERROR(__xludf.DUMMYFUNCTION("""COMPUTED_VALUE"""),64.0)</f>
        <v>64</v>
      </c>
      <c r="J296" s="9">
        <f>IFERROR(__xludf.DUMMYFUNCTION("""COMPUTED_VALUE"""),65.59)</f>
        <v>65.59</v>
      </c>
      <c r="Q296" s="12" t="str">
        <f t="shared" ref="Q296:S296" si="300">IF(H296&gt;M$5, $G296, "")</f>
        <v/>
      </c>
      <c r="R296" s="13" t="str">
        <f t="shared" si="300"/>
        <v/>
      </c>
      <c r="S296" s="14" t="str">
        <f t="shared" si="300"/>
        <v/>
      </c>
    </row>
    <row r="297">
      <c r="A297" s="1" t="s">
        <v>310</v>
      </c>
      <c r="G297" s="9" t="str">
        <f>IFERROR(__xludf.DUMMYFUNCTION("SPLIT(A297,"","")"),"./src/main/java/org/jfree/chart/renderer/category/CategoryStepRenderer.java")</f>
        <v>./src/main/java/org/jfree/chart/renderer/category/CategoryStepRenderer.java</v>
      </c>
      <c r="H297" s="9">
        <f>IFERROR(__xludf.DUMMYFUNCTION("""COMPUTED_VALUE"""),8.0)</f>
        <v>8</v>
      </c>
      <c r="I297" s="9">
        <f>IFERROR(__xludf.DUMMYFUNCTION("""COMPUTED_VALUE"""),174.0)</f>
        <v>174</v>
      </c>
      <c r="J297" s="9">
        <f>IFERROR(__xludf.DUMMYFUNCTION("""COMPUTED_VALUE"""),46.3)</f>
        <v>46.3</v>
      </c>
      <c r="Q297" s="12" t="str">
        <f t="shared" ref="Q297:S297" si="301">IF(H297&gt;M$5, $G297, "")</f>
        <v/>
      </c>
      <c r="R297" s="13" t="str">
        <f t="shared" si="301"/>
        <v/>
      </c>
      <c r="S297" s="14" t="str">
        <f t="shared" si="301"/>
        <v/>
      </c>
    </row>
    <row r="298">
      <c r="A298" s="1" t="s">
        <v>311</v>
      </c>
      <c r="G298" s="9" t="str">
        <f>IFERROR(__xludf.DUMMYFUNCTION("SPLIT(A298,"","")"),"./src/main/java/org/jfree/chart/renderer/category/DefaultCategoryItemRenderer.java")</f>
        <v>./src/main/java/org/jfree/chart/renderer/category/DefaultCategoryItemRenderer.java</v>
      </c>
      <c r="H298" s="9">
        <f>IFERROR(__xludf.DUMMYFUNCTION("""COMPUTED_VALUE"""),2.0)</f>
        <v>2</v>
      </c>
      <c r="I298" s="9">
        <f>IFERROR(__xludf.DUMMYFUNCTION("""COMPUTED_VALUE"""),7.0)</f>
        <v>7</v>
      </c>
      <c r="J298" s="9">
        <f>IFERROR(__xludf.DUMMYFUNCTION("""COMPUTED_VALUE"""),86.54)</f>
        <v>86.54</v>
      </c>
      <c r="Q298" s="12" t="str">
        <f t="shared" ref="Q298:S298" si="302">IF(H298&gt;M$5, $G298, "")</f>
        <v/>
      </c>
      <c r="R298" s="13" t="str">
        <f t="shared" si="302"/>
        <v/>
      </c>
      <c r="S298" s="14" t="str">
        <f t="shared" si="302"/>
        <v/>
      </c>
    </row>
    <row r="299">
      <c r="A299" s="1" t="s">
        <v>312</v>
      </c>
      <c r="G299" s="9" t="str">
        <f>IFERROR(__xludf.DUMMYFUNCTION("SPLIT(A299,"","")"),"./src/main/java/org/jfree/chart/renderer/category/GanttRenderer.java")</f>
        <v>./src/main/java/org/jfree/chart/renderer/category/GanttRenderer.java</v>
      </c>
      <c r="H299" s="9">
        <f>IFERROR(__xludf.DUMMYFUNCTION("""COMPUTED_VALUE"""),12.0)</f>
        <v>12</v>
      </c>
      <c r="I299" s="9">
        <f>IFERROR(__xludf.DUMMYFUNCTION("""COMPUTED_VALUE"""),351.0)</f>
        <v>351</v>
      </c>
      <c r="J299" s="9">
        <f>IFERROR(__xludf.DUMMYFUNCTION("""COMPUTED_VALUE"""),36.76)</f>
        <v>36.76</v>
      </c>
      <c r="Q299" s="12" t="str">
        <f t="shared" ref="Q299:S299" si="303">IF(H299&gt;M$5, $G299, "")</f>
        <v/>
      </c>
      <c r="R299" s="13" t="str">
        <f t="shared" si="303"/>
        <v/>
      </c>
      <c r="S299" s="14" t="str">
        <f t="shared" si="303"/>
        <v/>
      </c>
    </row>
    <row r="300">
      <c r="A300" s="1" t="s">
        <v>313</v>
      </c>
      <c r="G300" s="9" t="str">
        <f>IFERROR(__xludf.DUMMYFUNCTION("SPLIT(A300,"","")"),"./src/main/java/org/jfree/chart/renderer/category/GradientBarPainter.java")</f>
        <v>./src/main/java/org/jfree/chart/renderer/category/GradientBarPainter.java</v>
      </c>
      <c r="H300" s="9">
        <f>IFERROR(__xludf.DUMMYFUNCTION("""COMPUTED_VALUE"""),7.0)</f>
        <v>7</v>
      </c>
      <c r="I300" s="9">
        <f>IFERROR(__xludf.DUMMYFUNCTION("""COMPUTED_VALUE"""),215.0)</f>
        <v>215</v>
      </c>
      <c r="J300" s="9">
        <f>IFERROR(__xludf.DUMMYFUNCTION("""COMPUTED_VALUE"""),36.76)</f>
        <v>36.76</v>
      </c>
      <c r="Q300" s="12" t="str">
        <f t="shared" ref="Q300:S300" si="304">IF(H300&gt;M$5, $G300, "")</f>
        <v/>
      </c>
      <c r="R300" s="13" t="str">
        <f t="shared" si="304"/>
        <v/>
      </c>
      <c r="S300" s="14" t="str">
        <f t="shared" si="304"/>
        <v/>
      </c>
    </row>
    <row r="301">
      <c r="A301" s="1" t="s">
        <v>314</v>
      </c>
      <c r="G301" s="9" t="str">
        <f>IFERROR(__xludf.DUMMYFUNCTION("SPLIT(A301,"","")"),"./src/main/java/org/jfree/chart/renderer/category/GroupedStackedBarRenderer.java")</f>
        <v>./src/main/java/org/jfree/chart/renderer/category/GroupedStackedBarRenderer.java</v>
      </c>
      <c r="H301" s="9">
        <f>IFERROR(__xludf.DUMMYFUNCTION("""COMPUTED_VALUE"""),9.0)</f>
        <v>9</v>
      </c>
      <c r="I301" s="9">
        <f>IFERROR(__xludf.DUMMYFUNCTION("""COMPUTED_VALUE"""),218.0)</f>
        <v>218</v>
      </c>
      <c r="J301" s="9">
        <f>IFERROR(__xludf.DUMMYFUNCTION("""COMPUTED_VALUE"""),34.34)</f>
        <v>34.34</v>
      </c>
      <c r="Q301" s="12" t="str">
        <f t="shared" ref="Q301:S301" si="305">IF(H301&gt;M$5, $G301, "")</f>
        <v/>
      </c>
      <c r="R301" s="13" t="str">
        <f t="shared" si="305"/>
        <v/>
      </c>
      <c r="S301" s="14" t="str">
        <f t="shared" si="305"/>
        <v/>
      </c>
    </row>
    <row r="302">
      <c r="A302" s="1" t="s">
        <v>315</v>
      </c>
      <c r="G302" s="9" t="str">
        <f>IFERROR(__xludf.DUMMYFUNCTION("SPLIT(A302,"","")"),"./src/main/java/org/jfree/chart/renderer/category/IntervalBarRenderer.java")</f>
        <v>./src/main/java/org/jfree/chart/renderer/category/IntervalBarRenderer.java</v>
      </c>
      <c r="H302" s="9">
        <f>IFERROR(__xludf.DUMMYFUNCTION("""COMPUTED_VALUE"""),6.0)</f>
        <v>6</v>
      </c>
      <c r="I302" s="9">
        <f>IFERROR(__xludf.DUMMYFUNCTION("""COMPUTED_VALUE"""),117.0)</f>
        <v>117</v>
      </c>
      <c r="J302" s="9">
        <f>IFERROR(__xludf.DUMMYFUNCTION("""COMPUTED_VALUE"""),46.82)</f>
        <v>46.82</v>
      </c>
      <c r="Q302" s="12" t="str">
        <f t="shared" ref="Q302:S302" si="306">IF(H302&gt;M$5, $G302, "")</f>
        <v/>
      </c>
      <c r="R302" s="13" t="str">
        <f t="shared" si="306"/>
        <v/>
      </c>
      <c r="S302" s="14" t="str">
        <f t="shared" si="306"/>
        <v/>
      </c>
    </row>
    <row r="303">
      <c r="A303" s="1" t="s">
        <v>316</v>
      </c>
      <c r="G303" s="9" t="str">
        <f>IFERROR(__xludf.DUMMYFUNCTION("SPLIT(A303,"","")"),"./src/main/java/org/jfree/chart/renderer/category/LayeredBarRenderer.java")</f>
        <v>./src/main/java/org/jfree/chart/renderer/category/LayeredBarRenderer.java</v>
      </c>
      <c r="H303" s="9">
        <f>IFERROR(__xludf.DUMMYFUNCTION("""COMPUTED_VALUE"""),12.0)</f>
        <v>12</v>
      </c>
      <c r="I303" s="9">
        <f>IFERROR(__xludf.DUMMYFUNCTION("""COMPUTED_VALUE"""),291.0)</f>
        <v>291</v>
      </c>
      <c r="J303" s="9">
        <f>IFERROR(__xludf.DUMMYFUNCTION("""COMPUTED_VALUE"""),32.01)</f>
        <v>32.01</v>
      </c>
      <c r="Q303" s="12" t="str">
        <f t="shared" ref="Q303:S303" si="307">IF(H303&gt;M$5, $G303, "")</f>
        <v/>
      </c>
      <c r="R303" s="13" t="str">
        <f t="shared" si="307"/>
        <v/>
      </c>
      <c r="S303" s="14" t="str">
        <f t="shared" si="307"/>
        <v/>
      </c>
    </row>
    <row r="304">
      <c r="A304" s="1" t="s">
        <v>317</v>
      </c>
      <c r="G304" s="9" t="str">
        <f>IFERROR(__xludf.DUMMYFUNCTION("SPLIT(A304,"","")"),"./src/main/java/org/jfree/chart/renderer/category/LevelRenderer.java")</f>
        <v>./src/main/java/org/jfree/chart/renderer/category/LevelRenderer.java</v>
      </c>
      <c r="H304" s="9">
        <f>IFERROR(__xludf.DUMMYFUNCTION("""COMPUTED_VALUE"""),12.0)</f>
        <v>12</v>
      </c>
      <c r="I304" s="9">
        <f>IFERROR(__xludf.DUMMYFUNCTION("""COMPUTED_VALUE"""),222.0)</f>
        <v>222</v>
      </c>
      <c r="J304" s="9">
        <f>IFERROR(__xludf.DUMMYFUNCTION("""COMPUTED_VALUE"""),44.91)</f>
        <v>44.91</v>
      </c>
      <c r="Q304" s="12" t="str">
        <f t="shared" ref="Q304:S304" si="308">IF(H304&gt;M$5, $G304, "")</f>
        <v/>
      </c>
      <c r="R304" s="13" t="str">
        <f t="shared" si="308"/>
        <v/>
      </c>
      <c r="S304" s="14" t="str">
        <f t="shared" si="308"/>
        <v/>
      </c>
    </row>
    <row r="305">
      <c r="A305" s="1" t="s">
        <v>318</v>
      </c>
      <c r="G305" s="9" t="str">
        <f>IFERROR(__xludf.DUMMYFUNCTION("SPLIT(A305,"","")"),"./src/main/java/org/jfree/chart/renderer/category/LineAndShapeRenderer.java")</f>
        <v>./src/main/java/org/jfree/chart/renderer/category/LineAndShapeRenderer.java</v>
      </c>
      <c r="H305" s="9">
        <f>IFERROR(__xludf.DUMMYFUNCTION("""COMPUTED_VALUE"""),14.0)</f>
        <v>14</v>
      </c>
      <c r="I305" s="9">
        <f>IFERROR(__xludf.DUMMYFUNCTION("""COMPUTED_VALUE"""),379.0)</f>
        <v>379</v>
      </c>
      <c r="J305" s="9">
        <f>IFERROR(__xludf.DUMMYFUNCTION("""COMPUTED_VALUE"""),51.03)</f>
        <v>51.03</v>
      </c>
      <c r="Q305" s="12" t="str">
        <f t="shared" ref="Q305:S305" si="309">IF(H305&gt;M$5, $G305, "")</f>
        <v/>
      </c>
      <c r="R305" s="13" t="str">
        <f t="shared" si="309"/>
        <v/>
      </c>
      <c r="S305" s="14" t="str">
        <f t="shared" si="309"/>
        <v/>
      </c>
    </row>
    <row r="306">
      <c r="A306" s="1" t="s">
        <v>319</v>
      </c>
      <c r="G306" s="9" t="str">
        <f>IFERROR(__xludf.DUMMYFUNCTION("SPLIT(A306,"","")"),"./src/main/java/org/jfree/chart/renderer/category/MinMaxCategoryRenderer.java")</f>
        <v>./src/main/java/org/jfree/chart/renderer/category/MinMaxCategoryRenderer.java</v>
      </c>
      <c r="H306" s="9">
        <f>IFERROR(__xludf.DUMMYFUNCTION("""COMPUTED_VALUE"""),11.0)</f>
        <v>11</v>
      </c>
      <c r="I306" s="9">
        <f>IFERROR(__xludf.DUMMYFUNCTION("""COMPUTED_VALUE"""),268.0)</f>
        <v>268</v>
      </c>
      <c r="J306" s="9">
        <f>IFERROR(__xludf.DUMMYFUNCTION("""COMPUTED_VALUE"""),45.64)</f>
        <v>45.64</v>
      </c>
      <c r="Q306" s="12" t="str">
        <f t="shared" ref="Q306:S306" si="310">IF(H306&gt;M$5, $G306, "")</f>
        <v/>
      </c>
      <c r="R306" s="13" t="str">
        <f t="shared" si="310"/>
        <v/>
      </c>
      <c r="S306" s="14" t="str">
        <f t="shared" si="310"/>
        <v/>
      </c>
    </row>
    <row r="307">
      <c r="A307" s="1" t="s">
        <v>320</v>
      </c>
      <c r="G307" s="9" t="str">
        <f>IFERROR(__xludf.DUMMYFUNCTION("SPLIT(A307,"","")"),"./src/main/java/org/jfree/chart/renderer/category/ScatterRenderer.java")</f>
        <v>./src/main/java/org/jfree/chart/renderer/category/ScatterRenderer.java</v>
      </c>
      <c r="H307" s="9">
        <f>IFERROR(__xludf.DUMMYFUNCTION("""COMPUTED_VALUE"""),13.0)</f>
        <v>13</v>
      </c>
      <c r="I307" s="9">
        <f>IFERROR(__xludf.DUMMYFUNCTION("""COMPUTED_VALUE"""),269.0)</f>
        <v>269</v>
      </c>
      <c r="J307" s="9">
        <f>IFERROR(__xludf.DUMMYFUNCTION("""COMPUTED_VALUE"""),49.63)</f>
        <v>49.63</v>
      </c>
      <c r="Q307" s="12" t="str">
        <f t="shared" ref="Q307:S307" si="311">IF(H307&gt;M$5, $G307, "")</f>
        <v/>
      </c>
      <c r="R307" s="13" t="str">
        <f t="shared" si="311"/>
        <v/>
      </c>
      <c r="S307" s="14" t="str">
        <f t="shared" si="311"/>
        <v/>
      </c>
    </row>
    <row r="308">
      <c r="A308" s="1" t="s">
        <v>321</v>
      </c>
      <c r="G308" s="9" t="str">
        <f>IFERROR(__xludf.DUMMYFUNCTION("SPLIT(A308,"","")"),"./src/main/java/org/jfree/chart/renderer/category/StackedAreaRenderer.java")</f>
        <v>./src/main/java/org/jfree/chart/renderer/category/StackedAreaRenderer.java</v>
      </c>
      <c r="H308" s="9">
        <f>IFERROR(__xludf.DUMMYFUNCTION("""COMPUTED_VALUE"""),12.0)</f>
        <v>12</v>
      </c>
      <c r="I308" s="9">
        <f>IFERROR(__xludf.DUMMYFUNCTION("""COMPUTED_VALUE"""),284.0)</f>
        <v>284</v>
      </c>
      <c r="J308" s="9">
        <f>IFERROR(__xludf.DUMMYFUNCTION("""COMPUTED_VALUE"""),35.16)</f>
        <v>35.16</v>
      </c>
      <c r="Q308" s="12" t="str">
        <f t="shared" ref="Q308:S308" si="312">IF(H308&gt;M$5, $G308, "")</f>
        <v/>
      </c>
      <c r="R308" s="13" t="str">
        <f t="shared" si="312"/>
        <v/>
      </c>
      <c r="S308" s="14" t="str">
        <f t="shared" si="312"/>
        <v/>
      </c>
    </row>
    <row r="309">
      <c r="A309" s="1" t="s">
        <v>322</v>
      </c>
      <c r="G309" s="9" t="str">
        <f>IFERROR(__xludf.DUMMYFUNCTION("SPLIT(A309,"","")"),"./src/main/java/org/jfree/chart/renderer/category/StackedBarRenderer.java")</f>
        <v>./src/main/java/org/jfree/chart/renderer/category/StackedBarRenderer.java</v>
      </c>
      <c r="H309" s="9">
        <f>IFERROR(__xludf.DUMMYFUNCTION("""COMPUTED_VALUE"""),11.0)</f>
        <v>11</v>
      </c>
      <c r="I309" s="9">
        <f>IFERROR(__xludf.DUMMYFUNCTION("""COMPUTED_VALUE"""),216.0)</f>
        <v>216</v>
      </c>
      <c r="J309" s="9">
        <f>IFERROR(__xludf.DUMMYFUNCTION("""COMPUTED_VALUE"""),37.57)</f>
        <v>37.57</v>
      </c>
      <c r="Q309" s="12" t="str">
        <f t="shared" ref="Q309:S309" si="313">IF(H309&gt;M$5, $G309, "")</f>
        <v/>
      </c>
      <c r="R309" s="13" t="str">
        <f t="shared" si="313"/>
        <v/>
      </c>
      <c r="S309" s="14" t="str">
        <f t="shared" si="313"/>
        <v/>
      </c>
    </row>
    <row r="310">
      <c r="A310" s="1" t="s">
        <v>323</v>
      </c>
      <c r="G310" s="9" t="str">
        <f>IFERROR(__xludf.DUMMYFUNCTION("SPLIT(A310,"","")"),"./src/main/java/org/jfree/chart/renderer/category/StandardBarPainter.java")</f>
        <v>./src/main/java/org/jfree/chart/renderer/category/StandardBarPainter.java</v>
      </c>
      <c r="H310" s="9">
        <f>IFERROR(__xludf.DUMMYFUNCTION("""COMPUTED_VALUE"""),6.0)</f>
        <v>6</v>
      </c>
      <c r="I310" s="9">
        <f>IFERROR(__xludf.DUMMYFUNCTION("""COMPUTED_VALUE"""),106.0)</f>
        <v>106</v>
      </c>
      <c r="J310" s="9">
        <f>IFERROR(__xludf.DUMMYFUNCTION("""COMPUTED_VALUE"""),47.52)</f>
        <v>47.52</v>
      </c>
      <c r="Q310" s="12" t="str">
        <f t="shared" ref="Q310:S310" si="314">IF(H310&gt;M$5, $G310, "")</f>
        <v/>
      </c>
      <c r="R310" s="13" t="str">
        <f t="shared" si="314"/>
        <v/>
      </c>
      <c r="S310" s="14" t="str">
        <f t="shared" si="314"/>
        <v/>
      </c>
    </row>
    <row r="311">
      <c r="A311" s="1" t="s">
        <v>324</v>
      </c>
      <c r="G311" s="9" t="str">
        <f>IFERROR(__xludf.DUMMYFUNCTION("SPLIT(A311,"","")"),"./src/main/java/org/jfree/chart/renderer/category/StatisticalBarRenderer.java")</f>
        <v>./src/main/java/org/jfree/chart/renderer/category/StatisticalBarRenderer.java</v>
      </c>
      <c r="H311" s="9">
        <f>IFERROR(__xludf.DUMMYFUNCTION("""COMPUTED_VALUE"""),12.0)</f>
        <v>12</v>
      </c>
      <c r="I311" s="9">
        <f>IFERROR(__xludf.DUMMYFUNCTION("""COMPUTED_VALUE"""),342.0)</f>
        <v>342</v>
      </c>
      <c r="J311" s="9">
        <f>IFERROR(__xludf.DUMMYFUNCTION("""COMPUTED_VALUE"""),33.98)</f>
        <v>33.98</v>
      </c>
      <c r="Q311" s="12" t="str">
        <f t="shared" ref="Q311:S311" si="315">IF(H311&gt;M$5, $G311, "")</f>
        <v/>
      </c>
      <c r="R311" s="13" t="str">
        <f t="shared" si="315"/>
        <v/>
      </c>
      <c r="S311" s="14" t="str">
        <f t="shared" si="315"/>
        <v/>
      </c>
    </row>
    <row r="312">
      <c r="A312" s="1" t="s">
        <v>325</v>
      </c>
      <c r="G312" s="9" t="str">
        <f>IFERROR(__xludf.DUMMYFUNCTION("SPLIT(A312,"","")"),"./src/main/java/org/jfree/chart/renderer/category/StatisticalLineAndShapeRenderer.java")</f>
        <v>./src/main/java/org/jfree/chart/renderer/category/StatisticalLineAndShapeRenderer.java</v>
      </c>
      <c r="H312" s="9">
        <f>IFERROR(__xludf.DUMMYFUNCTION("""COMPUTED_VALUE"""),11.0)</f>
        <v>11</v>
      </c>
      <c r="I312" s="9">
        <f>IFERROR(__xludf.DUMMYFUNCTION("""COMPUTED_VALUE"""),269.0)</f>
        <v>269</v>
      </c>
      <c r="J312" s="9">
        <f>IFERROR(__xludf.DUMMYFUNCTION("""COMPUTED_VALUE"""),36.85)</f>
        <v>36.85</v>
      </c>
      <c r="Q312" s="12" t="str">
        <f t="shared" ref="Q312:S312" si="316">IF(H312&gt;M$5, $G312, "")</f>
        <v/>
      </c>
      <c r="R312" s="13" t="str">
        <f t="shared" si="316"/>
        <v/>
      </c>
      <c r="S312" s="14" t="str">
        <f t="shared" si="316"/>
        <v/>
      </c>
    </row>
    <row r="313">
      <c r="A313" s="1" t="s">
        <v>326</v>
      </c>
      <c r="G313" s="9" t="str">
        <f>IFERROR(__xludf.DUMMYFUNCTION("SPLIT(A313,"","")"),"./src/main/java/org/jfree/chart/renderer/category/WaterfallBarRenderer.java")</f>
        <v>./src/main/java/org/jfree/chart/renderer/category/WaterfallBarRenderer.java</v>
      </c>
      <c r="H313" s="9">
        <f>IFERROR(__xludf.DUMMYFUNCTION("""COMPUTED_VALUE"""),10.0)</f>
        <v>10</v>
      </c>
      <c r="I313" s="9">
        <f>IFERROR(__xludf.DUMMYFUNCTION("""COMPUTED_VALUE"""),261.0)</f>
        <v>261</v>
      </c>
      <c r="J313" s="9">
        <f>IFERROR(__xludf.DUMMYFUNCTION("""COMPUTED_VALUE"""),39.16)</f>
        <v>39.16</v>
      </c>
      <c r="Q313" s="12" t="str">
        <f t="shared" ref="Q313:S313" si="317">IF(H313&gt;M$5, $G313, "")</f>
        <v/>
      </c>
      <c r="R313" s="13" t="str">
        <f t="shared" si="317"/>
        <v/>
      </c>
      <c r="S313" s="14" t="str">
        <f t="shared" si="317"/>
        <v/>
      </c>
    </row>
    <row r="314">
      <c r="A314" s="1" t="s">
        <v>327</v>
      </c>
      <c r="G314" s="9" t="str">
        <f>IFERROR(__xludf.DUMMYFUNCTION("SPLIT(A314,"","")"),"./src/main/java/org/jfree/chart/renderer/DefaultPolarItemRenderer.java")</f>
        <v>./src/main/java/org/jfree/chart/renderer/DefaultPolarItemRenderer.java</v>
      </c>
      <c r="H314" s="9">
        <f>IFERROR(__xludf.DUMMYFUNCTION("""COMPUTED_VALUE"""),22.0)</f>
        <v>22</v>
      </c>
      <c r="I314" s="9">
        <f>IFERROR(__xludf.DUMMYFUNCTION("""COMPUTED_VALUE"""),489.0)</f>
        <v>489</v>
      </c>
      <c r="J314" s="9">
        <f>IFERROR(__xludf.DUMMYFUNCTION("""COMPUTED_VALUE"""),41.79)</f>
        <v>41.79</v>
      </c>
      <c r="Q314" s="12" t="str">
        <f t="shared" ref="Q314:S314" si="318">IF(H314&gt;M$5, $G314, "")</f>
        <v>./src/main/java/org/jfree/chart/renderer/DefaultPolarItemRenderer.java</v>
      </c>
      <c r="R314" s="13" t="str">
        <f t="shared" si="318"/>
        <v>./src/main/java/org/jfree/chart/renderer/DefaultPolarItemRenderer.java</v>
      </c>
      <c r="S314" s="14" t="str">
        <f t="shared" si="318"/>
        <v/>
      </c>
    </row>
    <row r="315">
      <c r="A315" s="1" t="s">
        <v>328</v>
      </c>
      <c r="G315" s="9" t="str">
        <f>IFERROR(__xludf.DUMMYFUNCTION("SPLIT(A315,"","")"),"./src/main/java/org/jfree/chart/renderer/GrayPaintScale.java")</f>
        <v>./src/main/java/org/jfree/chart/renderer/GrayPaintScale.java</v>
      </c>
      <c r="H315" s="9">
        <f>IFERROR(__xludf.DUMMYFUNCTION("""COMPUTED_VALUE"""),7.0)</f>
        <v>7</v>
      </c>
      <c r="I315" s="9">
        <f>IFERROR(__xludf.DUMMYFUNCTION("""COMPUTED_VALUE"""),82.0)</f>
        <v>82</v>
      </c>
      <c r="J315" s="9">
        <f>IFERROR(__xludf.DUMMYFUNCTION("""COMPUTED_VALUE"""),59.61)</f>
        <v>59.61</v>
      </c>
      <c r="Q315" s="12" t="str">
        <f t="shared" ref="Q315:S315" si="319">IF(H315&gt;M$5, $G315, "")</f>
        <v/>
      </c>
      <c r="R315" s="13" t="str">
        <f t="shared" si="319"/>
        <v/>
      </c>
      <c r="S315" s="14" t="str">
        <f t="shared" si="319"/>
        <v/>
      </c>
    </row>
    <row r="316">
      <c r="A316" s="1" t="s">
        <v>329</v>
      </c>
      <c r="G316" s="9" t="str">
        <f>IFERROR(__xludf.DUMMYFUNCTION("SPLIT(A316,"","")"),"./src/main/java/org/jfree/chart/renderer/LookupPaintScale.java")</f>
        <v>./src/main/java/org/jfree/chart/renderer/LookupPaintScale.java</v>
      </c>
      <c r="H316" s="9">
        <f>IFERROR(__xludf.DUMMYFUNCTION("""COMPUTED_VALUE"""),9.0)</f>
        <v>9</v>
      </c>
      <c r="I316" s="9">
        <f>IFERROR(__xludf.DUMMYFUNCTION("""COMPUTED_VALUE"""),179.0)</f>
        <v>179</v>
      </c>
      <c r="J316" s="9">
        <f>IFERROR(__xludf.DUMMYFUNCTION("""COMPUTED_VALUE"""),47.97)</f>
        <v>47.97</v>
      </c>
      <c r="Q316" s="12" t="str">
        <f t="shared" ref="Q316:S316" si="320">IF(H316&gt;M$5, $G316, "")</f>
        <v/>
      </c>
      <c r="R316" s="13" t="str">
        <f t="shared" si="320"/>
        <v/>
      </c>
      <c r="S316" s="14" t="str">
        <f t="shared" si="320"/>
        <v/>
      </c>
    </row>
    <row r="317">
      <c r="A317" s="1" t="s">
        <v>330</v>
      </c>
      <c r="G317" s="9" t="str">
        <f>IFERROR(__xludf.DUMMYFUNCTION("SPLIT(A317,"","")"),"./src/main/java/org/jfree/chart/renderer/NotOutlierException.java")</f>
        <v>./src/main/java/org/jfree/chart/renderer/NotOutlierException.java</v>
      </c>
      <c r="H317" s="9">
        <f>IFERROR(__xludf.DUMMYFUNCTION("""COMPUTED_VALUE"""),2.0)</f>
        <v>2</v>
      </c>
      <c r="I317" s="9">
        <f>IFERROR(__xludf.DUMMYFUNCTION("""COMPUTED_VALUE"""),6.0)</f>
        <v>6</v>
      </c>
      <c r="J317" s="9">
        <f>IFERROR(__xludf.DUMMYFUNCTION("""COMPUTED_VALUE"""),89.47)</f>
        <v>89.47</v>
      </c>
      <c r="Q317" s="12" t="str">
        <f t="shared" ref="Q317:S317" si="321">IF(H317&gt;M$5, $G317, "")</f>
        <v/>
      </c>
      <c r="R317" s="13" t="str">
        <f t="shared" si="321"/>
        <v/>
      </c>
      <c r="S317" s="14" t="str">
        <f t="shared" si="321"/>
        <v/>
      </c>
    </row>
    <row r="318">
      <c r="A318" s="1" t="s">
        <v>331</v>
      </c>
      <c r="G318" s="9" t="str">
        <f>IFERROR(__xludf.DUMMYFUNCTION("SPLIT(A318,"","")"),"./src/main/java/org/jfree/chart/renderer/Outlier.java")</f>
        <v>./src/main/java/org/jfree/chart/renderer/Outlier.java</v>
      </c>
      <c r="H318" s="9">
        <f>IFERROR(__xludf.DUMMYFUNCTION("""COMPUTED_VALUE"""),2.0)</f>
        <v>2</v>
      </c>
      <c r="I318" s="9">
        <f>IFERROR(__xludf.DUMMYFUNCTION("""COMPUTED_VALUE"""),70.0)</f>
        <v>70</v>
      </c>
      <c r="J318" s="9">
        <f>IFERROR(__xludf.DUMMYFUNCTION("""COMPUTED_VALUE"""),64.29)</f>
        <v>64.29</v>
      </c>
      <c r="Q318" s="12" t="str">
        <f t="shared" ref="Q318:S318" si="322">IF(H318&gt;M$5, $G318, "")</f>
        <v/>
      </c>
      <c r="R318" s="13" t="str">
        <f t="shared" si="322"/>
        <v/>
      </c>
      <c r="S318" s="14" t="str">
        <f t="shared" si="322"/>
        <v/>
      </c>
    </row>
    <row r="319">
      <c r="A319" s="1" t="s">
        <v>332</v>
      </c>
      <c r="G319" s="9" t="str">
        <f>IFERROR(__xludf.DUMMYFUNCTION("SPLIT(A319,"","")"),"./src/main/java/org/jfree/chart/renderer/OutlierList.java")</f>
        <v>./src/main/java/org/jfree/chart/renderer/OutlierList.java</v>
      </c>
      <c r="H319" s="9">
        <f>IFERROR(__xludf.DUMMYFUNCTION("""COMPUTED_VALUE"""),3.0)</f>
        <v>3</v>
      </c>
      <c r="I319" s="9">
        <f>IFERROR(__xludf.DUMMYFUNCTION("""COMPUTED_VALUE"""),49.0)</f>
        <v>49</v>
      </c>
      <c r="J319" s="9">
        <f>IFERROR(__xludf.DUMMYFUNCTION("""COMPUTED_VALUE"""),68.59)</f>
        <v>68.59</v>
      </c>
      <c r="Q319" s="12" t="str">
        <f t="shared" ref="Q319:S319" si="323">IF(H319&gt;M$5, $G319, "")</f>
        <v/>
      </c>
      <c r="R319" s="13" t="str">
        <f t="shared" si="323"/>
        <v/>
      </c>
      <c r="S319" s="14" t="str">
        <f t="shared" si="323"/>
        <v/>
      </c>
    </row>
    <row r="320">
      <c r="A320" s="1" t="s">
        <v>333</v>
      </c>
      <c r="G320" s="9" t="str">
        <f>IFERROR(__xludf.DUMMYFUNCTION("SPLIT(A320,"","")"),"./src/main/java/org/jfree/chart/renderer/OutlierListCollection.java")</f>
        <v>./src/main/java/org/jfree/chart/renderer/OutlierListCollection.java</v>
      </c>
      <c r="H320" s="9">
        <f>IFERROR(__xludf.DUMMYFUNCTION("""COMPUTED_VALUE"""),6.0)</f>
        <v>6</v>
      </c>
      <c r="I320" s="9">
        <f>IFERROR(__xludf.DUMMYFUNCTION("""COMPUTED_VALUE"""),49.0)</f>
        <v>49</v>
      </c>
      <c r="J320" s="9">
        <f>IFERROR(__xludf.DUMMYFUNCTION("""COMPUTED_VALUE"""),68.79)</f>
        <v>68.79</v>
      </c>
      <c r="Q320" s="12" t="str">
        <f t="shared" ref="Q320:S320" si="324">IF(H320&gt;M$5, $G320, "")</f>
        <v/>
      </c>
      <c r="R320" s="13" t="str">
        <f t="shared" si="324"/>
        <v/>
      </c>
      <c r="S320" s="14" t="str">
        <f t="shared" si="324"/>
        <v/>
      </c>
    </row>
    <row r="321">
      <c r="A321" s="1" t="s">
        <v>334</v>
      </c>
      <c r="G321" s="9" t="str">
        <f>IFERROR(__xludf.DUMMYFUNCTION("SPLIT(A321,"","")"),"./src/main/java/org/jfree/chart/renderer/PaintScale.java")</f>
        <v>./src/main/java/org/jfree/chart/renderer/PaintScale.java</v>
      </c>
      <c r="H321" s="9">
        <f>IFERROR(__xludf.DUMMYFUNCTION("""COMPUTED_VALUE"""),5.0)</f>
        <v>5</v>
      </c>
      <c r="I321" s="9">
        <f>IFERROR(__xludf.DUMMYFUNCTION("""COMPUTED_VALUE"""),8.0)</f>
        <v>8</v>
      </c>
      <c r="J321" s="9">
        <f>IFERROR(__xludf.DUMMYFUNCTION("""COMPUTED_VALUE"""),89.04)</f>
        <v>89.04</v>
      </c>
      <c r="Q321" s="12" t="str">
        <f t="shared" ref="Q321:S321" si="325">IF(H321&gt;M$5, $G321, "")</f>
        <v/>
      </c>
      <c r="R321" s="13" t="str">
        <f t="shared" si="325"/>
        <v/>
      </c>
      <c r="S321" s="14" t="str">
        <f t="shared" si="325"/>
        <v/>
      </c>
    </row>
    <row r="322">
      <c r="A322" s="1" t="s">
        <v>335</v>
      </c>
      <c r="G322" s="9" t="str">
        <f>IFERROR(__xludf.DUMMYFUNCTION("SPLIT(A322,"","")"),"./src/main/java/org/jfree/chart/renderer/PolarItemRenderer.java")</f>
        <v>./src/main/java/org/jfree/chart/renderer/PolarItemRenderer.java</v>
      </c>
      <c r="H322" s="9">
        <f>IFERROR(__xludf.DUMMYFUNCTION("""COMPUTED_VALUE"""),8.0)</f>
        <v>8</v>
      </c>
      <c r="I322" s="9">
        <f>IFERROR(__xludf.DUMMYFUNCTION("""COMPUTED_VALUE"""),35.0)</f>
        <v>35</v>
      </c>
      <c r="J322" s="9">
        <f>IFERROR(__xludf.DUMMYFUNCTION("""COMPUTED_VALUE"""),80.77)</f>
        <v>80.77</v>
      </c>
      <c r="Q322" s="12" t="str">
        <f t="shared" ref="Q322:S322" si="326">IF(H322&gt;M$5, $G322, "")</f>
        <v/>
      </c>
      <c r="R322" s="13" t="str">
        <f t="shared" si="326"/>
        <v/>
      </c>
      <c r="S322" s="14" t="str">
        <f t="shared" si="326"/>
        <v/>
      </c>
    </row>
    <row r="323">
      <c r="A323" s="1" t="s">
        <v>336</v>
      </c>
      <c r="G323" s="9" t="str">
        <f>IFERROR(__xludf.DUMMYFUNCTION("SPLIT(A323,"","")"),"./src/main/java/org/jfree/chart/renderer/RendererState.java")</f>
        <v>./src/main/java/org/jfree/chart/renderer/RendererState.java</v>
      </c>
      <c r="H323" s="9">
        <f>IFERROR(__xludf.DUMMYFUNCTION("""COMPUTED_VALUE"""),3.0)</f>
        <v>3</v>
      </c>
      <c r="I323" s="9">
        <f>IFERROR(__xludf.DUMMYFUNCTION("""COMPUTED_VALUE"""),31.0)</f>
        <v>31</v>
      </c>
      <c r="J323" s="9">
        <f>IFERROR(__xludf.DUMMYFUNCTION("""COMPUTED_VALUE"""),69.9)</f>
        <v>69.9</v>
      </c>
      <c r="Q323" s="12" t="str">
        <f t="shared" ref="Q323:S323" si="327">IF(H323&gt;M$5, $G323, "")</f>
        <v/>
      </c>
      <c r="R323" s="13" t="str">
        <f t="shared" si="327"/>
        <v/>
      </c>
      <c r="S323" s="14" t="str">
        <f t="shared" si="327"/>
        <v/>
      </c>
    </row>
    <row r="324">
      <c r="A324" s="1" t="s">
        <v>337</v>
      </c>
      <c r="G324" s="9" t="str">
        <f>IFERROR(__xludf.DUMMYFUNCTION("SPLIT(A324,"","")"),"./src/main/java/org/jfree/chart/renderer/RendererUtils.java")</f>
        <v>./src/main/java/org/jfree/chart/renderer/RendererUtils.java</v>
      </c>
      <c r="H324" s="9">
        <f>IFERROR(__xludf.DUMMYFUNCTION("""COMPUTED_VALUE"""),4.0)</f>
        <v>4</v>
      </c>
      <c r="I324" s="9">
        <f>IFERROR(__xludf.DUMMYFUNCTION("""COMPUTED_VALUE"""),153.0)</f>
        <v>153</v>
      </c>
      <c r="J324" s="9">
        <f>IFERROR(__xludf.DUMMYFUNCTION("""COMPUTED_VALUE"""),38.06)</f>
        <v>38.06</v>
      </c>
      <c r="Q324" s="12" t="str">
        <f t="shared" ref="Q324:S324" si="328">IF(H324&gt;M$5, $G324, "")</f>
        <v/>
      </c>
      <c r="R324" s="13" t="str">
        <f t="shared" si="328"/>
        <v/>
      </c>
      <c r="S324" s="14" t="str">
        <f t="shared" si="328"/>
        <v/>
      </c>
    </row>
    <row r="325">
      <c r="A325" s="1" t="s">
        <v>338</v>
      </c>
      <c r="G325" s="9" t="str">
        <f>IFERROR(__xludf.DUMMYFUNCTION("SPLIT(A325,"","")"),"./src/main/java/org/jfree/chart/renderer/WaferMapRenderer.java")</f>
        <v>./src/main/java/org/jfree/chart/renderer/WaferMapRenderer.java</v>
      </c>
      <c r="H325" s="9">
        <f>IFERROR(__xludf.DUMMYFUNCTION("""COMPUTED_VALUE"""),5.0)</f>
        <v>5</v>
      </c>
      <c r="I325" s="9">
        <f>IFERROR(__xludf.DUMMYFUNCTION("""COMPUTED_VALUE"""),204.0)</f>
        <v>204</v>
      </c>
      <c r="J325" s="9">
        <f>IFERROR(__xludf.DUMMYFUNCTION("""COMPUTED_VALUE"""),40.7)</f>
        <v>40.7</v>
      </c>
      <c r="Q325" s="12" t="str">
        <f t="shared" ref="Q325:S325" si="329">IF(H325&gt;M$5, $G325, "")</f>
        <v/>
      </c>
      <c r="R325" s="13" t="str">
        <f t="shared" si="329"/>
        <v/>
      </c>
      <c r="S325" s="14" t="str">
        <f t="shared" si="329"/>
        <v/>
      </c>
    </row>
    <row r="326">
      <c r="A326" s="1" t="s">
        <v>339</v>
      </c>
      <c r="G326" s="9" t="str">
        <f>IFERROR(__xludf.DUMMYFUNCTION("SPLIT(A326,"","")"),"./src/main/java/org/jfree/chart/renderer/xy/AbstractXYItemRenderer.java")</f>
        <v>./src/main/java/org/jfree/chart/renderer/xy/AbstractXYItemRenderer.java</v>
      </c>
      <c r="H326" s="9">
        <f>IFERROR(__xludf.DUMMYFUNCTION("""COMPUTED_VALUE"""),30.0)</f>
        <v>30</v>
      </c>
      <c r="I326" s="9">
        <f>IFERROR(__xludf.DUMMYFUNCTION("""COMPUTED_VALUE"""),974.0)</f>
        <v>974</v>
      </c>
      <c r="J326" s="9">
        <f>IFERROR(__xludf.DUMMYFUNCTION("""COMPUTED_VALUE"""),36.09)</f>
        <v>36.09</v>
      </c>
      <c r="Q326" s="12" t="str">
        <f t="shared" ref="Q326:S326" si="330">IF(H326&gt;M$5, $G326, "")</f>
        <v>./src/main/java/org/jfree/chart/renderer/xy/AbstractXYItemRenderer.java</v>
      </c>
      <c r="R326" s="13" t="str">
        <f t="shared" si="330"/>
        <v>./src/main/java/org/jfree/chart/renderer/xy/AbstractXYItemRenderer.java</v>
      </c>
      <c r="S326" s="14" t="str">
        <f t="shared" si="330"/>
        <v/>
      </c>
    </row>
    <row r="327">
      <c r="A327" s="1" t="s">
        <v>340</v>
      </c>
      <c r="G327" s="9" t="str">
        <f>IFERROR(__xludf.DUMMYFUNCTION("SPLIT(A327,"","")"),"./src/main/java/org/jfree/chart/renderer/xy/CandlestickRenderer.java")</f>
        <v>./src/main/java/org/jfree/chart/renderer/xy/CandlestickRenderer.java</v>
      </c>
      <c r="H327" s="9">
        <f>IFERROR(__xludf.DUMMYFUNCTION("""COMPUTED_VALUE"""),15.0)</f>
        <v>15</v>
      </c>
      <c r="I327" s="9">
        <f>IFERROR(__xludf.DUMMYFUNCTION("""COMPUTED_VALUE"""),429.0)</f>
        <v>429</v>
      </c>
      <c r="J327" s="9">
        <f>IFERROR(__xludf.DUMMYFUNCTION("""COMPUTED_VALUE"""),47.56)</f>
        <v>47.56</v>
      </c>
      <c r="Q327" s="12" t="str">
        <f t="shared" ref="Q327:S327" si="331">IF(H327&gt;M$5, $G327, "")</f>
        <v/>
      </c>
      <c r="R327" s="13" t="str">
        <f t="shared" si="331"/>
        <v/>
      </c>
      <c r="S327" s="14" t="str">
        <f t="shared" si="331"/>
        <v/>
      </c>
    </row>
    <row r="328">
      <c r="A328" s="1" t="s">
        <v>341</v>
      </c>
      <c r="G328" s="9" t="str">
        <f>IFERROR(__xludf.DUMMYFUNCTION("SPLIT(A328,"","")"),"./src/main/java/org/jfree/chart/renderer/xy/ClusteredXYBarRenderer.java")</f>
        <v>./src/main/java/org/jfree/chart/renderer/xy/ClusteredXYBarRenderer.java</v>
      </c>
      <c r="H328" s="9">
        <f>IFERROR(__xludf.DUMMYFUNCTION("""COMPUTED_VALUE"""),12.0)</f>
        <v>12</v>
      </c>
      <c r="I328" s="9">
        <f>IFERROR(__xludf.DUMMYFUNCTION("""COMPUTED_VALUE"""),200.0)</f>
        <v>200</v>
      </c>
      <c r="J328" s="9">
        <f>IFERROR(__xludf.DUMMYFUNCTION("""COMPUTED_VALUE"""),39.02)</f>
        <v>39.02</v>
      </c>
      <c r="Q328" s="12" t="str">
        <f t="shared" ref="Q328:S328" si="332">IF(H328&gt;M$5, $G328, "")</f>
        <v/>
      </c>
      <c r="R328" s="13" t="str">
        <f t="shared" si="332"/>
        <v/>
      </c>
      <c r="S328" s="14" t="str">
        <f t="shared" si="332"/>
        <v/>
      </c>
    </row>
    <row r="329">
      <c r="A329" s="1" t="s">
        <v>342</v>
      </c>
      <c r="G329" s="9" t="str">
        <f>IFERROR(__xludf.DUMMYFUNCTION("SPLIT(A329,"","")"),"./src/main/java/org/jfree/chart/renderer/xy/CyclicXYItemRenderer.java")</f>
        <v>./src/main/java/org/jfree/chart/renderer/xy/CyclicXYItemRenderer.java</v>
      </c>
      <c r="H329" s="9">
        <f>IFERROR(__xludf.DUMMYFUNCTION("""COMPUTED_VALUE"""),4.0)</f>
        <v>4</v>
      </c>
      <c r="I329" s="9">
        <f>IFERROR(__xludf.DUMMYFUNCTION("""COMPUTED_VALUE"""),249.0)</f>
        <v>249</v>
      </c>
      <c r="J329" s="9">
        <f>IFERROR(__xludf.DUMMYFUNCTION("""COMPUTED_VALUE"""),43.02)</f>
        <v>43.02</v>
      </c>
      <c r="Q329" s="12" t="str">
        <f t="shared" ref="Q329:S329" si="333">IF(H329&gt;M$5, $G329, "")</f>
        <v/>
      </c>
      <c r="R329" s="13" t="str">
        <f t="shared" si="333"/>
        <v/>
      </c>
      <c r="S329" s="14" t="str">
        <f t="shared" si="333"/>
        <v/>
      </c>
    </row>
    <row r="330">
      <c r="A330" s="1" t="s">
        <v>343</v>
      </c>
      <c r="G330" s="9" t="str">
        <f>IFERROR(__xludf.DUMMYFUNCTION("SPLIT(A330,"","")"),"./src/main/java/org/jfree/chart/renderer/xy/DefaultXYItemRenderer.java")</f>
        <v>./src/main/java/org/jfree/chart/renderer/xy/DefaultXYItemRenderer.java</v>
      </c>
      <c r="H330" s="9">
        <f>IFERROR(__xludf.DUMMYFUNCTION("""COMPUTED_VALUE"""),2.0)</f>
        <v>2</v>
      </c>
      <c r="I330" s="9">
        <f>IFERROR(__xludf.DUMMYFUNCTION("""COMPUTED_VALUE"""),6.0)</f>
        <v>6</v>
      </c>
      <c r="J330" s="9">
        <f>IFERROR(__xludf.DUMMYFUNCTION("""COMPUTED_VALUE"""),88.46)</f>
        <v>88.46</v>
      </c>
      <c r="Q330" s="12" t="str">
        <f t="shared" ref="Q330:S330" si="334">IF(H330&gt;M$5, $G330, "")</f>
        <v/>
      </c>
      <c r="R330" s="13" t="str">
        <f t="shared" si="334"/>
        <v/>
      </c>
      <c r="S330" s="14" t="str">
        <f t="shared" si="334"/>
        <v/>
      </c>
    </row>
    <row r="331">
      <c r="A331" s="1" t="s">
        <v>344</v>
      </c>
      <c r="G331" s="9" t="str">
        <f>IFERROR(__xludf.DUMMYFUNCTION("SPLIT(A331,"","")"),"./src/main/java/org/jfree/chart/renderer/xy/DeviationRenderer.java")</f>
        <v>./src/main/java/org/jfree/chart/renderer/xy/DeviationRenderer.java</v>
      </c>
      <c r="H331" s="9">
        <f>IFERROR(__xludf.DUMMYFUNCTION("""COMPUTED_VALUE"""),8.0)</f>
        <v>8</v>
      </c>
      <c r="I331" s="9">
        <f>IFERROR(__xludf.DUMMYFUNCTION("""COMPUTED_VALUE"""),168.0)</f>
        <v>168</v>
      </c>
      <c r="J331" s="9">
        <f>IFERROR(__xludf.DUMMYFUNCTION("""COMPUTED_VALUE"""),50.88)</f>
        <v>50.88</v>
      </c>
      <c r="Q331" s="12" t="str">
        <f t="shared" ref="Q331:S331" si="335">IF(H331&gt;M$5, $G331, "")</f>
        <v/>
      </c>
      <c r="R331" s="13" t="str">
        <f t="shared" si="335"/>
        <v/>
      </c>
      <c r="S331" s="14" t="str">
        <f t="shared" si="335"/>
        <v/>
      </c>
    </row>
    <row r="332">
      <c r="A332" s="1" t="s">
        <v>345</v>
      </c>
      <c r="G332" s="9" t="str">
        <f>IFERROR(__xludf.DUMMYFUNCTION("SPLIT(A332,"","")"),"./src/main/java/org/jfree/chart/renderer/xy/DeviationStepRenderer.java")</f>
        <v>./src/main/java/org/jfree/chart/renderer/xy/DeviationStepRenderer.java</v>
      </c>
      <c r="H332" s="9">
        <f>IFERROR(__xludf.DUMMYFUNCTION("""COMPUTED_VALUE"""),3.0)</f>
        <v>3</v>
      </c>
      <c r="I332" s="9">
        <f>IFERROR(__xludf.DUMMYFUNCTION("""COMPUTED_VALUE"""),173.0)</f>
        <v>173</v>
      </c>
      <c r="J332" s="9">
        <f>IFERROR(__xludf.DUMMYFUNCTION("""COMPUTED_VALUE"""),38.65)</f>
        <v>38.65</v>
      </c>
      <c r="Q332" s="12" t="str">
        <f t="shared" ref="Q332:S332" si="336">IF(H332&gt;M$5, $G332, "")</f>
        <v/>
      </c>
      <c r="R332" s="13" t="str">
        <f t="shared" si="336"/>
        <v/>
      </c>
      <c r="S332" s="14" t="str">
        <f t="shared" si="336"/>
        <v/>
      </c>
    </row>
    <row r="333">
      <c r="A333" s="1" t="s">
        <v>346</v>
      </c>
      <c r="G333" s="9" t="str">
        <f>IFERROR(__xludf.DUMMYFUNCTION("SPLIT(A333,"","")"),"./src/main/java/org/jfree/chart/renderer/xy/GradientXYBarPainter.java")</f>
        <v>./src/main/java/org/jfree/chart/renderer/xy/GradientXYBarPainter.java</v>
      </c>
      <c r="H333" s="9">
        <f>IFERROR(__xludf.DUMMYFUNCTION("""COMPUTED_VALUE"""),8.0)</f>
        <v>8</v>
      </c>
      <c r="I333" s="9">
        <f>IFERROR(__xludf.DUMMYFUNCTION("""COMPUTED_VALUE"""),214.0)</f>
        <v>214</v>
      </c>
      <c r="J333" s="9">
        <f>IFERROR(__xludf.DUMMYFUNCTION("""COMPUTED_VALUE"""),36.87)</f>
        <v>36.87</v>
      </c>
      <c r="Q333" s="12" t="str">
        <f t="shared" ref="Q333:S333" si="337">IF(H333&gt;M$5, $G333, "")</f>
        <v/>
      </c>
      <c r="R333" s="13" t="str">
        <f t="shared" si="337"/>
        <v/>
      </c>
      <c r="S333" s="14" t="str">
        <f t="shared" si="337"/>
        <v/>
      </c>
    </row>
    <row r="334">
      <c r="A334" s="1" t="s">
        <v>347</v>
      </c>
      <c r="G334" s="9" t="str">
        <f>IFERROR(__xludf.DUMMYFUNCTION("SPLIT(A334,"","")"),"./src/main/java/org/jfree/chart/renderer/xy/HighLowRenderer.java")</f>
        <v>./src/main/java/org/jfree/chart/renderer/xy/HighLowRenderer.java</v>
      </c>
      <c r="H334" s="9">
        <f>IFERROR(__xludf.DUMMYFUNCTION("""COMPUTED_VALUE"""),10.0)</f>
        <v>10</v>
      </c>
      <c r="I334" s="9">
        <f>IFERROR(__xludf.DUMMYFUNCTION("""COMPUTED_VALUE"""),243.0)</f>
        <v>243</v>
      </c>
      <c r="J334" s="9">
        <f>IFERROR(__xludf.DUMMYFUNCTION("""COMPUTED_VALUE"""),45.76)</f>
        <v>45.76</v>
      </c>
      <c r="Q334" s="12" t="str">
        <f t="shared" ref="Q334:S334" si="338">IF(H334&gt;M$5, $G334, "")</f>
        <v/>
      </c>
      <c r="R334" s="13" t="str">
        <f t="shared" si="338"/>
        <v/>
      </c>
      <c r="S334" s="14" t="str">
        <f t="shared" si="338"/>
        <v/>
      </c>
    </row>
    <row r="335">
      <c r="A335" s="1" t="s">
        <v>348</v>
      </c>
      <c r="G335" s="9" t="str">
        <f>IFERROR(__xludf.DUMMYFUNCTION("SPLIT(A335,"","")"),"./src/main/java/org/jfree/chart/renderer/xy/SamplingXYLineRenderer.java")</f>
        <v>./src/main/java/org/jfree/chart/renderer/xy/SamplingXYLineRenderer.java</v>
      </c>
      <c r="H335" s="9">
        <f>IFERROR(__xludf.DUMMYFUNCTION("""COMPUTED_VALUE"""),13.0)</f>
        <v>13</v>
      </c>
      <c r="I335" s="9">
        <f>IFERROR(__xludf.DUMMYFUNCTION("""COMPUTED_VALUE"""),170.0)</f>
        <v>170</v>
      </c>
      <c r="J335" s="9">
        <f>IFERROR(__xludf.DUMMYFUNCTION("""COMPUTED_VALUE"""),48.95)</f>
        <v>48.95</v>
      </c>
      <c r="Q335" s="12" t="str">
        <f t="shared" ref="Q335:S335" si="339">IF(H335&gt;M$5, $G335, "")</f>
        <v/>
      </c>
      <c r="R335" s="13" t="str">
        <f t="shared" si="339"/>
        <v/>
      </c>
      <c r="S335" s="14" t="str">
        <f t="shared" si="339"/>
        <v/>
      </c>
    </row>
    <row r="336">
      <c r="A336" s="1" t="s">
        <v>349</v>
      </c>
      <c r="G336" s="9" t="str">
        <f>IFERROR(__xludf.DUMMYFUNCTION("SPLIT(A336,"","")"),"./src/main/java/org/jfree/chart/renderer/xy/StackedXYAreaRenderer.java")</f>
        <v>./src/main/java/org/jfree/chart/renderer/xy/StackedXYAreaRenderer.java</v>
      </c>
      <c r="H336" s="9">
        <f>IFERROR(__xludf.DUMMYFUNCTION("""COMPUTED_VALUE"""),10.0)</f>
        <v>10</v>
      </c>
      <c r="I336" s="9">
        <f>IFERROR(__xludf.DUMMYFUNCTION("""COMPUTED_VALUE"""),335.0)</f>
        <v>335</v>
      </c>
      <c r="J336" s="9">
        <f>IFERROR(__xludf.DUMMYFUNCTION("""COMPUTED_VALUE"""),44.99)</f>
        <v>44.99</v>
      </c>
      <c r="Q336" s="12" t="str">
        <f t="shared" ref="Q336:S336" si="340">IF(H336&gt;M$5, $G336, "")</f>
        <v/>
      </c>
      <c r="R336" s="13" t="str">
        <f t="shared" si="340"/>
        <v/>
      </c>
      <c r="S336" s="14" t="str">
        <f t="shared" si="340"/>
        <v/>
      </c>
    </row>
    <row r="337">
      <c r="A337" s="1" t="s">
        <v>350</v>
      </c>
      <c r="G337" s="9" t="str">
        <f>IFERROR(__xludf.DUMMYFUNCTION("SPLIT(A337,"","")"),"./src/main/java/org/jfree/chart/renderer/xy/StackedXYAreaRenderer2.java")</f>
        <v>./src/main/java/org/jfree/chart/renderer/xy/StackedXYAreaRenderer2.java</v>
      </c>
      <c r="H337" s="9">
        <f>IFERROR(__xludf.DUMMYFUNCTION("""COMPUTED_VALUE"""),9.0)</f>
        <v>9</v>
      </c>
      <c r="I337" s="9">
        <f>IFERROR(__xludf.DUMMYFUNCTION("""COMPUTED_VALUE"""),325.0)</f>
        <v>325</v>
      </c>
      <c r="J337" s="9">
        <f>IFERROR(__xludf.DUMMYFUNCTION("""COMPUTED_VALUE"""),34.08)</f>
        <v>34.08</v>
      </c>
      <c r="Q337" s="12" t="str">
        <f t="shared" ref="Q337:S337" si="341">IF(H337&gt;M$5, $G337, "")</f>
        <v/>
      </c>
      <c r="R337" s="13" t="str">
        <f t="shared" si="341"/>
        <v/>
      </c>
      <c r="S337" s="14" t="str">
        <f t="shared" si="341"/>
        <v/>
      </c>
    </row>
    <row r="338">
      <c r="A338" s="1" t="s">
        <v>351</v>
      </c>
      <c r="G338" s="9" t="str">
        <f>IFERROR(__xludf.DUMMYFUNCTION("SPLIT(A338,"","")"),"./src/main/java/org/jfree/chart/renderer/xy/StackedXYBarRenderer.java")</f>
        <v>./src/main/java/org/jfree/chart/renderer/xy/StackedXYBarRenderer.java</v>
      </c>
      <c r="H338" s="9">
        <f>IFERROR(__xludf.DUMMYFUNCTION("""COMPUTED_VALUE"""),11.0)</f>
        <v>11</v>
      </c>
      <c r="I338" s="9">
        <f>IFERROR(__xludf.DUMMYFUNCTION("""COMPUTED_VALUE"""),224.0)</f>
        <v>224</v>
      </c>
      <c r="J338" s="9">
        <f>IFERROR(__xludf.DUMMYFUNCTION("""COMPUTED_VALUE"""),40.11)</f>
        <v>40.11</v>
      </c>
      <c r="Q338" s="12" t="str">
        <f t="shared" ref="Q338:S338" si="342">IF(H338&gt;M$5, $G338, "")</f>
        <v/>
      </c>
      <c r="R338" s="13" t="str">
        <f t="shared" si="342"/>
        <v/>
      </c>
      <c r="S338" s="14" t="str">
        <f t="shared" si="342"/>
        <v/>
      </c>
    </row>
    <row r="339">
      <c r="A339" s="1" t="s">
        <v>352</v>
      </c>
      <c r="G339" s="9" t="str">
        <f>IFERROR(__xludf.DUMMYFUNCTION("SPLIT(A339,"","")"),"./src/main/java/org/jfree/chart/renderer/xy/StandardXYBarPainter.java")</f>
        <v>./src/main/java/org/jfree/chart/renderer/xy/StandardXYBarPainter.java</v>
      </c>
      <c r="H339" s="9">
        <f>IFERROR(__xludf.DUMMYFUNCTION("""COMPUTED_VALUE"""),7.0)</f>
        <v>7</v>
      </c>
      <c r="I339" s="9">
        <f>IFERROR(__xludf.DUMMYFUNCTION("""COMPUTED_VALUE"""),106.0)</f>
        <v>106</v>
      </c>
      <c r="J339" s="9">
        <f>IFERROR(__xludf.DUMMYFUNCTION("""COMPUTED_VALUE"""),47.52)</f>
        <v>47.52</v>
      </c>
      <c r="Q339" s="12" t="str">
        <f t="shared" ref="Q339:S339" si="343">IF(H339&gt;M$5, $G339, "")</f>
        <v/>
      </c>
      <c r="R339" s="13" t="str">
        <f t="shared" si="343"/>
        <v/>
      </c>
      <c r="S339" s="14" t="str">
        <f t="shared" si="343"/>
        <v/>
      </c>
    </row>
    <row r="340">
      <c r="A340" s="1" t="s">
        <v>353</v>
      </c>
      <c r="G340" s="9" t="str">
        <f>IFERROR(__xludf.DUMMYFUNCTION("SPLIT(A340,"","")"),"./src/main/java/org/jfree/chart/renderer/xy/StandardXYItemRenderer.java")</f>
        <v>./src/main/java/org/jfree/chart/renderer/xy/StandardXYItemRenderer.java</v>
      </c>
      <c r="H340" s="9">
        <f>IFERROR(__xludf.DUMMYFUNCTION("""COMPUTED_VALUE"""),20.0)</f>
        <v>20</v>
      </c>
      <c r="I340" s="9">
        <f>IFERROR(__xludf.DUMMYFUNCTION("""COMPUTED_VALUE"""),466.0)</f>
        <v>466</v>
      </c>
      <c r="J340" s="9">
        <f>IFERROR(__xludf.DUMMYFUNCTION("""COMPUTED_VALUE"""),48.34)</f>
        <v>48.34</v>
      </c>
      <c r="Q340" s="12" t="str">
        <f t="shared" ref="Q340:S340" si="344">IF(H340&gt;M$5, $G340, "")</f>
        <v>./src/main/java/org/jfree/chart/renderer/xy/StandardXYItemRenderer.java</v>
      </c>
      <c r="R340" s="13" t="str">
        <f t="shared" si="344"/>
        <v>./src/main/java/org/jfree/chart/renderer/xy/StandardXYItemRenderer.java</v>
      </c>
      <c r="S340" s="14" t="str">
        <f t="shared" si="344"/>
        <v/>
      </c>
    </row>
    <row r="341">
      <c r="A341" s="1" t="s">
        <v>354</v>
      </c>
      <c r="G341" s="9" t="str">
        <f>IFERROR(__xludf.DUMMYFUNCTION("SPLIT(A341,"","")"),"./src/main/java/org/jfree/chart/renderer/xy/VectorRenderer.java")</f>
        <v>./src/main/java/org/jfree/chart/renderer/xy/VectorRenderer.java</v>
      </c>
      <c r="H341" s="9">
        <f>IFERROR(__xludf.DUMMYFUNCTION("""COMPUTED_VALUE"""),8.0)</f>
        <v>8</v>
      </c>
      <c r="I341" s="9">
        <f>IFERROR(__xludf.DUMMYFUNCTION("""COMPUTED_VALUE"""),207.0)</f>
        <v>207</v>
      </c>
      <c r="J341" s="9">
        <f>IFERROR(__xludf.DUMMYFUNCTION("""COMPUTED_VALUE"""),34.08)</f>
        <v>34.08</v>
      </c>
      <c r="Q341" s="12" t="str">
        <f t="shared" ref="Q341:S341" si="345">IF(H341&gt;M$5, $G341, "")</f>
        <v/>
      </c>
      <c r="R341" s="13" t="str">
        <f t="shared" si="345"/>
        <v/>
      </c>
      <c r="S341" s="14" t="str">
        <f t="shared" si="345"/>
        <v/>
      </c>
    </row>
    <row r="342">
      <c r="A342" s="1" t="s">
        <v>355</v>
      </c>
      <c r="G342" s="9" t="str">
        <f>IFERROR(__xludf.DUMMYFUNCTION("SPLIT(A342,"","")"),"./src/main/java/org/jfree/chart/renderer/xy/WindItemRenderer.java")</f>
        <v>./src/main/java/org/jfree/chart/renderer/xy/WindItemRenderer.java</v>
      </c>
      <c r="H342" s="9">
        <f>IFERROR(__xludf.DUMMYFUNCTION("""COMPUTED_VALUE"""),8.0)</f>
        <v>8</v>
      </c>
      <c r="I342" s="9">
        <f>IFERROR(__xludf.DUMMYFUNCTION("""COMPUTED_VALUE"""),84.0)</f>
        <v>84</v>
      </c>
      <c r="J342" s="9">
        <f>IFERROR(__xludf.DUMMYFUNCTION("""COMPUTED_VALUE"""),46.5)</f>
        <v>46.5</v>
      </c>
      <c r="Q342" s="12" t="str">
        <f t="shared" ref="Q342:S342" si="346">IF(H342&gt;M$5, $G342, "")</f>
        <v/>
      </c>
      <c r="R342" s="13" t="str">
        <f t="shared" si="346"/>
        <v/>
      </c>
      <c r="S342" s="14" t="str">
        <f t="shared" si="346"/>
        <v/>
      </c>
    </row>
    <row r="343">
      <c r="A343" s="1" t="s">
        <v>356</v>
      </c>
      <c r="G343" s="9" t="str">
        <f>IFERROR(__xludf.DUMMYFUNCTION("SPLIT(A343,"","")"),"./src/main/java/org/jfree/chart/renderer/xy/XYAreaRenderer.java")</f>
        <v>./src/main/java/org/jfree/chart/renderer/xy/XYAreaRenderer.java</v>
      </c>
      <c r="H343" s="9">
        <f>IFERROR(__xludf.DUMMYFUNCTION("""COMPUTED_VALUE"""),17.0)</f>
        <v>17</v>
      </c>
      <c r="I343" s="9">
        <f>IFERROR(__xludf.DUMMYFUNCTION("""COMPUTED_VALUE"""),387.0)</f>
        <v>387</v>
      </c>
      <c r="J343" s="9">
        <f>IFERROR(__xludf.DUMMYFUNCTION("""COMPUTED_VALUE"""),40.37)</f>
        <v>40.37</v>
      </c>
      <c r="Q343" s="12" t="str">
        <f t="shared" ref="Q343:S343" si="347">IF(H343&gt;M$5, $G343, "")</f>
        <v/>
      </c>
      <c r="R343" s="13" t="str">
        <f t="shared" si="347"/>
        <v/>
      </c>
      <c r="S343" s="14" t="str">
        <f t="shared" si="347"/>
        <v/>
      </c>
    </row>
    <row r="344">
      <c r="A344" s="1" t="s">
        <v>357</v>
      </c>
      <c r="G344" s="9" t="str">
        <f>IFERROR(__xludf.DUMMYFUNCTION("SPLIT(A344,"","")"),"./src/main/java/org/jfree/chart/renderer/xy/XYAreaRenderer2.java")</f>
        <v>./src/main/java/org/jfree/chart/renderer/xy/XYAreaRenderer2.java</v>
      </c>
      <c r="H344" s="9">
        <f>IFERROR(__xludf.DUMMYFUNCTION("""COMPUTED_VALUE"""),13.0)</f>
        <v>13</v>
      </c>
      <c r="I344" s="9">
        <f>IFERROR(__xludf.DUMMYFUNCTION("""COMPUTED_VALUE"""),234.0)</f>
        <v>234</v>
      </c>
      <c r="J344" s="9">
        <f>IFERROR(__xludf.DUMMYFUNCTION("""COMPUTED_VALUE"""),40.31)</f>
        <v>40.31</v>
      </c>
      <c r="Q344" s="12" t="str">
        <f t="shared" ref="Q344:S344" si="348">IF(H344&gt;M$5, $G344, "")</f>
        <v/>
      </c>
      <c r="R344" s="13" t="str">
        <f t="shared" si="348"/>
        <v/>
      </c>
      <c r="S344" s="14" t="str">
        <f t="shared" si="348"/>
        <v/>
      </c>
    </row>
    <row r="345">
      <c r="A345" s="1" t="s">
        <v>358</v>
      </c>
      <c r="G345" s="9" t="str">
        <f>IFERROR(__xludf.DUMMYFUNCTION("SPLIT(A345,"","")"),"./src/main/java/org/jfree/chart/renderer/xy/XYBarPainter.java")</f>
        <v>./src/main/java/org/jfree/chart/renderer/xy/XYBarPainter.java</v>
      </c>
      <c r="H345" s="9">
        <f>IFERROR(__xludf.DUMMYFUNCTION("""COMPUTED_VALUE"""),7.0)</f>
        <v>7</v>
      </c>
      <c r="I345" s="9">
        <f>IFERROR(__xludf.DUMMYFUNCTION("""COMPUTED_VALUE"""),11.0)</f>
        <v>11</v>
      </c>
      <c r="J345" s="9">
        <f>IFERROR(__xludf.DUMMYFUNCTION("""COMPUTED_VALUE"""),86.25)</f>
        <v>86.25</v>
      </c>
      <c r="Q345" s="12" t="str">
        <f t="shared" ref="Q345:S345" si="349">IF(H345&gt;M$5, $G345, "")</f>
        <v/>
      </c>
      <c r="R345" s="13" t="str">
        <f t="shared" si="349"/>
        <v/>
      </c>
      <c r="S345" s="14" t="str">
        <f t="shared" si="349"/>
        <v/>
      </c>
    </row>
    <row r="346">
      <c r="A346" s="1" t="s">
        <v>359</v>
      </c>
      <c r="G346" s="9" t="str">
        <f>IFERROR(__xludf.DUMMYFUNCTION("SPLIT(A346,"","")"),"./src/main/java/org/jfree/chart/renderer/xy/XYBarRenderer.java")</f>
        <v>./src/main/java/org/jfree/chart/renderer/xy/XYBarRenderer.java</v>
      </c>
      <c r="H346" s="9">
        <f>IFERROR(__xludf.DUMMYFUNCTION("""COMPUTED_VALUE"""),18.0)</f>
        <v>18</v>
      </c>
      <c r="I346" s="9">
        <f>IFERROR(__xludf.DUMMYFUNCTION("""COMPUTED_VALUE"""),623.0)</f>
        <v>623</v>
      </c>
      <c r="J346" s="9">
        <f>IFERROR(__xludf.DUMMYFUNCTION("""COMPUTED_VALUE"""),42.53)</f>
        <v>42.53</v>
      </c>
      <c r="Q346" s="12" t="str">
        <f t="shared" ref="Q346:S346" si="350">IF(H346&gt;M$5, $G346, "")</f>
        <v/>
      </c>
      <c r="R346" s="13" t="str">
        <f t="shared" si="350"/>
        <v>./src/main/java/org/jfree/chart/renderer/xy/XYBarRenderer.java</v>
      </c>
      <c r="S346" s="14" t="str">
        <f t="shared" si="350"/>
        <v/>
      </c>
    </row>
    <row r="347">
      <c r="A347" s="1" t="s">
        <v>360</v>
      </c>
      <c r="G347" s="9" t="str">
        <f>IFERROR(__xludf.DUMMYFUNCTION("SPLIT(A347,"","")"),"./src/main/java/org/jfree/chart/renderer/xy/XYBlockRenderer.java")</f>
        <v>./src/main/java/org/jfree/chart/renderer/xy/XYBlockRenderer.java</v>
      </c>
      <c r="H347" s="9">
        <f>IFERROR(__xludf.DUMMYFUNCTION("""COMPUTED_VALUE"""),17.0)</f>
        <v>17</v>
      </c>
      <c r="I347" s="9">
        <f>IFERROR(__xludf.DUMMYFUNCTION("""COMPUTED_VALUE"""),258.0)</f>
        <v>258</v>
      </c>
      <c r="J347" s="9">
        <f>IFERROR(__xludf.DUMMYFUNCTION("""COMPUTED_VALUE"""),46.69)</f>
        <v>46.69</v>
      </c>
      <c r="Q347" s="12" t="str">
        <f t="shared" ref="Q347:S347" si="351">IF(H347&gt;M$5, $G347, "")</f>
        <v/>
      </c>
      <c r="R347" s="13" t="str">
        <f t="shared" si="351"/>
        <v/>
      </c>
      <c r="S347" s="14" t="str">
        <f t="shared" si="351"/>
        <v/>
      </c>
    </row>
    <row r="348">
      <c r="A348" s="1" t="s">
        <v>361</v>
      </c>
      <c r="G348" s="9" t="str">
        <f>IFERROR(__xludf.DUMMYFUNCTION("SPLIT(A348,"","")"),"./src/main/java/org/jfree/chart/renderer/xy/XYBoxAndWhiskerRenderer.java")</f>
        <v>./src/main/java/org/jfree/chart/renderer/xy/XYBoxAndWhiskerRenderer.java</v>
      </c>
      <c r="H348" s="9">
        <f>IFERROR(__xludf.DUMMYFUNCTION("""COMPUTED_VALUE"""),12.0)</f>
        <v>12</v>
      </c>
      <c r="I348" s="9">
        <f>IFERROR(__xludf.DUMMYFUNCTION("""COMPUTED_VALUE"""),434.0)</f>
        <v>434</v>
      </c>
      <c r="J348" s="9">
        <f>IFERROR(__xludf.DUMMYFUNCTION("""COMPUTED_VALUE"""),40.79)</f>
        <v>40.79</v>
      </c>
      <c r="Q348" s="12" t="str">
        <f t="shared" ref="Q348:S348" si="352">IF(H348&gt;M$5, $G348, "")</f>
        <v/>
      </c>
      <c r="R348" s="13" t="str">
        <f t="shared" si="352"/>
        <v>./src/main/java/org/jfree/chart/renderer/xy/XYBoxAndWhiskerRenderer.java</v>
      </c>
      <c r="S348" s="14" t="str">
        <f t="shared" si="352"/>
        <v/>
      </c>
    </row>
    <row r="349">
      <c r="A349" s="1" t="s">
        <v>362</v>
      </c>
      <c r="G349" s="9" t="str">
        <f>IFERROR(__xludf.DUMMYFUNCTION("SPLIT(A349,"","")"),"./src/main/java/org/jfree/chart/renderer/xy/XYBubbleRenderer.java")</f>
        <v>./src/main/java/org/jfree/chart/renderer/xy/XYBubbleRenderer.java</v>
      </c>
      <c r="H349" s="9">
        <f>IFERROR(__xludf.DUMMYFUNCTION("""COMPUTED_VALUE"""),10.0)</f>
        <v>10</v>
      </c>
      <c r="I349" s="9">
        <f>IFERROR(__xludf.DUMMYFUNCTION("""COMPUTED_VALUE"""),192.0)</f>
        <v>192</v>
      </c>
      <c r="J349" s="9">
        <f>IFERROR(__xludf.DUMMYFUNCTION("""COMPUTED_VALUE"""),38.26)</f>
        <v>38.26</v>
      </c>
      <c r="Q349" s="12" t="str">
        <f t="shared" ref="Q349:S349" si="353">IF(H349&gt;M$5, $G349, "")</f>
        <v/>
      </c>
      <c r="R349" s="13" t="str">
        <f t="shared" si="353"/>
        <v/>
      </c>
      <c r="S349" s="14" t="str">
        <f t="shared" si="353"/>
        <v/>
      </c>
    </row>
    <row r="350">
      <c r="A350" s="1" t="s">
        <v>363</v>
      </c>
      <c r="G350" s="9" t="str">
        <f>IFERROR(__xludf.DUMMYFUNCTION("SPLIT(A350,"","")"),"./src/main/java/org/jfree/chart/renderer/xy/XYDifferenceRenderer.java")</f>
        <v>./src/main/java/org/jfree/chart/renderer/xy/XYDifferenceRenderer.java</v>
      </c>
      <c r="H350" s="9">
        <f>IFERROR(__xludf.DUMMYFUNCTION("""COMPUTED_VALUE"""),15.0)</f>
        <v>15</v>
      </c>
      <c r="I350" s="9">
        <f>IFERROR(__xludf.DUMMYFUNCTION("""COMPUTED_VALUE"""),708.0)</f>
        <v>708</v>
      </c>
      <c r="J350" s="9">
        <f>IFERROR(__xludf.DUMMYFUNCTION("""COMPUTED_VALUE"""),33.02)</f>
        <v>33.02</v>
      </c>
      <c r="Q350" s="12" t="str">
        <f t="shared" ref="Q350:S350" si="354">IF(H350&gt;M$5, $G350, "")</f>
        <v/>
      </c>
      <c r="R350" s="13" t="str">
        <f t="shared" si="354"/>
        <v>./src/main/java/org/jfree/chart/renderer/xy/XYDifferenceRenderer.java</v>
      </c>
      <c r="S350" s="14" t="str">
        <f t="shared" si="354"/>
        <v/>
      </c>
    </row>
    <row r="351">
      <c r="A351" s="1" t="s">
        <v>364</v>
      </c>
      <c r="G351" s="9" t="str">
        <f>IFERROR(__xludf.DUMMYFUNCTION("SPLIT(A351,"","")"),"./src/main/java/org/jfree/chart/renderer/xy/XYDotRenderer.java")</f>
        <v>./src/main/java/org/jfree/chart/renderer/xy/XYDotRenderer.java</v>
      </c>
      <c r="H351" s="9">
        <f>IFERROR(__xludf.DUMMYFUNCTION("""COMPUTED_VALUE"""),12.0)</f>
        <v>12</v>
      </c>
      <c r="I351" s="9">
        <f>IFERROR(__xludf.DUMMYFUNCTION("""COMPUTED_VALUE"""),169.0)</f>
        <v>169</v>
      </c>
      <c r="J351" s="9">
        <f>IFERROR(__xludf.DUMMYFUNCTION("""COMPUTED_VALUE"""),49.7)</f>
        <v>49.7</v>
      </c>
      <c r="Q351" s="12" t="str">
        <f t="shared" ref="Q351:S351" si="355">IF(H351&gt;M$5, $G351, "")</f>
        <v/>
      </c>
      <c r="R351" s="13" t="str">
        <f t="shared" si="355"/>
        <v/>
      </c>
      <c r="S351" s="14" t="str">
        <f t="shared" si="355"/>
        <v/>
      </c>
    </row>
    <row r="352">
      <c r="A352" s="1" t="s">
        <v>365</v>
      </c>
      <c r="G352" s="9" t="str">
        <f>IFERROR(__xludf.DUMMYFUNCTION("SPLIT(A352,"","")"),"./src/main/java/org/jfree/chart/renderer/xy/XYErrorRenderer.java")</f>
        <v>./src/main/java/org/jfree/chart/renderer/xy/XYErrorRenderer.java</v>
      </c>
      <c r="H352" s="9">
        <f>IFERROR(__xludf.DUMMYFUNCTION("""COMPUTED_VALUE"""),10.0)</f>
        <v>10</v>
      </c>
      <c r="I352" s="9">
        <f>IFERROR(__xludf.DUMMYFUNCTION("""COMPUTED_VALUE"""),213.0)</f>
        <v>213</v>
      </c>
      <c r="J352" s="9">
        <f>IFERROR(__xludf.DUMMYFUNCTION("""COMPUTED_VALUE"""),48.67)</f>
        <v>48.67</v>
      </c>
      <c r="Q352" s="12" t="str">
        <f t="shared" ref="Q352:S352" si="356">IF(H352&gt;M$5, $G352, "")</f>
        <v/>
      </c>
      <c r="R352" s="13" t="str">
        <f t="shared" si="356"/>
        <v/>
      </c>
      <c r="S352" s="14" t="str">
        <f t="shared" si="356"/>
        <v/>
      </c>
    </row>
    <row r="353">
      <c r="A353" s="1" t="s">
        <v>366</v>
      </c>
      <c r="G353" s="9" t="str">
        <f>IFERROR(__xludf.DUMMYFUNCTION("SPLIT(A353,"","")"),"./src/main/java/org/jfree/chart/renderer/xy/XYItemRenderer.java")</f>
        <v>./src/main/java/org/jfree/chart/renderer/xy/XYItemRenderer.java</v>
      </c>
      <c r="H353" s="9">
        <f>IFERROR(__xludf.DUMMYFUNCTION("""COMPUTED_VALUE"""),19.0)</f>
        <v>19</v>
      </c>
      <c r="I353" s="9">
        <f>IFERROR(__xludf.DUMMYFUNCTION("""COMPUTED_VALUE"""),169.0)</f>
        <v>169</v>
      </c>
      <c r="J353" s="9">
        <f>IFERROR(__xludf.DUMMYFUNCTION("""COMPUTED_VALUE"""),87.26)</f>
        <v>87.26</v>
      </c>
      <c r="Q353" s="12" t="str">
        <f t="shared" ref="Q353:S353" si="357">IF(H353&gt;M$5, $G353, "")</f>
        <v>./src/main/java/org/jfree/chart/renderer/xy/XYItemRenderer.java</v>
      </c>
      <c r="R353" s="13" t="str">
        <f t="shared" si="357"/>
        <v/>
      </c>
      <c r="S353" s="14" t="str">
        <f t="shared" si="357"/>
        <v/>
      </c>
    </row>
    <row r="354">
      <c r="A354" s="1" t="s">
        <v>367</v>
      </c>
      <c r="G354" s="9" t="str">
        <f>IFERROR(__xludf.DUMMYFUNCTION("SPLIT(A354,"","")"),"./src/main/java/org/jfree/chart/renderer/xy/XYItemRendererState.java")</f>
        <v>./src/main/java/org/jfree/chart/renderer/xy/XYItemRendererState.java</v>
      </c>
      <c r="H354" s="9">
        <f>IFERROR(__xludf.DUMMYFUNCTION("""COMPUTED_VALUE"""),2.0)</f>
        <v>2</v>
      </c>
      <c r="I354" s="9">
        <f>IFERROR(__xludf.DUMMYFUNCTION("""COMPUTED_VALUE"""),37.0)</f>
        <v>37</v>
      </c>
      <c r="J354" s="9">
        <f>IFERROR(__xludf.DUMMYFUNCTION("""COMPUTED_VALUE"""),79.67)</f>
        <v>79.67</v>
      </c>
      <c r="Q354" s="12" t="str">
        <f t="shared" ref="Q354:S354" si="358">IF(H354&gt;M$5, $G354, "")</f>
        <v/>
      </c>
      <c r="R354" s="13" t="str">
        <f t="shared" si="358"/>
        <v/>
      </c>
      <c r="S354" s="14" t="str">
        <f t="shared" si="358"/>
        <v/>
      </c>
    </row>
    <row r="355">
      <c r="A355" s="1" t="s">
        <v>368</v>
      </c>
      <c r="G355" s="9" t="str">
        <f>IFERROR(__xludf.DUMMYFUNCTION("SPLIT(A355,"","")"),"./src/main/java/org/jfree/chart/renderer/xy/XYLineAndShapeRenderer.java")</f>
        <v>./src/main/java/org/jfree/chart/renderer/xy/XYLineAndShapeRenderer.java</v>
      </c>
      <c r="H355" s="9">
        <f>IFERROR(__xludf.DUMMYFUNCTION("""COMPUTED_VALUE"""),21.0)</f>
        <v>21</v>
      </c>
      <c r="I355" s="9">
        <f>IFERROR(__xludf.DUMMYFUNCTION("""COMPUTED_VALUE"""),521.0)</f>
        <v>521</v>
      </c>
      <c r="J355" s="9">
        <f>IFERROR(__xludf.DUMMYFUNCTION("""COMPUTED_VALUE"""),51.67)</f>
        <v>51.67</v>
      </c>
      <c r="Q355" s="12" t="str">
        <f t="shared" ref="Q355:S355" si="359">IF(H355&gt;M$5, $G355, "")</f>
        <v>./src/main/java/org/jfree/chart/renderer/xy/XYLineAndShapeRenderer.java</v>
      </c>
      <c r="R355" s="13" t="str">
        <f t="shared" si="359"/>
        <v>./src/main/java/org/jfree/chart/renderer/xy/XYLineAndShapeRenderer.java</v>
      </c>
      <c r="S355" s="14" t="str">
        <f t="shared" si="359"/>
        <v/>
      </c>
    </row>
    <row r="356">
      <c r="A356" s="1" t="s">
        <v>369</v>
      </c>
      <c r="G356" s="9" t="str">
        <f>IFERROR(__xludf.DUMMYFUNCTION("SPLIT(A356,"","")"),"./src/main/java/org/jfree/chart/renderer/xy/XYShapeRenderer.java")</f>
        <v>./src/main/java/org/jfree/chart/renderer/xy/XYShapeRenderer.java</v>
      </c>
      <c r="H356" s="9">
        <f>IFERROR(__xludf.DUMMYFUNCTION("""COMPUTED_VALUE"""),14.0)</f>
        <v>14</v>
      </c>
      <c r="I356" s="9">
        <f>IFERROR(__xludf.DUMMYFUNCTION("""COMPUTED_VALUE"""),272.0)</f>
        <v>272</v>
      </c>
      <c r="J356" s="9">
        <f>IFERROR(__xludf.DUMMYFUNCTION("""COMPUTED_VALUE"""),51.6)</f>
        <v>51.6</v>
      </c>
      <c r="Q356" s="12" t="str">
        <f t="shared" ref="Q356:S356" si="360">IF(H356&gt;M$5, $G356, "")</f>
        <v/>
      </c>
      <c r="R356" s="13" t="str">
        <f t="shared" si="360"/>
        <v/>
      </c>
      <c r="S356" s="14" t="str">
        <f t="shared" si="360"/>
        <v/>
      </c>
    </row>
    <row r="357">
      <c r="A357" s="1" t="s">
        <v>370</v>
      </c>
      <c r="G357" s="9" t="str">
        <f>IFERROR(__xludf.DUMMYFUNCTION("SPLIT(A357,"","")"),"./src/main/java/org/jfree/chart/renderer/xy/XYSplineRenderer.java")</f>
        <v>./src/main/java/org/jfree/chart/renderer/xy/XYSplineRenderer.java</v>
      </c>
      <c r="H357" s="9">
        <f>IFERROR(__xludf.DUMMYFUNCTION("""COMPUTED_VALUE"""),13.0)</f>
        <v>13</v>
      </c>
      <c r="I357" s="9">
        <f>IFERROR(__xludf.DUMMYFUNCTION("""COMPUTED_VALUE"""),258.0)</f>
        <v>258</v>
      </c>
      <c r="J357" s="9">
        <f>IFERROR(__xludf.DUMMYFUNCTION("""COMPUTED_VALUE"""),44.28)</f>
        <v>44.28</v>
      </c>
      <c r="Q357" s="12" t="str">
        <f t="shared" ref="Q357:S357" si="361">IF(H357&gt;M$5, $G357, "")</f>
        <v/>
      </c>
      <c r="R357" s="13" t="str">
        <f t="shared" si="361"/>
        <v/>
      </c>
      <c r="S357" s="14" t="str">
        <f t="shared" si="361"/>
        <v/>
      </c>
    </row>
    <row r="358">
      <c r="A358" s="1" t="s">
        <v>371</v>
      </c>
      <c r="G358" s="9" t="str">
        <f>IFERROR(__xludf.DUMMYFUNCTION("SPLIT(A358,"","")"),"./src/main/java/org/jfree/chart/renderer/xy/XYStepAreaRenderer.java")</f>
        <v>./src/main/java/org/jfree/chart/renderer/xy/XYStepAreaRenderer.java</v>
      </c>
      <c r="H358" s="9">
        <f>IFERROR(__xludf.DUMMYFUNCTION("""COMPUTED_VALUE"""),11.0)</f>
        <v>11</v>
      </c>
      <c r="I358" s="9">
        <f>IFERROR(__xludf.DUMMYFUNCTION("""COMPUTED_VALUE"""),293.0)</f>
        <v>293</v>
      </c>
      <c r="J358" s="9">
        <f>IFERROR(__xludf.DUMMYFUNCTION("""COMPUTED_VALUE"""),48.14)</f>
        <v>48.14</v>
      </c>
      <c r="Q358" s="12" t="str">
        <f t="shared" ref="Q358:S358" si="362">IF(H358&gt;M$5, $G358, "")</f>
        <v/>
      </c>
      <c r="R358" s="13" t="str">
        <f t="shared" si="362"/>
        <v/>
      </c>
      <c r="S358" s="14" t="str">
        <f t="shared" si="362"/>
        <v/>
      </c>
    </row>
    <row r="359">
      <c r="A359" s="1" t="s">
        <v>372</v>
      </c>
      <c r="G359" s="9" t="str">
        <f>IFERROR(__xludf.DUMMYFUNCTION("SPLIT(A359,"","")"),"./src/main/java/org/jfree/chart/renderer/xy/XYStepRenderer.java")</f>
        <v>./src/main/java/org/jfree/chart/renderer/xy/XYStepRenderer.java</v>
      </c>
      <c r="H359" s="9">
        <f>IFERROR(__xludf.DUMMYFUNCTION("""COMPUTED_VALUE"""),15.0)</f>
        <v>15</v>
      </c>
      <c r="I359" s="9">
        <f>IFERROR(__xludf.DUMMYFUNCTION("""COMPUTED_VALUE"""),167.0)</f>
        <v>167</v>
      </c>
      <c r="J359" s="9">
        <f>IFERROR(__xludf.DUMMYFUNCTION("""COMPUTED_VALUE"""),47.15)</f>
        <v>47.15</v>
      </c>
      <c r="Q359" s="12" t="str">
        <f t="shared" ref="Q359:S359" si="363">IF(H359&gt;M$5, $G359, "")</f>
        <v/>
      </c>
      <c r="R359" s="13" t="str">
        <f t="shared" si="363"/>
        <v/>
      </c>
      <c r="S359" s="14" t="str">
        <f t="shared" si="363"/>
        <v/>
      </c>
    </row>
    <row r="360">
      <c r="A360" s="1" t="s">
        <v>373</v>
      </c>
      <c r="G360" s="9" t="str">
        <f>IFERROR(__xludf.DUMMYFUNCTION("SPLIT(A360,"","")"),"./src/main/java/org/jfree/chart/renderer/xy/YIntervalRenderer.java")</f>
        <v>./src/main/java/org/jfree/chart/renderer/xy/YIntervalRenderer.java</v>
      </c>
      <c r="H360" s="9">
        <f>IFERROR(__xludf.DUMMYFUNCTION("""COMPUTED_VALUE"""),10.0)</f>
        <v>10</v>
      </c>
      <c r="I360" s="9">
        <f>IFERROR(__xludf.DUMMYFUNCTION("""COMPUTED_VALUE"""),142.0)</f>
        <v>142</v>
      </c>
      <c r="J360" s="9">
        <f>IFERROR(__xludf.DUMMYFUNCTION("""COMPUTED_VALUE"""),48.74)</f>
        <v>48.74</v>
      </c>
      <c r="Q360" s="12" t="str">
        <f t="shared" ref="Q360:S360" si="364">IF(H360&gt;M$5, $G360, "")</f>
        <v/>
      </c>
      <c r="R360" s="13" t="str">
        <f t="shared" si="364"/>
        <v/>
      </c>
      <c r="S360" s="14" t="str">
        <f t="shared" si="364"/>
        <v/>
      </c>
    </row>
    <row r="361">
      <c r="A361" s="1" t="s">
        <v>374</v>
      </c>
      <c r="G361" s="9" t="str">
        <f>IFERROR(__xludf.DUMMYFUNCTION("SPLIT(A361,"","")"),"./src/main/java/org/jfree/chart/StandardChartTheme.java")</f>
        <v>./src/main/java/org/jfree/chart/StandardChartTheme.java</v>
      </c>
      <c r="H361" s="9">
        <f>IFERROR(__xludf.DUMMYFUNCTION("""COMPUTED_VALUE"""),20.0)</f>
        <v>20</v>
      </c>
      <c r="I361" s="9">
        <f>IFERROR(__xludf.DUMMYFUNCTION("""COMPUTED_VALUE"""),947.0)</f>
        <v>947</v>
      </c>
      <c r="J361" s="9">
        <f>IFERROR(__xludf.DUMMYFUNCTION("""COMPUTED_VALUE"""),42.4)</f>
        <v>42.4</v>
      </c>
      <c r="Q361" s="12" t="str">
        <f t="shared" ref="Q361:S361" si="365">IF(H361&gt;M$5, $G361, "")</f>
        <v>./src/main/java/org/jfree/chart/StandardChartTheme.java</v>
      </c>
      <c r="R361" s="13" t="str">
        <f t="shared" si="365"/>
        <v>./src/main/java/org/jfree/chart/StandardChartTheme.java</v>
      </c>
      <c r="S361" s="14" t="str">
        <f t="shared" si="365"/>
        <v/>
      </c>
    </row>
    <row r="362">
      <c r="A362" s="1" t="s">
        <v>375</v>
      </c>
      <c r="G362" s="9" t="str">
        <f>IFERROR(__xludf.DUMMYFUNCTION("SPLIT(A362,"","")"),"./src/main/java/org/jfree/chart/swing/AbstractOverlay.java")</f>
        <v>./src/main/java/org/jfree/chart/swing/AbstractOverlay.java</v>
      </c>
      <c r="H362" s="9">
        <f>IFERROR(__xludf.DUMMYFUNCTION("""COMPUTED_VALUE"""),3.0)</f>
        <v>3</v>
      </c>
      <c r="I362" s="9">
        <f>IFERROR(__xludf.DUMMYFUNCTION("""COMPUTED_VALUE"""),32.0)</f>
        <v>32</v>
      </c>
      <c r="J362" s="9">
        <f>IFERROR(__xludf.DUMMYFUNCTION("""COMPUTED_VALUE"""),68.32)</f>
        <v>68.32</v>
      </c>
      <c r="Q362" s="12" t="str">
        <f t="shared" ref="Q362:S362" si="366">IF(H362&gt;M$5, $G362, "")</f>
        <v/>
      </c>
      <c r="R362" s="13" t="str">
        <f t="shared" si="366"/>
        <v/>
      </c>
      <c r="S362" s="14" t="str">
        <f t="shared" si="366"/>
        <v/>
      </c>
    </row>
    <row r="363">
      <c r="A363" s="1" t="s">
        <v>376</v>
      </c>
      <c r="G363" s="9" t="str">
        <f>IFERROR(__xludf.DUMMYFUNCTION("SPLIT(A363,"","")"),"./src/main/java/org/jfree/chart/swing/ApplicationFrame.java")</f>
        <v>./src/main/java/org/jfree/chart/swing/ApplicationFrame.java</v>
      </c>
      <c r="H363" s="9">
        <f>IFERROR(__xludf.DUMMYFUNCTION("""COMPUTED_VALUE"""),2.0)</f>
        <v>2</v>
      </c>
      <c r="I363" s="9">
        <f>IFERROR(__xludf.DUMMYFUNCTION("""COMPUTED_VALUE"""),35.0)</f>
        <v>35</v>
      </c>
      <c r="J363" s="9">
        <f>IFERROR(__xludf.DUMMYFUNCTION("""COMPUTED_VALUE"""),69.3)</f>
        <v>69.3</v>
      </c>
      <c r="Q363" s="12" t="str">
        <f t="shared" ref="Q363:S363" si="367">IF(H363&gt;M$5, $G363, "")</f>
        <v/>
      </c>
      <c r="R363" s="13" t="str">
        <f t="shared" si="367"/>
        <v/>
      </c>
      <c r="S363" s="14" t="str">
        <f t="shared" si="367"/>
        <v/>
      </c>
    </row>
    <row r="364">
      <c r="A364" s="1" t="s">
        <v>377</v>
      </c>
      <c r="G364" s="9" t="str">
        <f>IFERROR(__xludf.DUMMYFUNCTION("SPLIT(A364,"","")"),"./src/main/java/org/jfree/chart/swing/ChartFrame.java")</f>
        <v>./src/main/java/org/jfree/chart/swing/ChartFrame.java</v>
      </c>
      <c r="H364" s="9">
        <f>IFERROR(__xludf.DUMMYFUNCTION("""COMPUTED_VALUE"""),2.0)</f>
        <v>2</v>
      </c>
      <c r="I364" s="9">
        <f>IFERROR(__xludf.DUMMYFUNCTION("""COMPUTED_VALUE"""),25.0)</f>
        <v>25</v>
      </c>
      <c r="J364" s="9">
        <f>IFERROR(__xludf.DUMMYFUNCTION("""COMPUTED_VALUE"""),69.88)</f>
        <v>69.88</v>
      </c>
      <c r="Q364" s="12" t="str">
        <f t="shared" ref="Q364:S364" si="368">IF(H364&gt;M$5, $G364, "")</f>
        <v/>
      </c>
      <c r="R364" s="13" t="str">
        <f t="shared" si="368"/>
        <v/>
      </c>
      <c r="S364" s="14" t="str">
        <f t="shared" si="368"/>
        <v/>
      </c>
    </row>
    <row r="365">
      <c r="A365" s="1" t="s">
        <v>378</v>
      </c>
      <c r="G365" s="9" t="str">
        <f>IFERROR(__xludf.DUMMYFUNCTION("SPLIT(A365,"","")"),"./src/main/java/org/jfree/chart/swing/ChartMouseEvent.java")</f>
        <v>./src/main/java/org/jfree/chart/swing/ChartMouseEvent.java</v>
      </c>
      <c r="H365" s="9">
        <f>IFERROR(__xludf.DUMMYFUNCTION("""COMPUTED_VALUE"""),2.0)</f>
        <v>2</v>
      </c>
      <c r="I365" s="9">
        <f>IFERROR(__xludf.DUMMYFUNCTION("""COMPUTED_VALUE"""),28.0)</f>
        <v>28</v>
      </c>
      <c r="J365" s="9">
        <f>IFERROR(__xludf.DUMMYFUNCTION("""COMPUTED_VALUE"""),70.83)</f>
        <v>70.83</v>
      </c>
      <c r="Q365" s="12" t="str">
        <f t="shared" ref="Q365:S365" si="369">IF(H365&gt;M$5, $G365, "")</f>
        <v/>
      </c>
      <c r="R365" s="13" t="str">
        <f t="shared" si="369"/>
        <v/>
      </c>
      <c r="S365" s="14" t="str">
        <f t="shared" si="369"/>
        <v/>
      </c>
    </row>
    <row r="366">
      <c r="A366" s="1" t="s">
        <v>379</v>
      </c>
      <c r="G366" s="9" t="str">
        <f>IFERROR(__xludf.DUMMYFUNCTION("SPLIT(A366,"","")"),"./src/main/java/org/jfree/chart/swing/ChartMouseListener.java")</f>
        <v>./src/main/java/org/jfree/chart/swing/ChartMouseListener.java</v>
      </c>
      <c r="H366" s="9">
        <f>IFERROR(__xludf.DUMMYFUNCTION("""COMPUTED_VALUE"""),2.0)</f>
        <v>2</v>
      </c>
      <c r="I366" s="9">
        <f>IFERROR(__xludf.DUMMYFUNCTION("""COMPUTED_VALUE"""),7.0)</f>
        <v>7</v>
      </c>
      <c r="J366" s="9">
        <f>IFERROR(__xludf.DUMMYFUNCTION("""COMPUTED_VALUE"""),88.14)</f>
        <v>88.14</v>
      </c>
      <c r="Q366" s="12" t="str">
        <f t="shared" ref="Q366:S366" si="370">IF(H366&gt;M$5, $G366, "")</f>
        <v/>
      </c>
      <c r="R366" s="13" t="str">
        <f t="shared" si="370"/>
        <v/>
      </c>
      <c r="S366" s="14" t="str">
        <f t="shared" si="370"/>
        <v/>
      </c>
    </row>
    <row r="367">
      <c r="A367" s="1" t="s">
        <v>380</v>
      </c>
      <c r="G367" s="9" t="str">
        <f>IFERROR(__xludf.DUMMYFUNCTION("SPLIT(A367,"","")"),"./src/main/java/org/jfree/chart/swing/ChartPanel.java")</f>
        <v>./src/main/java/org/jfree/chart/swing/ChartPanel.java</v>
      </c>
      <c r="H367" s="9">
        <f>IFERROR(__xludf.DUMMYFUNCTION("""COMPUTED_VALUE"""),9.0)</f>
        <v>9</v>
      </c>
      <c r="I367" s="9">
        <f>IFERROR(__xludf.DUMMYFUNCTION("""COMPUTED_VALUE"""),1575.0)</f>
        <v>1575</v>
      </c>
      <c r="J367" s="9">
        <f>IFERROR(__xludf.DUMMYFUNCTION("""COMPUTED_VALUE"""),42.73)</f>
        <v>42.73</v>
      </c>
      <c r="Q367" s="12" t="str">
        <f t="shared" ref="Q367:S367" si="371">IF(H367&gt;M$5, $G367, "")</f>
        <v/>
      </c>
      <c r="R367" s="13" t="str">
        <f t="shared" si="371"/>
        <v>./src/main/java/org/jfree/chart/swing/ChartPanel.java</v>
      </c>
      <c r="S367" s="14" t="str">
        <f t="shared" si="371"/>
        <v/>
      </c>
    </row>
    <row r="368">
      <c r="A368" s="1" t="s">
        <v>381</v>
      </c>
      <c r="G368" s="9" t="str">
        <f>IFERROR(__xludf.DUMMYFUNCTION("SPLIT(A368,"","")"),"./src/main/java/org/jfree/chart/swing/CrosshairOverlay.java")</f>
        <v>./src/main/java/org/jfree/chart/swing/CrosshairOverlay.java</v>
      </c>
      <c r="H368" s="9">
        <f>IFERROR(__xludf.DUMMYFUNCTION("""COMPUTED_VALUE"""),8.0)</f>
        <v>8</v>
      </c>
      <c r="I368" s="9">
        <f>IFERROR(__xludf.DUMMYFUNCTION("""COMPUTED_VALUE"""),398.0)</f>
        <v>398</v>
      </c>
      <c r="J368" s="9">
        <f>IFERROR(__xludf.DUMMYFUNCTION("""COMPUTED_VALUE"""),29.81)</f>
        <v>29.81</v>
      </c>
      <c r="Q368" s="12" t="str">
        <f t="shared" ref="Q368:S368" si="372">IF(H368&gt;M$5, $G368, "")</f>
        <v/>
      </c>
      <c r="R368" s="13" t="str">
        <f t="shared" si="372"/>
        <v/>
      </c>
      <c r="S368" s="14" t="str">
        <f t="shared" si="372"/>
        <v/>
      </c>
    </row>
    <row r="369">
      <c r="A369" s="1" t="s">
        <v>382</v>
      </c>
      <c r="G369" s="9" t="str">
        <f>IFERROR(__xludf.DUMMYFUNCTION("SPLIT(A369,"","")"),"./src/main/java/org/jfree/chart/swing/DefaultSelectionZoomStrategy.java")</f>
        <v>./src/main/java/org/jfree/chart/swing/DefaultSelectionZoomStrategy.java</v>
      </c>
      <c r="H369" s="9">
        <f>IFERROR(__xludf.DUMMYFUNCTION("""COMPUTED_VALUE"""),4.0)</f>
        <v>4</v>
      </c>
      <c r="I369" s="9">
        <f>IFERROR(__xludf.DUMMYFUNCTION("""COMPUTED_VALUE"""),156.0)</f>
        <v>156</v>
      </c>
      <c r="J369" s="9">
        <f>IFERROR(__xludf.DUMMYFUNCTION("""COMPUTED_VALUE"""),34.73)</f>
        <v>34.73</v>
      </c>
      <c r="Q369" s="12" t="str">
        <f t="shared" ref="Q369:S369" si="373">IF(H369&gt;M$5, $G369, "")</f>
        <v/>
      </c>
      <c r="R369" s="13" t="str">
        <f t="shared" si="373"/>
        <v/>
      </c>
      <c r="S369" s="14" t="str">
        <f t="shared" si="373"/>
        <v/>
      </c>
    </row>
    <row r="370">
      <c r="A370" s="1" t="s">
        <v>383</v>
      </c>
      <c r="G370" s="9" t="str">
        <f>IFERROR(__xludf.DUMMYFUNCTION("SPLIT(A370,"","")"),"./src/main/java/org/jfree/chart/swing/editor/ChartEditor.java")</f>
        <v>./src/main/java/org/jfree/chart/swing/editor/ChartEditor.java</v>
      </c>
      <c r="H370" s="9">
        <f>IFERROR(__xludf.DUMMYFUNCTION("""COMPUTED_VALUE"""),2.0)</f>
        <v>2</v>
      </c>
      <c r="I370" s="9">
        <f>IFERROR(__xludf.DUMMYFUNCTION("""COMPUTED_VALUE"""),6.0)</f>
        <v>6</v>
      </c>
      <c r="J370" s="9">
        <f>IFERROR(__xludf.DUMMYFUNCTION("""COMPUTED_VALUE"""),88.46)</f>
        <v>88.46</v>
      </c>
      <c r="Q370" s="12" t="str">
        <f t="shared" ref="Q370:S370" si="374">IF(H370&gt;M$5, $G370, "")</f>
        <v/>
      </c>
      <c r="R370" s="13" t="str">
        <f t="shared" si="374"/>
        <v/>
      </c>
      <c r="S370" s="14" t="str">
        <f t="shared" si="374"/>
        <v/>
      </c>
    </row>
    <row r="371">
      <c r="A371" s="1" t="s">
        <v>384</v>
      </c>
      <c r="G371" s="9" t="str">
        <f>IFERROR(__xludf.DUMMYFUNCTION("SPLIT(A371,"","")"),"./src/main/java/org/jfree/chart/swing/editor/ChartEditorFactory.java")</f>
        <v>./src/main/java/org/jfree/chart/swing/editor/ChartEditorFactory.java</v>
      </c>
      <c r="H371" s="9">
        <f>IFERROR(__xludf.DUMMYFUNCTION("""COMPUTED_VALUE"""),2.0)</f>
        <v>2</v>
      </c>
      <c r="I371" s="9">
        <f>IFERROR(__xludf.DUMMYFUNCTION("""COMPUTED_VALUE"""),5.0)</f>
        <v>5</v>
      </c>
      <c r="J371" s="9">
        <f>IFERROR(__xludf.DUMMYFUNCTION("""COMPUTED_VALUE"""),90.0)</f>
        <v>90</v>
      </c>
      <c r="Q371" s="12" t="str">
        <f t="shared" ref="Q371:S371" si="375">IF(H371&gt;M$5, $G371, "")</f>
        <v/>
      </c>
      <c r="R371" s="13" t="str">
        <f t="shared" si="375"/>
        <v/>
      </c>
      <c r="S371" s="14" t="str">
        <f t="shared" si="375"/>
        <v/>
      </c>
    </row>
    <row r="372">
      <c r="A372" s="1" t="s">
        <v>385</v>
      </c>
      <c r="G372" s="9" t="str">
        <f>IFERROR(__xludf.DUMMYFUNCTION("SPLIT(A372,"","")"),"./src/main/java/org/jfree/chart/swing/editor/ChartEditorManager.java")</f>
        <v>./src/main/java/org/jfree/chart/swing/editor/ChartEditorManager.java</v>
      </c>
      <c r="H372" s="9">
        <f>IFERROR(__xludf.DUMMYFUNCTION("""COMPUTED_VALUE"""),3.0)</f>
        <v>3</v>
      </c>
      <c r="I372" s="9">
        <f>IFERROR(__xludf.DUMMYFUNCTION("""COMPUTED_VALUE"""),18.0)</f>
        <v>18</v>
      </c>
      <c r="J372" s="9">
        <f>IFERROR(__xludf.DUMMYFUNCTION("""COMPUTED_VALUE"""),77.78)</f>
        <v>77.78</v>
      </c>
      <c r="Q372" s="12" t="str">
        <f t="shared" ref="Q372:S372" si="376">IF(H372&gt;M$5, $G372, "")</f>
        <v/>
      </c>
      <c r="R372" s="13" t="str">
        <f t="shared" si="376"/>
        <v/>
      </c>
      <c r="S372" s="14" t="str">
        <f t="shared" si="376"/>
        <v/>
      </c>
    </row>
    <row r="373">
      <c r="A373" s="1" t="s">
        <v>386</v>
      </c>
      <c r="G373" s="9" t="str">
        <f>IFERROR(__xludf.DUMMYFUNCTION("SPLIT(A373,"","")"),"./src/main/java/org/jfree/chart/swing/editor/DefaultAxisEditor.java")</f>
        <v>./src/main/java/org/jfree/chart/swing/editor/DefaultAxisEditor.java</v>
      </c>
      <c r="H373" s="9">
        <f>IFERROR(__xludf.DUMMYFUNCTION("""COMPUTED_VALUE"""),5.0)</f>
        <v>5</v>
      </c>
      <c r="I373" s="9">
        <f>IFERROR(__xludf.DUMMYFUNCTION("""COMPUTED_VALUE"""),221.0)</f>
        <v>221</v>
      </c>
      <c r="J373" s="9">
        <f>IFERROR(__xludf.DUMMYFUNCTION("""COMPUTED_VALUE"""),50.11)</f>
        <v>50.11</v>
      </c>
      <c r="Q373" s="12" t="str">
        <f t="shared" ref="Q373:S373" si="377">IF(H373&gt;M$5, $G373, "")</f>
        <v/>
      </c>
      <c r="R373" s="13" t="str">
        <f t="shared" si="377"/>
        <v/>
      </c>
      <c r="S373" s="14" t="str">
        <f t="shared" si="377"/>
        <v/>
      </c>
    </row>
    <row r="374">
      <c r="A374" s="1" t="s">
        <v>387</v>
      </c>
      <c r="G374" s="9" t="str">
        <f>IFERROR(__xludf.DUMMYFUNCTION("SPLIT(A374,"","")"),"./src/main/java/org/jfree/chart/swing/editor/DefaultChartEditor.java")</f>
        <v>./src/main/java/org/jfree/chart/swing/editor/DefaultChartEditor.java</v>
      </c>
      <c r="H374" s="9">
        <f>IFERROR(__xludf.DUMMYFUNCTION("""COMPUTED_VALUE"""),4.0)</f>
        <v>4</v>
      </c>
      <c r="I374" s="9">
        <f>IFERROR(__xludf.DUMMYFUNCTION("""COMPUTED_VALUE"""),143.0)</f>
        <v>143</v>
      </c>
      <c r="J374" s="9">
        <f>IFERROR(__xludf.DUMMYFUNCTION("""COMPUTED_VALUE"""),38.63)</f>
        <v>38.63</v>
      </c>
      <c r="Q374" s="12" t="str">
        <f t="shared" ref="Q374:S374" si="378">IF(H374&gt;M$5, $G374, "")</f>
        <v/>
      </c>
      <c r="R374" s="13" t="str">
        <f t="shared" si="378"/>
        <v/>
      </c>
      <c r="S374" s="14" t="str">
        <f t="shared" si="378"/>
        <v/>
      </c>
    </row>
    <row r="375">
      <c r="A375" s="1" t="s">
        <v>388</v>
      </c>
      <c r="G375" s="9" t="str">
        <f>IFERROR(__xludf.DUMMYFUNCTION("SPLIT(A375,"","")"),"./src/main/java/org/jfree/chart/swing/editor/DefaultChartEditorFactory.java")</f>
        <v>./src/main/java/org/jfree/chart/swing/editor/DefaultChartEditorFactory.java</v>
      </c>
      <c r="H375" s="9">
        <f>IFERROR(__xludf.DUMMYFUNCTION("""COMPUTED_VALUE"""),2.0)</f>
        <v>2</v>
      </c>
      <c r="I375" s="9">
        <f>IFERROR(__xludf.DUMMYFUNCTION("""COMPUTED_VALUE"""),10.0)</f>
        <v>10</v>
      </c>
      <c r="J375" s="9">
        <f>IFERROR(__xludf.DUMMYFUNCTION("""COMPUTED_VALUE"""),82.76)</f>
        <v>82.76</v>
      </c>
      <c r="Q375" s="12" t="str">
        <f t="shared" ref="Q375:S375" si="379">IF(H375&gt;M$5, $G375, "")</f>
        <v/>
      </c>
      <c r="R375" s="13" t="str">
        <f t="shared" si="379"/>
        <v/>
      </c>
      <c r="S375" s="14" t="str">
        <f t="shared" si="379"/>
        <v/>
      </c>
    </row>
    <row r="376">
      <c r="A376" s="1" t="s">
        <v>389</v>
      </c>
      <c r="G376" s="9" t="str">
        <f>IFERROR(__xludf.DUMMYFUNCTION("SPLIT(A376,"","")"),"./src/main/java/org/jfree/chart/swing/editor/DefaultLogAxisEditor.java")</f>
        <v>./src/main/java/org/jfree/chart/swing/editor/DefaultLogAxisEditor.java</v>
      </c>
      <c r="H376" s="9">
        <f>IFERROR(__xludf.DUMMYFUNCTION("""COMPUTED_VALUE"""),2.0)</f>
        <v>2</v>
      </c>
      <c r="I376" s="9">
        <f>IFERROR(__xludf.DUMMYFUNCTION("""COMPUTED_VALUE"""),82.0)</f>
        <v>82</v>
      </c>
      <c r="J376" s="9">
        <f>IFERROR(__xludf.DUMMYFUNCTION("""COMPUTED_VALUE"""),44.59)</f>
        <v>44.59</v>
      </c>
      <c r="Q376" s="12" t="str">
        <f t="shared" ref="Q376:S376" si="380">IF(H376&gt;M$5, $G376, "")</f>
        <v/>
      </c>
      <c r="R376" s="13" t="str">
        <f t="shared" si="380"/>
        <v/>
      </c>
      <c r="S376" s="14" t="str">
        <f t="shared" si="380"/>
        <v/>
      </c>
    </row>
    <row r="377">
      <c r="A377" s="1" t="s">
        <v>390</v>
      </c>
      <c r="G377" s="9" t="str">
        <f>IFERROR(__xludf.DUMMYFUNCTION("SPLIT(A377,"","")"),"./src/main/java/org/jfree/chart/swing/editor/DefaultNumberAxisEditor.java")</f>
        <v>./src/main/java/org/jfree/chart/swing/editor/DefaultNumberAxisEditor.java</v>
      </c>
      <c r="H377" s="9">
        <f>IFERROR(__xludf.DUMMYFUNCTION("""COMPUTED_VALUE"""),3.0)</f>
        <v>3</v>
      </c>
      <c r="I377" s="9">
        <f>IFERROR(__xludf.DUMMYFUNCTION("""COMPUTED_VALUE"""),97.0)</f>
        <v>97</v>
      </c>
      <c r="J377" s="9">
        <f>IFERROR(__xludf.DUMMYFUNCTION("""COMPUTED_VALUE"""),35.76)</f>
        <v>35.76</v>
      </c>
      <c r="Q377" s="12" t="str">
        <f t="shared" ref="Q377:S377" si="381">IF(H377&gt;M$5, $G377, "")</f>
        <v/>
      </c>
      <c r="R377" s="13" t="str">
        <f t="shared" si="381"/>
        <v/>
      </c>
      <c r="S377" s="14" t="str">
        <f t="shared" si="381"/>
        <v/>
      </c>
    </row>
    <row r="378">
      <c r="A378" s="1" t="s">
        <v>391</v>
      </c>
      <c r="G378" s="9" t="str">
        <f>IFERROR(__xludf.DUMMYFUNCTION("SPLIT(A378,"","")"),"./src/main/java/org/jfree/chart/swing/editor/DefaultPlotEditor.java")</f>
        <v>./src/main/java/org/jfree/chart/swing/editor/DefaultPlotEditor.java</v>
      </c>
      <c r="H378" s="9">
        <f>IFERROR(__xludf.DUMMYFUNCTION("""COMPUTED_VALUE"""),5.0)</f>
        <v>5</v>
      </c>
      <c r="I378" s="9">
        <f>IFERROR(__xludf.DUMMYFUNCTION("""COMPUTED_VALUE"""),365.0)</f>
        <v>365</v>
      </c>
      <c r="J378" s="9">
        <f>IFERROR(__xludf.DUMMYFUNCTION("""COMPUTED_VALUE"""),34.94)</f>
        <v>34.94</v>
      </c>
      <c r="Q378" s="12" t="str">
        <f t="shared" ref="Q378:S378" si="382">IF(H378&gt;M$5, $G378, "")</f>
        <v/>
      </c>
      <c r="R378" s="13" t="str">
        <f t="shared" si="382"/>
        <v/>
      </c>
      <c r="S378" s="14" t="str">
        <f t="shared" si="382"/>
        <v/>
      </c>
    </row>
    <row r="379">
      <c r="A379" s="1" t="s">
        <v>392</v>
      </c>
      <c r="G379" s="9" t="str">
        <f>IFERROR(__xludf.DUMMYFUNCTION("SPLIT(A379,"","")"),"./src/main/java/org/jfree/chart/swing/editor/DefaultPolarPlotEditor.java")</f>
        <v>./src/main/java/org/jfree/chart/swing/editor/DefaultPolarPlotEditor.java</v>
      </c>
      <c r="H379" s="9">
        <f>IFERROR(__xludf.DUMMYFUNCTION("""COMPUTED_VALUE"""),3.0)</f>
        <v>3</v>
      </c>
      <c r="I379" s="9">
        <f>IFERROR(__xludf.DUMMYFUNCTION("""COMPUTED_VALUE"""),110.0)</f>
        <v>110</v>
      </c>
      <c r="J379" s="9">
        <f>IFERROR(__xludf.DUMMYFUNCTION("""COMPUTED_VALUE"""),41.18)</f>
        <v>41.18</v>
      </c>
      <c r="Q379" s="12" t="str">
        <f t="shared" ref="Q379:S379" si="383">IF(H379&gt;M$5, $G379, "")</f>
        <v/>
      </c>
      <c r="R379" s="13" t="str">
        <f t="shared" si="383"/>
        <v/>
      </c>
      <c r="S379" s="14" t="str">
        <f t="shared" si="383"/>
        <v/>
      </c>
    </row>
    <row r="380">
      <c r="A380" s="1" t="s">
        <v>393</v>
      </c>
      <c r="G380" s="9" t="str">
        <f>IFERROR(__xludf.DUMMYFUNCTION("SPLIT(A380,"","")"),"./src/main/java/org/jfree/chart/swing/editor/DefaultTitleEditor.java")</f>
        <v>./src/main/java/org/jfree/chart/swing/editor/DefaultTitleEditor.java</v>
      </c>
      <c r="H380" s="9">
        <f>IFERROR(__xludf.DUMMYFUNCTION("""COMPUTED_VALUE"""),4.0)</f>
        <v>4</v>
      </c>
      <c r="I380" s="9">
        <f>IFERROR(__xludf.DUMMYFUNCTION("""COMPUTED_VALUE"""),155.0)</f>
        <v>155</v>
      </c>
      <c r="J380" s="9">
        <f>IFERROR(__xludf.DUMMYFUNCTION("""COMPUTED_VALUE"""),38.74)</f>
        <v>38.74</v>
      </c>
      <c r="Q380" s="12" t="str">
        <f t="shared" ref="Q380:S380" si="384">IF(H380&gt;M$5, $G380, "")</f>
        <v/>
      </c>
      <c r="R380" s="13" t="str">
        <f t="shared" si="384"/>
        <v/>
      </c>
      <c r="S380" s="14" t="str">
        <f t="shared" si="384"/>
        <v/>
      </c>
    </row>
    <row r="381">
      <c r="A381" s="1" t="s">
        <v>394</v>
      </c>
      <c r="G381" s="9" t="str">
        <f>IFERROR(__xludf.DUMMYFUNCTION("SPLIT(A381,"","")"),"./src/main/java/org/jfree/chart/swing/editor/DefaultValueAxisEditor.java")</f>
        <v>./src/main/java/org/jfree/chart/swing/editor/DefaultValueAxisEditor.java</v>
      </c>
      <c r="H381" s="9">
        <f>IFERROR(__xludf.DUMMYFUNCTION("""COMPUTED_VALUE"""),4.0)</f>
        <v>4</v>
      </c>
      <c r="I381" s="9">
        <f>IFERROR(__xludf.DUMMYFUNCTION("""COMPUTED_VALUE"""),226.0)</f>
        <v>226</v>
      </c>
      <c r="J381" s="9">
        <f>IFERROR(__xludf.DUMMYFUNCTION("""COMPUTED_VALUE"""),38.42)</f>
        <v>38.42</v>
      </c>
      <c r="Q381" s="12" t="str">
        <f t="shared" ref="Q381:S381" si="385">IF(H381&gt;M$5, $G381, "")</f>
        <v/>
      </c>
      <c r="R381" s="13" t="str">
        <f t="shared" si="385"/>
        <v/>
      </c>
      <c r="S381" s="14" t="str">
        <f t="shared" si="385"/>
        <v/>
      </c>
    </row>
    <row r="382">
      <c r="A382" s="1" t="s">
        <v>395</v>
      </c>
      <c r="G382" s="9" t="str">
        <f>IFERROR(__xludf.DUMMYFUNCTION("SPLIT(A382,"","")"),"./src/main/java/org/jfree/chart/swing/editor/FontChooserPanel.java")</f>
        <v>./src/main/java/org/jfree/chart/swing/editor/FontChooserPanel.java</v>
      </c>
      <c r="H382" s="9">
        <f>IFERROR(__xludf.DUMMYFUNCTION("""COMPUTED_VALUE"""),3.0)</f>
        <v>3</v>
      </c>
      <c r="I382" s="9">
        <f>IFERROR(__xludf.DUMMYFUNCTION("""COMPUTED_VALUE"""),113.0)</f>
        <v>113</v>
      </c>
      <c r="J382" s="9">
        <f>IFERROR(__xludf.DUMMYFUNCTION("""COMPUTED_VALUE"""),37.91)</f>
        <v>37.91</v>
      </c>
      <c r="Q382" s="12" t="str">
        <f t="shared" ref="Q382:S382" si="386">IF(H382&gt;M$5, $G382, "")</f>
        <v/>
      </c>
      <c r="R382" s="13" t="str">
        <f t="shared" si="386"/>
        <v/>
      </c>
      <c r="S382" s="14" t="str">
        <f t="shared" si="386"/>
        <v/>
      </c>
    </row>
    <row r="383">
      <c r="A383" s="1" t="s">
        <v>396</v>
      </c>
      <c r="G383" s="9" t="str">
        <f>IFERROR(__xludf.DUMMYFUNCTION("SPLIT(A383,"","")"),"./src/main/java/org/jfree/chart/swing/editor/FontDisplayField.java")</f>
        <v>./src/main/java/org/jfree/chart/swing/editor/FontDisplayField.java</v>
      </c>
      <c r="H383" s="9">
        <f>IFERROR(__xludf.DUMMYFUNCTION("""COMPUTED_VALUE"""),3.0)</f>
        <v>3</v>
      </c>
      <c r="I383" s="9">
        <f>IFERROR(__xludf.DUMMYFUNCTION("""COMPUTED_VALUE"""),29.0)</f>
        <v>29</v>
      </c>
      <c r="J383" s="9">
        <f>IFERROR(__xludf.DUMMYFUNCTION("""COMPUTED_VALUE"""),66.28)</f>
        <v>66.28</v>
      </c>
      <c r="Q383" s="12" t="str">
        <f t="shared" ref="Q383:S383" si="387">IF(H383&gt;M$5, $G383, "")</f>
        <v/>
      </c>
      <c r="R383" s="13" t="str">
        <f t="shared" si="387"/>
        <v/>
      </c>
      <c r="S383" s="14" t="str">
        <f t="shared" si="387"/>
        <v/>
      </c>
    </row>
    <row r="384">
      <c r="A384" s="1" t="s">
        <v>397</v>
      </c>
      <c r="G384" s="9" t="str">
        <f>IFERROR(__xludf.DUMMYFUNCTION("SPLIT(A384,"","")"),"./src/main/java/org/jfree/chart/swing/editor/LCBLayout.java")</f>
        <v>./src/main/java/org/jfree/chart/swing/editor/LCBLayout.java</v>
      </c>
      <c r="H384" s="9">
        <f>IFERROR(__xludf.DUMMYFUNCTION("""COMPUTED_VALUE"""),2.0)</f>
        <v>2</v>
      </c>
      <c r="I384" s="9">
        <f>IFERROR(__xludf.DUMMYFUNCTION("""COMPUTED_VALUE"""),147.0)</f>
        <v>147</v>
      </c>
      <c r="J384" s="9">
        <f>IFERROR(__xludf.DUMMYFUNCTION("""COMPUTED_VALUE"""),37.71)</f>
        <v>37.71</v>
      </c>
      <c r="Q384" s="12" t="str">
        <f t="shared" ref="Q384:S384" si="388">IF(H384&gt;M$5, $G384, "")</f>
        <v/>
      </c>
      <c r="R384" s="13" t="str">
        <f t="shared" si="388"/>
        <v/>
      </c>
      <c r="S384" s="14" t="str">
        <f t="shared" si="388"/>
        <v/>
      </c>
    </row>
    <row r="385">
      <c r="A385" s="1" t="s">
        <v>398</v>
      </c>
      <c r="G385" s="9" t="str">
        <f>IFERROR(__xludf.DUMMYFUNCTION("SPLIT(A385,"","")"),"./src/main/java/org/jfree/chart/swing/editor/PaintSample.java")</f>
        <v>./src/main/java/org/jfree/chart/swing/editor/PaintSample.java</v>
      </c>
      <c r="H385" s="9">
        <f>IFERROR(__xludf.DUMMYFUNCTION("""COMPUTED_VALUE"""),2.0)</f>
        <v>2</v>
      </c>
      <c r="I385" s="9">
        <f>IFERROR(__xludf.DUMMYFUNCTION("""COMPUTED_VALUE"""),43.0)</f>
        <v>43</v>
      </c>
      <c r="J385" s="9">
        <f>IFERROR(__xludf.DUMMYFUNCTION("""COMPUTED_VALUE"""),57.0)</f>
        <v>57</v>
      </c>
      <c r="Q385" s="12" t="str">
        <f t="shared" ref="Q385:S385" si="389">IF(H385&gt;M$5, $G385, "")</f>
        <v/>
      </c>
      <c r="R385" s="13" t="str">
        <f t="shared" si="389"/>
        <v/>
      </c>
      <c r="S385" s="14" t="str">
        <f t="shared" si="389"/>
        <v/>
      </c>
    </row>
    <row r="386">
      <c r="A386" s="1" t="s">
        <v>399</v>
      </c>
      <c r="G386" s="9" t="str">
        <f>IFERROR(__xludf.DUMMYFUNCTION("SPLIT(A386,"","")"),"./src/main/java/org/jfree/chart/swing/editor/StrokeChooserPanel.java")</f>
        <v>./src/main/java/org/jfree/chart/swing/editor/StrokeChooserPanel.java</v>
      </c>
      <c r="H386" s="9">
        <f>IFERROR(__xludf.DUMMYFUNCTION("""COMPUTED_VALUE"""),2.0)</f>
        <v>2</v>
      </c>
      <c r="I386" s="9">
        <f>IFERROR(__xludf.DUMMYFUNCTION("""COMPUTED_VALUE"""),30.0)</f>
        <v>30</v>
      </c>
      <c r="J386" s="9">
        <f>IFERROR(__xludf.DUMMYFUNCTION("""COMPUTED_VALUE"""),63.86)</f>
        <v>63.86</v>
      </c>
      <c r="Q386" s="12" t="str">
        <f t="shared" ref="Q386:S386" si="390">IF(H386&gt;M$5, $G386, "")</f>
        <v/>
      </c>
      <c r="R386" s="13" t="str">
        <f t="shared" si="390"/>
        <v/>
      </c>
      <c r="S386" s="14" t="str">
        <f t="shared" si="390"/>
        <v/>
      </c>
    </row>
    <row r="387">
      <c r="A387" s="1" t="s">
        <v>400</v>
      </c>
      <c r="G387" s="9" t="str">
        <f>IFERROR(__xludf.DUMMYFUNCTION("SPLIT(A387,"","")"),"./src/main/java/org/jfree/chart/swing/editor/StrokeSample.java")</f>
        <v>./src/main/java/org/jfree/chart/swing/editor/StrokeSample.java</v>
      </c>
      <c r="H387" s="9">
        <f>IFERROR(__xludf.DUMMYFUNCTION("""COMPUTED_VALUE"""),2.0)</f>
        <v>2</v>
      </c>
      <c r="I387" s="9">
        <f>IFERROR(__xludf.DUMMYFUNCTION("""COMPUTED_VALUE"""),72.0)</f>
        <v>72</v>
      </c>
      <c r="J387" s="9">
        <f>IFERROR(__xludf.DUMMYFUNCTION("""COMPUTED_VALUE"""),50.68)</f>
        <v>50.68</v>
      </c>
      <c r="Q387" s="12" t="str">
        <f t="shared" ref="Q387:S387" si="391">IF(H387&gt;M$5, $G387, "")</f>
        <v/>
      </c>
      <c r="R387" s="13" t="str">
        <f t="shared" si="391"/>
        <v/>
      </c>
      <c r="S387" s="14" t="str">
        <f t="shared" si="391"/>
        <v/>
      </c>
    </row>
    <row r="388">
      <c r="A388" s="1" t="s">
        <v>401</v>
      </c>
      <c r="G388" s="9" t="str">
        <f>IFERROR(__xludf.DUMMYFUNCTION("SPLIT(A388,"","")"),"./src/main/java/org/jfree/chart/swing/MouseWheelHandler.java")</f>
        <v>./src/main/java/org/jfree/chart/swing/MouseWheelHandler.java</v>
      </c>
      <c r="H388" s="9">
        <f>IFERROR(__xludf.DUMMYFUNCTION("""COMPUTED_VALUE"""),4.0)</f>
        <v>4</v>
      </c>
      <c r="I388" s="9">
        <f>IFERROR(__xludf.DUMMYFUNCTION("""COMPUTED_VALUE"""),65.0)</f>
        <v>65</v>
      </c>
      <c r="J388" s="9">
        <f>IFERROR(__xludf.DUMMYFUNCTION("""COMPUTED_VALUE"""),53.24)</f>
        <v>53.24</v>
      </c>
      <c r="Q388" s="12" t="str">
        <f t="shared" ref="Q388:S388" si="392">IF(H388&gt;M$5, $G388, "")</f>
        <v/>
      </c>
      <c r="R388" s="13" t="str">
        <f t="shared" si="392"/>
        <v/>
      </c>
      <c r="S388" s="14" t="str">
        <f t="shared" si="392"/>
        <v/>
      </c>
    </row>
    <row r="389">
      <c r="A389" s="1" t="s">
        <v>402</v>
      </c>
      <c r="G389" s="9" t="str">
        <f>IFERROR(__xludf.DUMMYFUNCTION("SPLIT(A389,"","")"),"./src/main/java/org/jfree/chart/swing/NumberCellRenderer.java")</f>
        <v>./src/main/java/org/jfree/chart/swing/NumberCellRenderer.java</v>
      </c>
      <c r="H389" s="9">
        <f>IFERROR(__xludf.DUMMYFUNCTION("""COMPUTED_VALUE"""),2.0)</f>
        <v>2</v>
      </c>
      <c r="I389" s="9">
        <f>IFERROR(__xludf.DUMMYFUNCTION("""COMPUTED_VALUE"""),30.0)</f>
        <v>30</v>
      </c>
      <c r="J389" s="9">
        <f>IFERROR(__xludf.DUMMYFUNCTION("""COMPUTED_VALUE"""),61.54)</f>
        <v>61.54</v>
      </c>
      <c r="Q389" s="12" t="str">
        <f t="shared" ref="Q389:S389" si="393">IF(H389&gt;M$5, $G389, "")</f>
        <v/>
      </c>
      <c r="R389" s="13" t="str">
        <f t="shared" si="393"/>
        <v/>
      </c>
      <c r="S389" s="14" t="str">
        <f t="shared" si="393"/>
        <v/>
      </c>
    </row>
    <row r="390">
      <c r="A390" s="1" t="s">
        <v>403</v>
      </c>
      <c r="G390" s="9" t="str">
        <f>IFERROR(__xludf.DUMMYFUNCTION("SPLIT(A390,"","")"),"./src/main/java/org/jfree/chart/swing/Overlay.java")</f>
        <v>./src/main/java/org/jfree/chart/swing/Overlay.java</v>
      </c>
      <c r="H390" s="9">
        <f>IFERROR(__xludf.DUMMYFUNCTION("""COMPUTED_VALUE"""),3.0)</f>
        <v>3</v>
      </c>
      <c r="I390" s="9">
        <f>IFERROR(__xludf.DUMMYFUNCTION("""COMPUTED_VALUE"""),7.0)</f>
        <v>7</v>
      </c>
      <c r="J390" s="9">
        <f>IFERROR(__xludf.DUMMYFUNCTION("""COMPUTED_VALUE"""),91.03)</f>
        <v>91.03</v>
      </c>
      <c r="Q390" s="12" t="str">
        <f t="shared" ref="Q390:S390" si="394">IF(H390&gt;M$5, $G390, "")</f>
        <v/>
      </c>
      <c r="R390" s="13" t="str">
        <f t="shared" si="394"/>
        <v/>
      </c>
      <c r="S390" s="14" t="str">
        <f t="shared" si="394"/>
        <v/>
      </c>
    </row>
    <row r="391">
      <c r="A391" s="1" t="s">
        <v>404</v>
      </c>
      <c r="G391" s="9" t="str">
        <f>IFERROR(__xludf.DUMMYFUNCTION("SPLIT(A391,"","")"),"./src/main/java/org/jfree/chart/swing/OverlayChangeEvent.java")</f>
        <v>./src/main/java/org/jfree/chart/swing/OverlayChangeEvent.java</v>
      </c>
      <c r="H391" s="9">
        <f>IFERROR(__xludf.DUMMYFUNCTION("""COMPUTED_VALUE"""),2.0)</f>
        <v>2</v>
      </c>
      <c r="I391" s="9">
        <f>IFERROR(__xludf.DUMMYFUNCTION("""COMPUTED_VALUE"""),7.0)</f>
        <v>7</v>
      </c>
      <c r="J391" s="9">
        <f>IFERROR(__xludf.DUMMYFUNCTION("""COMPUTED_VALUE"""),86.0)</f>
        <v>86</v>
      </c>
      <c r="Q391" s="12" t="str">
        <f t="shared" ref="Q391:S391" si="395">IF(H391&gt;M$5, $G391, "")</f>
        <v/>
      </c>
      <c r="R391" s="13" t="str">
        <f t="shared" si="395"/>
        <v/>
      </c>
      <c r="S391" s="14" t="str">
        <f t="shared" si="395"/>
        <v/>
      </c>
    </row>
    <row r="392">
      <c r="A392" s="1" t="s">
        <v>405</v>
      </c>
      <c r="G392" s="9" t="str">
        <f>IFERROR(__xludf.DUMMYFUNCTION("SPLIT(A392,"","")"),"./src/main/java/org/jfree/chart/swing/OverlayChangeListener.java")</f>
        <v>./src/main/java/org/jfree/chart/swing/OverlayChangeListener.java</v>
      </c>
      <c r="H392" s="9">
        <f>IFERROR(__xludf.DUMMYFUNCTION("""COMPUTED_VALUE"""),2.0)</f>
        <v>2</v>
      </c>
      <c r="I392" s="9">
        <f>IFERROR(__xludf.DUMMYFUNCTION("""COMPUTED_VALUE"""),5.0)</f>
        <v>5</v>
      </c>
      <c r="J392" s="9">
        <f>IFERROR(__xludf.DUMMYFUNCTION("""COMPUTED_VALUE"""),89.58)</f>
        <v>89.58</v>
      </c>
      <c r="Q392" s="12" t="str">
        <f t="shared" ref="Q392:S392" si="396">IF(H392&gt;M$5, $G392, "")</f>
        <v/>
      </c>
      <c r="R392" s="13" t="str">
        <f t="shared" si="396"/>
        <v/>
      </c>
      <c r="S392" s="14" t="str">
        <f t="shared" si="396"/>
        <v/>
      </c>
    </row>
    <row r="393">
      <c r="A393" s="1" t="s">
        <v>406</v>
      </c>
      <c r="G393" s="9" t="str">
        <f>IFERROR(__xludf.DUMMYFUNCTION("SPLIT(A393,"","")"),"./src/main/java/org/jfree/chart/swing/PolarChartPanel.java")</f>
        <v>./src/main/java/org/jfree/chart/swing/PolarChartPanel.java</v>
      </c>
      <c r="H393" s="9">
        <f>IFERROR(__xludf.DUMMYFUNCTION("""COMPUTED_VALUE"""),2.0)</f>
        <v>2</v>
      </c>
      <c r="I393" s="9">
        <f>IFERROR(__xludf.DUMMYFUNCTION("""COMPUTED_VALUE"""),116.0)</f>
        <v>116</v>
      </c>
      <c r="J393" s="9">
        <f>IFERROR(__xludf.DUMMYFUNCTION("""COMPUTED_VALUE"""),46.05)</f>
        <v>46.05</v>
      </c>
      <c r="Q393" s="12" t="str">
        <f t="shared" ref="Q393:S393" si="397">IF(H393&gt;M$5, $G393, "")</f>
        <v/>
      </c>
      <c r="R393" s="13" t="str">
        <f t="shared" si="397"/>
        <v/>
      </c>
      <c r="S393" s="14" t="str">
        <f t="shared" si="397"/>
        <v/>
      </c>
    </row>
    <row r="394">
      <c r="A394" s="1" t="s">
        <v>407</v>
      </c>
      <c r="G394" s="9" t="str">
        <f>IFERROR(__xludf.DUMMYFUNCTION("SPLIT(A394,"","")"),"./src/main/java/org/jfree/chart/swing/SelectionZoomStrategy.java")</f>
        <v>./src/main/java/org/jfree/chart/swing/SelectionZoomStrategy.java</v>
      </c>
      <c r="H394" s="9">
        <f>IFERROR(__xludf.DUMMYFUNCTION("""COMPUTED_VALUE"""),4.0)</f>
        <v>4</v>
      </c>
      <c r="I394" s="9">
        <f>IFERROR(__xludf.DUMMYFUNCTION("""COMPUTED_VALUE"""),24.0)</f>
        <v>24</v>
      </c>
      <c r="J394" s="9">
        <f>IFERROR(__xludf.DUMMYFUNCTION("""COMPUTED_VALUE"""),85.0)</f>
        <v>85</v>
      </c>
      <c r="Q394" s="12" t="str">
        <f t="shared" ref="Q394:S394" si="398">IF(H394&gt;M$5, $G394, "")</f>
        <v/>
      </c>
      <c r="R394" s="13" t="str">
        <f t="shared" si="398"/>
        <v/>
      </c>
      <c r="S394" s="14" t="str">
        <f t="shared" si="398"/>
        <v/>
      </c>
    </row>
    <row r="395">
      <c r="A395" s="1" t="s">
        <v>408</v>
      </c>
      <c r="G395" s="9" t="str">
        <f>IFERROR(__xludf.DUMMYFUNCTION("SPLIT(A395,"","")"),"./src/main/java/org/jfree/chart/swing/UIUtils.java")</f>
        <v>./src/main/java/org/jfree/chart/swing/UIUtils.java</v>
      </c>
      <c r="H395" s="9">
        <f>IFERROR(__xludf.DUMMYFUNCTION("""COMPUTED_VALUE"""),2.0)</f>
        <v>2</v>
      </c>
      <c r="I395" s="9">
        <f>IFERROR(__xludf.DUMMYFUNCTION("""COMPUTED_VALUE"""),85.0)</f>
        <v>85</v>
      </c>
      <c r="J395" s="9">
        <f>IFERROR(__xludf.DUMMYFUNCTION("""COMPUTED_VALUE"""),53.04)</f>
        <v>53.04</v>
      </c>
      <c r="Q395" s="12" t="str">
        <f t="shared" ref="Q395:S395" si="399">IF(H395&gt;M$5, $G395, "")</f>
        <v/>
      </c>
      <c r="R395" s="13" t="str">
        <f t="shared" si="399"/>
        <v/>
      </c>
      <c r="S395" s="14" t="str">
        <f t="shared" si="399"/>
        <v/>
      </c>
    </row>
    <row r="396">
      <c r="A396" s="1" t="s">
        <v>409</v>
      </c>
      <c r="G396" s="9" t="str">
        <f>IFERROR(__xludf.DUMMYFUNCTION("SPLIT(A396,"","")"),"./src/main/java/org/jfree/chart/text/AttributedStringUtils.java")</f>
        <v>./src/main/java/org/jfree/chart/text/AttributedStringUtils.java</v>
      </c>
      <c r="H396" s="9">
        <f>IFERROR(__xludf.DUMMYFUNCTION("""COMPUTED_VALUE"""),3.0)</f>
        <v>3</v>
      </c>
      <c r="I396" s="9">
        <f>IFERROR(__xludf.DUMMYFUNCTION("""COMPUTED_VALUE"""),43.0)</f>
        <v>43</v>
      </c>
      <c r="J396" s="9">
        <f>IFERROR(__xludf.DUMMYFUNCTION("""COMPUTED_VALUE"""),51.14)</f>
        <v>51.14</v>
      </c>
      <c r="Q396" s="12" t="str">
        <f t="shared" ref="Q396:S396" si="400">IF(H396&gt;M$5, $G396, "")</f>
        <v/>
      </c>
      <c r="R396" s="13" t="str">
        <f t="shared" si="400"/>
        <v/>
      </c>
      <c r="S396" s="14" t="str">
        <f t="shared" si="400"/>
        <v/>
      </c>
    </row>
    <row r="397">
      <c r="A397" s="1" t="s">
        <v>410</v>
      </c>
      <c r="G397" s="9" t="str">
        <f>IFERROR(__xludf.DUMMYFUNCTION("SPLIT(A397,"","")"),"./src/main/java/org/jfree/chart/text/format/HexNumberFormat.java")</f>
        <v>./src/main/java/org/jfree/chart/text/format/HexNumberFormat.java</v>
      </c>
      <c r="H397" s="9">
        <f>IFERROR(__xludf.DUMMYFUNCTION("""COMPUTED_VALUE"""),2.0)</f>
        <v>2</v>
      </c>
      <c r="I397" s="9">
        <f>IFERROR(__xludf.DUMMYFUNCTION("""COMPUTED_VALUE"""),46.0)</f>
        <v>46</v>
      </c>
      <c r="J397" s="9">
        <f>IFERROR(__xludf.DUMMYFUNCTION("""COMPUTED_VALUE"""),66.18)</f>
        <v>66.18</v>
      </c>
      <c r="Q397" s="12" t="str">
        <f t="shared" ref="Q397:S397" si="401">IF(H397&gt;M$5, $G397, "")</f>
        <v/>
      </c>
      <c r="R397" s="13" t="str">
        <f t="shared" si="401"/>
        <v/>
      </c>
      <c r="S397" s="14" t="str">
        <f t="shared" si="401"/>
        <v/>
      </c>
    </row>
    <row r="398">
      <c r="A398" s="1" t="s">
        <v>411</v>
      </c>
      <c r="G398" s="9" t="str">
        <f>IFERROR(__xludf.DUMMYFUNCTION("SPLIT(A398,"","")"),"./src/main/java/org/jfree/chart/text/format/HMSNumberFormat.java")</f>
        <v>./src/main/java/org/jfree/chart/text/format/HMSNumberFormat.java</v>
      </c>
      <c r="H398" s="9">
        <f>IFERROR(__xludf.DUMMYFUNCTION("""COMPUTED_VALUE"""),2.0)</f>
        <v>2</v>
      </c>
      <c r="I398" s="9">
        <f>IFERROR(__xludf.DUMMYFUNCTION("""COMPUTED_VALUE"""),32.0)</f>
        <v>32</v>
      </c>
      <c r="J398" s="9">
        <f>IFERROR(__xludf.DUMMYFUNCTION("""COMPUTED_VALUE"""),69.52)</f>
        <v>69.52</v>
      </c>
      <c r="Q398" s="12" t="str">
        <f t="shared" ref="Q398:S398" si="402">IF(H398&gt;M$5, $G398, "")</f>
        <v/>
      </c>
      <c r="R398" s="13" t="str">
        <f t="shared" si="402"/>
        <v/>
      </c>
      <c r="S398" s="14" t="str">
        <f t="shared" si="402"/>
        <v/>
      </c>
    </row>
    <row r="399">
      <c r="A399" s="1" t="s">
        <v>412</v>
      </c>
      <c r="G399" s="9" t="str">
        <f>IFERROR(__xludf.DUMMYFUNCTION("SPLIT(A399,"","")"),"./src/main/java/org/jfree/chart/text/format/LogFormat.java")</f>
        <v>./src/main/java/org/jfree/chart/text/format/LogFormat.java</v>
      </c>
      <c r="H399" s="9">
        <f>IFERROR(__xludf.DUMMYFUNCTION("""COMPUTED_VALUE"""),2.0)</f>
        <v>2</v>
      </c>
      <c r="I399" s="9">
        <f>IFERROR(__xludf.DUMMYFUNCTION("""COMPUTED_VALUE"""),98.0)</f>
        <v>98</v>
      </c>
      <c r="J399" s="9">
        <f>IFERROR(__xludf.DUMMYFUNCTION("""COMPUTED_VALUE"""),55.86)</f>
        <v>55.86</v>
      </c>
      <c r="Q399" s="12" t="str">
        <f t="shared" ref="Q399:S399" si="403">IF(H399&gt;M$5, $G399, "")</f>
        <v/>
      </c>
      <c r="R399" s="13" t="str">
        <f t="shared" si="403"/>
        <v/>
      </c>
      <c r="S399" s="14" t="str">
        <f t="shared" si="403"/>
        <v/>
      </c>
    </row>
    <row r="400">
      <c r="A400" s="1" t="s">
        <v>413</v>
      </c>
      <c r="G400" s="9" t="str">
        <f>IFERROR(__xludf.DUMMYFUNCTION("SPLIT(A400,"","")"),"./src/main/java/org/jfree/chart/text/format/RelativeDateFormat.java")</f>
        <v>./src/main/java/org/jfree/chart/text/format/RelativeDateFormat.java</v>
      </c>
      <c r="H400" s="9">
        <f>IFERROR(__xludf.DUMMYFUNCTION("""COMPUTED_VALUE"""),2.0)</f>
        <v>2</v>
      </c>
      <c r="I400" s="9">
        <f>IFERROR(__xludf.DUMMYFUNCTION("""COMPUTED_VALUE"""),229.0)</f>
        <v>229</v>
      </c>
      <c r="J400" s="9">
        <f>IFERROR(__xludf.DUMMYFUNCTION("""COMPUTED_VALUE"""),54.29)</f>
        <v>54.29</v>
      </c>
      <c r="Q400" s="12" t="str">
        <f t="shared" ref="Q400:S400" si="404">IF(H400&gt;M$5, $G400, "")</f>
        <v/>
      </c>
      <c r="R400" s="13" t="str">
        <f t="shared" si="404"/>
        <v/>
      </c>
      <c r="S400" s="14" t="str">
        <f t="shared" si="404"/>
        <v/>
      </c>
    </row>
    <row r="401">
      <c r="A401" s="1" t="s">
        <v>414</v>
      </c>
      <c r="G401" s="9" t="str">
        <f>IFERROR(__xludf.DUMMYFUNCTION("SPLIT(A401,"","")"),"./src/main/java/org/jfree/chart/text/G2TextMeasurer.java")</f>
        <v>./src/main/java/org/jfree/chart/text/G2TextMeasurer.java</v>
      </c>
      <c r="H401" s="9">
        <f>IFERROR(__xludf.DUMMYFUNCTION("""COMPUTED_VALUE"""),3.0)</f>
        <v>3</v>
      </c>
      <c r="I401" s="9">
        <f>IFERROR(__xludf.DUMMYFUNCTION("""COMPUTED_VALUE"""),18.0)</f>
        <v>18</v>
      </c>
      <c r="J401" s="9">
        <f>IFERROR(__xludf.DUMMYFUNCTION("""COMPUTED_VALUE"""),71.43)</f>
        <v>71.43</v>
      </c>
      <c r="Q401" s="12" t="str">
        <f t="shared" ref="Q401:S401" si="405">IF(H401&gt;M$5, $G401, "")</f>
        <v/>
      </c>
      <c r="R401" s="13" t="str">
        <f t="shared" si="405"/>
        <v/>
      </c>
      <c r="S401" s="14" t="str">
        <f t="shared" si="405"/>
        <v/>
      </c>
    </row>
    <row r="402">
      <c r="A402" s="1" t="s">
        <v>415</v>
      </c>
      <c r="G402" s="9" t="str">
        <f>IFERROR(__xludf.DUMMYFUNCTION("SPLIT(A402,"","")"),"./src/main/java/org/jfree/chart/text/TextAnchor.java")</f>
        <v>./src/main/java/org/jfree/chart/text/TextAnchor.java</v>
      </c>
      <c r="H402" s="9">
        <f>IFERROR(__xludf.DUMMYFUNCTION("""COMPUTED_VALUE"""),3.0)</f>
        <v>3</v>
      </c>
      <c r="I402" s="9">
        <f>IFERROR(__xludf.DUMMYFUNCTION("""COMPUTED_VALUE"""),51.0)</f>
        <v>51</v>
      </c>
      <c r="J402" s="9">
        <f>IFERROR(__xludf.DUMMYFUNCTION("""COMPUTED_VALUE"""),64.83)</f>
        <v>64.83</v>
      </c>
      <c r="Q402" s="12" t="str">
        <f t="shared" ref="Q402:S402" si="406">IF(H402&gt;M$5, $G402, "")</f>
        <v/>
      </c>
      <c r="R402" s="13" t="str">
        <f t="shared" si="406"/>
        <v/>
      </c>
      <c r="S402" s="14" t="str">
        <f t="shared" si="406"/>
        <v/>
      </c>
    </row>
    <row r="403">
      <c r="A403" s="1" t="s">
        <v>416</v>
      </c>
      <c r="G403" s="9" t="str">
        <f>IFERROR(__xludf.DUMMYFUNCTION("SPLIT(A403,"","")"),"./src/main/java/org/jfree/chart/text/TextBlock.java")</f>
        <v>./src/main/java/org/jfree/chart/text/TextBlock.java</v>
      </c>
      <c r="H403" s="9">
        <f>IFERROR(__xludf.DUMMYFUNCTION("""COMPUTED_VALUE"""),11.0)</f>
        <v>11</v>
      </c>
      <c r="I403" s="9">
        <f>IFERROR(__xludf.DUMMYFUNCTION("""COMPUTED_VALUE"""),137.0)</f>
        <v>137</v>
      </c>
      <c r="J403" s="9">
        <f>IFERROR(__xludf.DUMMYFUNCTION("""COMPUTED_VALUE"""),49.63)</f>
        <v>49.63</v>
      </c>
      <c r="Q403" s="12" t="str">
        <f t="shared" ref="Q403:S403" si="407">IF(H403&gt;M$5, $G403, "")</f>
        <v/>
      </c>
      <c r="R403" s="13" t="str">
        <f t="shared" si="407"/>
        <v/>
      </c>
      <c r="S403" s="14" t="str">
        <f t="shared" si="407"/>
        <v/>
      </c>
    </row>
    <row r="404">
      <c r="A404" s="1" t="s">
        <v>417</v>
      </c>
      <c r="G404" s="9" t="str">
        <f>IFERROR(__xludf.DUMMYFUNCTION("SPLIT(A404,"","")"),"./src/main/java/org/jfree/chart/text/TextBlockAnchor.java")</f>
        <v>./src/main/java/org/jfree/chart/text/TextBlockAnchor.java</v>
      </c>
      <c r="H404" s="9">
        <f>IFERROR(__xludf.DUMMYFUNCTION("""COMPUTED_VALUE"""),5.0)</f>
        <v>5</v>
      </c>
      <c r="I404" s="9">
        <f>IFERROR(__xludf.DUMMYFUNCTION("""COMPUTED_VALUE"""),12.0)</f>
        <v>12</v>
      </c>
      <c r="J404" s="9">
        <f>IFERROR(__xludf.DUMMYFUNCTION("""COMPUTED_VALUE"""),78.18)</f>
        <v>78.18</v>
      </c>
      <c r="Q404" s="12" t="str">
        <f t="shared" ref="Q404:S404" si="408">IF(H404&gt;M$5, $G404, "")</f>
        <v/>
      </c>
      <c r="R404" s="13" t="str">
        <f t="shared" si="408"/>
        <v/>
      </c>
      <c r="S404" s="14" t="str">
        <f t="shared" si="408"/>
        <v/>
      </c>
    </row>
    <row r="405">
      <c r="A405" s="1" t="s">
        <v>418</v>
      </c>
      <c r="G405" s="9" t="str">
        <f>IFERROR(__xludf.DUMMYFUNCTION("SPLIT(A405,"","")"),"./src/main/java/org/jfree/chart/text/TextBox.java")</f>
        <v>./src/main/java/org/jfree/chart/text/TextBox.java</v>
      </c>
      <c r="H405" s="9">
        <f>IFERROR(__xludf.DUMMYFUNCTION("""COMPUTED_VALUE"""),8.0)</f>
        <v>8</v>
      </c>
      <c r="I405" s="9">
        <f>IFERROR(__xludf.DUMMYFUNCTION("""COMPUTED_VALUE"""),204.0)</f>
        <v>204</v>
      </c>
      <c r="J405" s="9">
        <f>IFERROR(__xludf.DUMMYFUNCTION("""COMPUTED_VALUE"""),46.03)</f>
        <v>46.03</v>
      </c>
      <c r="Q405" s="12" t="str">
        <f t="shared" ref="Q405:S405" si="409">IF(H405&gt;M$5, $G405, "")</f>
        <v/>
      </c>
      <c r="R405" s="13" t="str">
        <f t="shared" si="409"/>
        <v/>
      </c>
      <c r="S405" s="14" t="str">
        <f t="shared" si="409"/>
        <v/>
      </c>
    </row>
    <row r="406">
      <c r="A406" s="1" t="s">
        <v>419</v>
      </c>
      <c r="G406" s="9" t="str">
        <f>IFERROR(__xludf.DUMMYFUNCTION("SPLIT(A406,"","")"),"./src/main/java/org/jfree/chart/text/TextFragment.java")</f>
        <v>./src/main/java/org/jfree/chart/text/TextFragment.java</v>
      </c>
      <c r="H406" s="9">
        <f>IFERROR(__xludf.DUMMYFUNCTION("""COMPUTED_VALUE"""),9.0)</f>
        <v>9</v>
      </c>
      <c r="I406" s="9">
        <f>IFERROR(__xludf.DUMMYFUNCTION("""COMPUTED_VALUE"""),126.0)</f>
        <v>126</v>
      </c>
      <c r="J406" s="9">
        <f>IFERROR(__xludf.DUMMYFUNCTION("""COMPUTED_VALUE"""),52.99)</f>
        <v>52.99</v>
      </c>
      <c r="Q406" s="12" t="str">
        <f t="shared" ref="Q406:S406" si="410">IF(H406&gt;M$5, $G406, "")</f>
        <v/>
      </c>
      <c r="R406" s="13" t="str">
        <f t="shared" si="410"/>
        <v/>
      </c>
      <c r="S406" s="14" t="str">
        <f t="shared" si="410"/>
        <v/>
      </c>
    </row>
    <row r="407">
      <c r="A407" s="1" t="s">
        <v>420</v>
      </c>
      <c r="G407" s="9" t="str">
        <f>IFERROR(__xludf.DUMMYFUNCTION("SPLIT(A407,"","")"),"./src/main/java/org/jfree/chart/text/TextLine.java")</f>
        <v>./src/main/java/org/jfree/chart/text/TextLine.java</v>
      </c>
      <c r="H407" s="9">
        <f>IFERROR(__xludf.DUMMYFUNCTION("""COMPUTED_VALUE"""),10.0)</f>
        <v>10</v>
      </c>
      <c r="I407" s="9">
        <f>IFERROR(__xludf.DUMMYFUNCTION("""COMPUTED_VALUE"""),108.0)</f>
        <v>108</v>
      </c>
      <c r="J407" s="9">
        <f>IFERROR(__xludf.DUMMYFUNCTION("""COMPUTED_VALUE"""),51.35)</f>
        <v>51.35</v>
      </c>
      <c r="Q407" s="12" t="str">
        <f t="shared" ref="Q407:S407" si="411">IF(H407&gt;M$5, $G407, "")</f>
        <v/>
      </c>
      <c r="R407" s="13" t="str">
        <f t="shared" si="411"/>
        <v/>
      </c>
      <c r="S407" s="14" t="str">
        <f t="shared" si="411"/>
        <v/>
      </c>
    </row>
    <row r="408">
      <c r="A408" s="1" t="s">
        <v>421</v>
      </c>
      <c r="G408" s="9" t="str">
        <f>IFERROR(__xludf.DUMMYFUNCTION("SPLIT(A408,"","")"),"./src/main/java/org/jfree/chart/text/TextMeasurer.java")</f>
        <v>./src/main/java/org/jfree/chart/text/TextMeasurer.java</v>
      </c>
      <c r="H408" s="9">
        <f>IFERROR(__xludf.DUMMYFUNCTION("""COMPUTED_VALUE"""),4.0)</f>
        <v>4</v>
      </c>
      <c r="I408" s="9">
        <f>IFERROR(__xludf.DUMMYFUNCTION("""COMPUTED_VALUE"""),4.0)</f>
        <v>4</v>
      </c>
      <c r="J408" s="9">
        <f>IFERROR(__xludf.DUMMYFUNCTION("""COMPUTED_VALUE"""),90.91)</f>
        <v>90.91</v>
      </c>
      <c r="Q408" s="12" t="str">
        <f t="shared" ref="Q408:S408" si="412">IF(H408&gt;M$5, $G408, "")</f>
        <v/>
      </c>
      <c r="R408" s="13" t="str">
        <f t="shared" si="412"/>
        <v/>
      </c>
      <c r="S408" s="14" t="str">
        <f t="shared" si="412"/>
        <v/>
      </c>
    </row>
    <row r="409">
      <c r="A409" s="1" t="s">
        <v>422</v>
      </c>
      <c r="G409" s="9" t="str">
        <f>IFERROR(__xludf.DUMMYFUNCTION("SPLIT(A409,"","")"),"./src/main/java/org/jfree/chart/text/TextUtils.java")</f>
        <v>./src/main/java/org/jfree/chart/text/TextUtils.java</v>
      </c>
      <c r="H409" s="9">
        <f>IFERROR(__xludf.DUMMYFUNCTION("""COMPUTED_VALUE"""),6.0)</f>
        <v>6</v>
      </c>
      <c r="I409" s="9">
        <f>IFERROR(__xludf.DUMMYFUNCTION("""COMPUTED_VALUE"""),393.0)</f>
        <v>393</v>
      </c>
      <c r="J409" s="9">
        <f>IFERROR(__xludf.DUMMYFUNCTION("""COMPUTED_VALUE"""),43.78)</f>
        <v>43.78</v>
      </c>
      <c r="Q409" s="12" t="str">
        <f t="shared" ref="Q409:S409" si="413">IF(H409&gt;M$5, $G409, "")</f>
        <v/>
      </c>
      <c r="R409" s="13" t="str">
        <f t="shared" si="413"/>
        <v/>
      </c>
      <c r="S409" s="14" t="str">
        <f t="shared" si="413"/>
        <v/>
      </c>
    </row>
    <row r="410">
      <c r="A410" s="1" t="s">
        <v>423</v>
      </c>
      <c r="G410" s="9" t="str">
        <f>IFERROR(__xludf.DUMMYFUNCTION("SPLIT(A410,"","")"),"./src/main/java/org/jfree/chart/title/CompositeTitle.java")</f>
        <v>./src/main/java/org/jfree/chart/title/CompositeTitle.java</v>
      </c>
      <c r="H410" s="9">
        <f>IFERROR(__xludf.DUMMYFUNCTION("""COMPUTED_VALUE"""),8.0)</f>
        <v>8</v>
      </c>
      <c r="I410" s="9">
        <f>IFERROR(__xludf.DUMMYFUNCTION("""COMPUTED_VALUE"""),97.0)</f>
        <v>97</v>
      </c>
      <c r="J410" s="9">
        <f>IFERROR(__xludf.DUMMYFUNCTION("""COMPUTED_VALUE"""),56.5)</f>
        <v>56.5</v>
      </c>
      <c r="Q410" s="12" t="str">
        <f t="shared" ref="Q410:S410" si="414">IF(H410&gt;M$5, $G410, "")</f>
        <v/>
      </c>
      <c r="R410" s="13" t="str">
        <f t="shared" si="414"/>
        <v/>
      </c>
      <c r="S410" s="14" t="str">
        <f t="shared" si="414"/>
        <v/>
      </c>
    </row>
    <row r="411">
      <c r="A411" s="1" t="s">
        <v>424</v>
      </c>
      <c r="G411" s="9" t="str">
        <f>IFERROR(__xludf.DUMMYFUNCTION("SPLIT(A411,"","")"),"./src/main/java/org/jfree/chart/title/DateTitle.java")</f>
        <v>./src/main/java/org/jfree/chart/title/DateTitle.java</v>
      </c>
      <c r="H411" s="9">
        <f>IFERROR(__xludf.DUMMYFUNCTION("""COMPUTED_VALUE"""),7.0)</f>
        <v>7</v>
      </c>
      <c r="I411" s="9">
        <f>IFERROR(__xludf.DUMMYFUNCTION("""COMPUTED_VALUE"""),37.0)</f>
        <v>37</v>
      </c>
      <c r="J411" s="9">
        <f>IFERROR(__xludf.DUMMYFUNCTION("""COMPUTED_VALUE"""),75.97)</f>
        <v>75.97</v>
      </c>
      <c r="Q411" s="12" t="str">
        <f t="shared" ref="Q411:S411" si="415">IF(H411&gt;M$5, $G411, "")</f>
        <v/>
      </c>
      <c r="R411" s="13" t="str">
        <f t="shared" si="415"/>
        <v/>
      </c>
      <c r="S411" s="14" t="str">
        <f t="shared" si="415"/>
        <v/>
      </c>
    </row>
    <row r="412">
      <c r="A412" s="1" t="s">
        <v>425</v>
      </c>
      <c r="G412" s="9" t="str">
        <f>IFERROR(__xludf.DUMMYFUNCTION("SPLIT(A412,"","")"),"./src/main/java/org/jfree/chart/title/ImageTitle.java")</f>
        <v>./src/main/java/org/jfree/chart/title/ImageTitle.java</v>
      </c>
      <c r="H412" s="9">
        <f>IFERROR(__xludf.DUMMYFUNCTION("""COMPUTED_VALUE"""),7.0)</f>
        <v>7</v>
      </c>
      <c r="I412" s="9">
        <f>IFERROR(__xludf.DUMMYFUNCTION("""COMPUTED_VALUE"""),176.0)</f>
        <v>176</v>
      </c>
      <c r="J412" s="9">
        <f>IFERROR(__xludf.DUMMYFUNCTION("""COMPUTED_VALUE"""),46.67)</f>
        <v>46.67</v>
      </c>
      <c r="Q412" s="12" t="str">
        <f t="shared" ref="Q412:S412" si="416">IF(H412&gt;M$5, $G412, "")</f>
        <v/>
      </c>
      <c r="R412" s="13" t="str">
        <f t="shared" si="416"/>
        <v/>
      </c>
      <c r="S412" s="14" t="str">
        <f t="shared" si="416"/>
        <v/>
      </c>
    </row>
    <row r="413">
      <c r="A413" s="1" t="s">
        <v>426</v>
      </c>
      <c r="G413" s="9" t="str">
        <f>IFERROR(__xludf.DUMMYFUNCTION("SPLIT(A413,"","")"),"./src/main/java/org/jfree/chart/title/ShortTextTitle.java")</f>
        <v>./src/main/java/org/jfree/chart/title/ShortTextTitle.java</v>
      </c>
      <c r="H413" s="9">
        <f>IFERROR(__xludf.DUMMYFUNCTION("""COMPUTED_VALUE"""),6.0)</f>
        <v>6</v>
      </c>
      <c r="I413" s="9">
        <f>IFERROR(__xludf.DUMMYFUNCTION("""COMPUTED_VALUE"""),119.0)</f>
        <v>119</v>
      </c>
      <c r="J413" s="9">
        <f>IFERROR(__xludf.DUMMYFUNCTION("""COMPUTED_VALUE"""),46.64)</f>
        <v>46.64</v>
      </c>
      <c r="Q413" s="12" t="str">
        <f t="shared" ref="Q413:S413" si="417">IF(H413&gt;M$5, $G413, "")</f>
        <v/>
      </c>
      <c r="R413" s="13" t="str">
        <f t="shared" si="417"/>
        <v/>
      </c>
      <c r="S413" s="14" t="str">
        <f t="shared" si="417"/>
        <v/>
      </c>
    </row>
    <row r="414">
      <c r="A414" s="1" t="s">
        <v>427</v>
      </c>
      <c r="G414" s="9" t="str">
        <f>IFERROR(__xludf.DUMMYFUNCTION("SPLIT(A414,"","")"),"./src/main/java/org/jfree/chart/title/TextTitle.java")</f>
        <v>./src/main/java/org/jfree/chart/title/TextTitle.java</v>
      </c>
      <c r="H414" s="9">
        <f>IFERROR(__xludf.DUMMYFUNCTION("""COMPUTED_VALUE"""),13.0)</f>
        <v>13</v>
      </c>
      <c r="I414" s="9">
        <f>IFERROR(__xludf.DUMMYFUNCTION("""COMPUTED_VALUE"""),469.0)</f>
        <v>469</v>
      </c>
      <c r="J414" s="9">
        <f>IFERROR(__xludf.DUMMYFUNCTION("""COMPUTED_VALUE"""),41.38)</f>
        <v>41.38</v>
      </c>
      <c r="Q414" s="12" t="str">
        <f t="shared" ref="Q414:S414" si="418">IF(H414&gt;M$5, $G414, "")</f>
        <v/>
      </c>
      <c r="R414" s="13" t="str">
        <f t="shared" si="418"/>
        <v>./src/main/java/org/jfree/chart/title/TextTitle.java</v>
      </c>
      <c r="S414" s="14" t="str">
        <f t="shared" si="418"/>
        <v/>
      </c>
    </row>
    <row r="415">
      <c r="A415" s="1" t="s">
        <v>428</v>
      </c>
      <c r="G415" s="9" t="str">
        <f>IFERROR(__xludf.DUMMYFUNCTION("SPLIT(A415,"","")"),"./src/main/java/org/jfree/chart/title/Title.java")</f>
        <v>./src/main/java/org/jfree/chart/title/Title.java</v>
      </c>
      <c r="H415" s="9">
        <f>IFERROR(__xludf.DUMMYFUNCTION("""COMPUTED_VALUE"""),9.0)</f>
        <v>9</v>
      </c>
      <c r="I415" s="9">
        <f>IFERROR(__xludf.DUMMYFUNCTION("""COMPUTED_VALUE"""),180.0)</f>
        <v>180</v>
      </c>
      <c r="J415" s="9">
        <f>IFERROR(__xludf.DUMMYFUNCTION("""COMPUTED_VALUE"""),54.55)</f>
        <v>54.55</v>
      </c>
      <c r="Q415" s="12" t="str">
        <f t="shared" ref="Q415:S415" si="419">IF(H415&gt;M$5, $G415, "")</f>
        <v/>
      </c>
      <c r="R415" s="13" t="str">
        <f t="shared" si="419"/>
        <v/>
      </c>
      <c r="S415" s="14" t="str">
        <f t="shared" si="419"/>
        <v/>
      </c>
    </row>
    <row r="416">
      <c r="A416" s="1" t="s">
        <v>429</v>
      </c>
      <c r="G416" s="9" t="str">
        <f>IFERROR(__xludf.DUMMYFUNCTION("SPLIT(A416,"","")"),"./src/main/java/org/jfree/chart/urls/CategoryURLGenerator.java")</f>
        <v>./src/main/java/org/jfree/chart/urls/CategoryURLGenerator.java</v>
      </c>
      <c r="H416" s="9">
        <f>IFERROR(__xludf.DUMMYFUNCTION("""COMPUTED_VALUE"""),4.0)</f>
        <v>4</v>
      </c>
      <c r="I416" s="9">
        <f>IFERROR(__xludf.DUMMYFUNCTION("""COMPUTED_VALUE"""),6.0)</f>
        <v>6</v>
      </c>
      <c r="J416" s="9">
        <f>IFERROR(__xludf.DUMMYFUNCTION("""COMPUTED_VALUE"""),91.78)</f>
        <v>91.78</v>
      </c>
      <c r="Q416" s="12" t="str">
        <f t="shared" ref="Q416:S416" si="420">IF(H416&gt;M$5, $G416, "")</f>
        <v/>
      </c>
      <c r="R416" s="13" t="str">
        <f t="shared" si="420"/>
        <v/>
      </c>
      <c r="S416" s="14" t="str">
        <f t="shared" si="420"/>
        <v/>
      </c>
    </row>
    <row r="417">
      <c r="A417" s="1" t="s">
        <v>430</v>
      </c>
      <c r="G417" s="9" t="str">
        <f>IFERROR(__xludf.DUMMYFUNCTION("SPLIT(A417,"","")"),"./src/main/java/org/jfree/chart/urls/CustomCategoryURLGenerator.java")</f>
        <v>./src/main/java/org/jfree/chart/urls/CustomCategoryURLGenerator.java</v>
      </c>
      <c r="H417" s="9">
        <f>IFERROR(__xludf.DUMMYFUNCTION("""COMPUTED_VALUE"""),5.0)</f>
        <v>5</v>
      </c>
      <c r="I417" s="9">
        <f>IFERROR(__xludf.DUMMYFUNCTION("""COMPUTED_VALUE"""),88.0)</f>
        <v>88</v>
      </c>
      <c r="J417" s="9">
        <f>IFERROR(__xludf.DUMMYFUNCTION("""COMPUTED_VALUE"""),50.84)</f>
        <v>50.84</v>
      </c>
      <c r="Q417" s="12" t="str">
        <f t="shared" ref="Q417:S417" si="421">IF(H417&gt;M$5, $G417, "")</f>
        <v/>
      </c>
      <c r="R417" s="13" t="str">
        <f t="shared" si="421"/>
        <v/>
      </c>
      <c r="S417" s="14" t="str">
        <f t="shared" si="421"/>
        <v/>
      </c>
    </row>
    <row r="418">
      <c r="A418" s="1" t="s">
        <v>431</v>
      </c>
      <c r="G418" s="9" t="str">
        <f>IFERROR(__xludf.DUMMYFUNCTION("SPLIT(A418,"","")"),"./src/main/java/org/jfree/chart/urls/CustomPieURLGenerator.java")</f>
        <v>./src/main/java/org/jfree/chart/urls/CustomPieURLGenerator.java</v>
      </c>
      <c r="H418" s="9">
        <f>IFERROR(__xludf.DUMMYFUNCTION("""COMPUTED_VALUE"""),8.0)</f>
        <v>8</v>
      </c>
      <c r="I418" s="9">
        <f>IFERROR(__xludf.DUMMYFUNCTION("""COMPUTED_VALUE"""),95.0)</f>
        <v>95</v>
      </c>
      <c r="J418" s="9">
        <f>IFERROR(__xludf.DUMMYFUNCTION("""COMPUTED_VALUE"""),53.43)</f>
        <v>53.43</v>
      </c>
      <c r="Q418" s="12" t="str">
        <f t="shared" ref="Q418:S418" si="422">IF(H418&gt;M$5, $G418, "")</f>
        <v/>
      </c>
      <c r="R418" s="13" t="str">
        <f t="shared" si="422"/>
        <v/>
      </c>
      <c r="S418" s="14" t="str">
        <f t="shared" si="422"/>
        <v/>
      </c>
    </row>
    <row r="419">
      <c r="A419" s="1" t="s">
        <v>432</v>
      </c>
      <c r="G419" s="9" t="str">
        <f>IFERROR(__xludf.DUMMYFUNCTION("SPLIT(A419,"","")"),"./src/main/java/org/jfree/chart/urls/CustomXYURLGenerator.java")</f>
        <v>./src/main/java/org/jfree/chart/urls/CustomXYURLGenerator.java</v>
      </c>
      <c r="H419" s="9">
        <f>IFERROR(__xludf.DUMMYFUNCTION("""COMPUTED_VALUE"""),4.0)</f>
        <v>4</v>
      </c>
      <c r="I419" s="9">
        <f>IFERROR(__xludf.DUMMYFUNCTION("""COMPUTED_VALUE"""),89.0)</f>
        <v>89</v>
      </c>
      <c r="J419" s="9">
        <f>IFERROR(__xludf.DUMMYFUNCTION("""COMPUTED_VALUE"""),53.89)</f>
        <v>53.89</v>
      </c>
      <c r="Q419" s="12" t="str">
        <f t="shared" ref="Q419:S419" si="423">IF(H419&gt;M$5, $G419, "")</f>
        <v/>
      </c>
      <c r="R419" s="13" t="str">
        <f t="shared" si="423"/>
        <v/>
      </c>
      <c r="S419" s="14" t="str">
        <f t="shared" si="423"/>
        <v/>
      </c>
    </row>
    <row r="420">
      <c r="A420" s="1" t="s">
        <v>433</v>
      </c>
      <c r="G420" s="9" t="str">
        <f>IFERROR(__xludf.DUMMYFUNCTION("SPLIT(A420,"","")"),"./src/main/java/org/jfree/chart/urls/PieURLGenerator.java")</f>
        <v>./src/main/java/org/jfree/chart/urls/PieURLGenerator.java</v>
      </c>
      <c r="H420" s="9">
        <f>IFERROR(__xludf.DUMMYFUNCTION("""COMPUTED_VALUE"""),5.0)</f>
        <v>5</v>
      </c>
      <c r="I420" s="9">
        <f>IFERROR(__xludf.DUMMYFUNCTION("""COMPUTED_VALUE"""),5.0)</f>
        <v>5</v>
      </c>
      <c r="J420" s="9">
        <f>IFERROR(__xludf.DUMMYFUNCTION("""COMPUTED_VALUE"""),92.19)</f>
        <v>92.19</v>
      </c>
      <c r="Q420" s="12" t="str">
        <f t="shared" ref="Q420:S420" si="424">IF(H420&gt;M$5, $G420, "")</f>
        <v/>
      </c>
      <c r="R420" s="13" t="str">
        <f t="shared" si="424"/>
        <v/>
      </c>
      <c r="S420" s="14" t="str">
        <f t="shared" si="424"/>
        <v/>
      </c>
    </row>
    <row r="421">
      <c r="A421" s="1" t="s">
        <v>434</v>
      </c>
      <c r="G421" s="9" t="str">
        <f>IFERROR(__xludf.DUMMYFUNCTION("SPLIT(A421,"","")"),"./src/main/java/org/jfree/chart/urls/StandardCategoryURLGenerator.java")</f>
        <v>./src/main/java/org/jfree/chart/urls/StandardCategoryURLGenerator.java</v>
      </c>
      <c r="H421" s="9">
        <f>IFERROR(__xludf.DUMMYFUNCTION("""COMPUTED_VALUE"""),6.0)</f>
        <v>6</v>
      </c>
      <c r="I421" s="9">
        <f>IFERROR(__xludf.DUMMYFUNCTION("""COMPUTED_VALUE"""),86.0)</f>
        <v>86</v>
      </c>
      <c r="J421" s="9">
        <f>IFERROR(__xludf.DUMMYFUNCTION("""COMPUTED_VALUE"""),51.96)</f>
        <v>51.96</v>
      </c>
      <c r="Q421" s="12" t="str">
        <f t="shared" ref="Q421:S421" si="425">IF(H421&gt;M$5, $G421, "")</f>
        <v/>
      </c>
      <c r="R421" s="13" t="str">
        <f t="shared" si="425"/>
        <v/>
      </c>
      <c r="S421" s="14" t="str">
        <f t="shared" si="425"/>
        <v/>
      </c>
    </row>
    <row r="422">
      <c r="A422" s="1" t="s">
        <v>435</v>
      </c>
      <c r="G422" s="9" t="str">
        <f>IFERROR(__xludf.DUMMYFUNCTION("SPLIT(A422,"","")"),"./src/main/java/org/jfree/chart/urls/StandardPieURLGenerator.java")</f>
        <v>./src/main/java/org/jfree/chart/urls/StandardPieURLGenerator.java</v>
      </c>
      <c r="H422" s="9">
        <f>IFERROR(__xludf.DUMMYFUNCTION("""COMPUTED_VALUE"""),6.0)</f>
        <v>6</v>
      </c>
      <c r="I422" s="9">
        <f>IFERROR(__xludf.DUMMYFUNCTION("""COMPUTED_VALUE"""),70.0)</f>
        <v>70</v>
      </c>
      <c r="J422" s="9">
        <f>IFERROR(__xludf.DUMMYFUNCTION("""COMPUTED_VALUE"""),53.64)</f>
        <v>53.64</v>
      </c>
      <c r="Q422" s="12" t="str">
        <f t="shared" ref="Q422:S422" si="426">IF(H422&gt;M$5, $G422, "")</f>
        <v/>
      </c>
      <c r="R422" s="13" t="str">
        <f t="shared" si="426"/>
        <v/>
      </c>
      <c r="S422" s="14" t="str">
        <f t="shared" si="426"/>
        <v/>
      </c>
    </row>
    <row r="423">
      <c r="A423" s="1" t="s">
        <v>436</v>
      </c>
      <c r="G423" s="9" t="str">
        <f>IFERROR(__xludf.DUMMYFUNCTION("SPLIT(A423,"","")"),"./src/main/java/org/jfree/chart/urls/StandardXYURLGenerator.java")</f>
        <v>./src/main/java/org/jfree/chart/urls/StandardXYURLGenerator.java</v>
      </c>
      <c r="H423" s="9">
        <f>IFERROR(__xludf.DUMMYFUNCTION("""COMPUTED_VALUE"""),8.0)</f>
        <v>8</v>
      </c>
      <c r="I423" s="9">
        <f>IFERROR(__xludf.DUMMYFUNCTION("""COMPUTED_VALUE"""),58.0)</f>
        <v>58</v>
      </c>
      <c r="J423" s="9">
        <f>IFERROR(__xludf.DUMMYFUNCTION("""COMPUTED_VALUE"""),58.57)</f>
        <v>58.57</v>
      </c>
      <c r="Q423" s="12" t="str">
        <f t="shared" ref="Q423:S423" si="427">IF(H423&gt;M$5, $G423, "")</f>
        <v/>
      </c>
      <c r="R423" s="13" t="str">
        <f t="shared" si="427"/>
        <v/>
      </c>
      <c r="S423" s="14" t="str">
        <f t="shared" si="427"/>
        <v/>
      </c>
    </row>
    <row r="424">
      <c r="A424" s="1" t="s">
        <v>437</v>
      </c>
      <c r="G424" s="9" t="str">
        <f>IFERROR(__xludf.DUMMYFUNCTION("SPLIT(A424,"","")"),"./src/main/java/org/jfree/chart/urls/StandardXYZURLGenerator.java")</f>
        <v>./src/main/java/org/jfree/chart/urls/StandardXYZURLGenerator.java</v>
      </c>
      <c r="H424" s="9">
        <f>IFERROR(__xludf.DUMMYFUNCTION("""COMPUTED_VALUE"""),2.0)</f>
        <v>2</v>
      </c>
      <c r="I424" s="9">
        <f>IFERROR(__xludf.DUMMYFUNCTION("""COMPUTED_VALUE"""),9.0)</f>
        <v>9</v>
      </c>
      <c r="J424" s="9">
        <f>IFERROR(__xludf.DUMMYFUNCTION("""COMPUTED_VALUE"""),85.0)</f>
        <v>85</v>
      </c>
      <c r="Q424" s="12" t="str">
        <f t="shared" ref="Q424:S424" si="428">IF(H424&gt;M$5, $G424, "")</f>
        <v/>
      </c>
      <c r="R424" s="13" t="str">
        <f t="shared" si="428"/>
        <v/>
      </c>
      <c r="S424" s="14" t="str">
        <f t="shared" si="428"/>
        <v/>
      </c>
    </row>
    <row r="425">
      <c r="A425" s="1" t="s">
        <v>438</v>
      </c>
      <c r="G425" s="9" t="str">
        <f>IFERROR(__xludf.DUMMYFUNCTION("SPLIT(A425,"","")"),"./src/main/java/org/jfree/chart/urls/TimeSeriesURLGenerator.java")</f>
        <v>./src/main/java/org/jfree/chart/urls/TimeSeriesURLGenerator.java</v>
      </c>
      <c r="H425" s="9">
        <f>IFERROR(__xludf.DUMMYFUNCTION("""COMPUTED_VALUE"""),5.0)</f>
        <v>5</v>
      </c>
      <c r="I425" s="9">
        <f>IFERROR(__xludf.DUMMYFUNCTION("""COMPUTED_VALUE"""),90.0)</f>
        <v>90</v>
      </c>
      <c r="J425" s="9">
        <f>IFERROR(__xludf.DUMMYFUNCTION("""COMPUTED_VALUE"""),50.82)</f>
        <v>50.82</v>
      </c>
      <c r="Q425" s="12" t="str">
        <f t="shared" ref="Q425:S425" si="429">IF(H425&gt;M$5, $G425, "")</f>
        <v/>
      </c>
      <c r="R425" s="13" t="str">
        <f t="shared" si="429"/>
        <v/>
      </c>
      <c r="S425" s="14" t="str">
        <f t="shared" si="429"/>
        <v/>
      </c>
    </row>
    <row r="426">
      <c r="A426" s="1" t="s">
        <v>439</v>
      </c>
      <c r="G426" s="9" t="str">
        <f>IFERROR(__xludf.DUMMYFUNCTION("SPLIT(A426,"","")"),"./src/main/java/org/jfree/chart/urls/XYURLGenerator.java")</f>
        <v>./src/main/java/org/jfree/chart/urls/XYURLGenerator.java</v>
      </c>
      <c r="H426" s="9">
        <f>IFERROR(__xludf.DUMMYFUNCTION("""COMPUTED_VALUE"""),3.0)</f>
        <v>3</v>
      </c>
      <c r="I426" s="9">
        <f>IFERROR(__xludf.DUMMYFUNCTION("""COMPUTED_VALUE"""),5.0)</f>
        <v>5</v>
      </c>
      <c r="J426" s="9">
        <f>IFERROR(__xludf.DUMMYFUNCTION("""COMPUTED_VALUE"""),92.42)</f>
        <v>92.42</v>
      </c>
      <c r="Q426" s="12" t="str">
        <f t="shared" ref="Q426:S426" si="430">IF(H426&gt;M$5, $G426, "")</f>
        <v/>
      </c>
      <c r="R426" s="13" t="str">
        <f t="shared" si="430"/>
        <v/>
      </c>
      <c r="S426" s="14" t="str">
        <f t="shared" si="430"/>
        <v/>
      </c>
    </row>
    <row r="427">
      <c r="A427" s="1" t="s">
        <v>440</v>
      </c>
      <c r="G427" s="9" t="str">
        <f>IFERROR(__xludf.DUMMYFUNCTION("SPLIT(A427,"","")"),"./src/main/java/org/jfree/chart/urls/XYZURLGenerator.java")</f>
        <v>./src/main/java/org/jfree/chart/urls/XYZURLGenerator.java</v>
      </c>
      <c r="H427" s="9">
        <f>IFERROR(__xludf.DUMMYFUNCTION("""COMPUTED_VALUE"""),3.0)</f>
        <v>3</v>
      </c>
      <c r="I427" s="9">
        <f>IFERROR(__xludf.DUMMYFUNCTION("""COMPUTED_VALUE"""),5.0)</f>
        <v>5</v>
      </c>
      <c r="J427" s="9">
        <f>IFERROR(__xludf.DUMMYFUNCTION("""COMPUTED_VALUE"""),91.8)</f>
        <v>91.8</v>
      </c>
      <c r="Q427" s="12" t="str">
        <f t="shared" ref="Q427:S427" si="431">IF(H427&gt;M$5, $G427, "")</f>
        <v/>
      </c>
      <c r="R427" s="13" t="str">
        <f t="shared" si="431"/>
        <v/>
      </c>
      <c r="S427" s="14" t="str">
        <f t="shared" si="431"/>
        <v/>
      </c>
    </row>
    <row r="428">
      <c r="A428" s="1" t="s">
        <v>441</v>
      </c>
      <c r="G428" s="9" t="str">
        <f>IFERROR(__xludf.DUMMYFUNCTION("SPLIT(A428,"","")"),"./src/main/java/org/jfree/chart/util/AttrStringUtils.java")</f>
        <v>./src/main/java/org/jfree/chart/util/AttrStringUtils.java</v>
      </c>
      <c r="H428" s="9">
        <f>IFERROR(__xludf.DUMMYFUNCTION("""COMPUTED_VALUE"""),8.0)</f>
        <v>8</v>
      </c>
      <c r="I428" s="9">
        <f>IFERROR(__xludf.DUMMYFUNCTION("""COMPUTED_VALUE"""),182.0)</f>
        <v>182</v>
      </c>
      <c r="J428" s="9">
        <f>IFERROR(__xludf.DUMMYFUNCTION("""COMPUTED_VALUE"""),39.13)</f>
        <v>39.13</v>
      </c>
      <c r="Q428" s="12" t="str">
        <f t="shared" ref="Q428:S428" si="432">IF(H428&gt;M$5, $G428, "")</f>
        <v/>
      </c>
      <c r="R428" s="13" t="str">
        <f t="shared" si="432"/>
        <v/>
      </c>
      <c r="S428" s="14" t="str">
        <f t="shared" si="432"/>
        <v/>
      </c>
    </row>
    <row r="429">
      <c r="A429" s="1" t="s">
        <v>442</v>
      </c>
      <c r="G429" s="9" t="str">
        <f>IFERROR(__xludf.DUMMYFUNCTION("SPLIT(A429,"","")"),"./src/main/java/org/jfree/chart/util/DefaultShadowGenerator.java")</f>
        <v>./src/main/java/org/jfree/chart/util/DefaultShadowGenerator.java</v>
      </c>
      <c r="H429" s="9">
        <f>IFERROR(__xludf.DUMMYFUNCTION("""COMPUTED_VALUE"""),8.0)</f>
        <v>8</v>
      </c>
      <c r="I429" s="9">
        <f>IFERROR(__xludf.DUMMYFUNCTION("""COMPUTED_VALUE"""),158.0)</f>
        <v>158</v>
      </c>
      <c r="J429" s="9">
        <f>IFERROR(__xludf.DUMMYFUNCTION("""COMPUTED_VALUE"""),44.37)</f>
        <v>44.37</v>
      </c>
      <c r="Q429" s="12" t="str">
        <f t="shared" ref="Q429:S429" si="433">IF(H429&gt;M$5, $G429, "")</f>
        <v/>
      </c>
      <c r="R429" s="13" t="str">
        <f t="shared" si="433"/>
        <v/>
      </c>
      <c r="S429" s="14" t="str">
        <f t="shared" si="433"/>
        <v/>
      </c>
    </row>
    <row r="430">
      <c r="A430" s="1" t="s">
        <v>443</v>
      </c>
      <c r="G430" s="9" t="str">
        <f>IFERROR(__xludf.DUMMYFUNCTION("SPLIT(A430,"","")"),"./src/main/java/org/jfree/chart/util/DirectionalGradientPaintTransformer.java")</f>
        <v>./src/main/java/org/jfree/chart/util/DirectionalGradientPaintTransformer.java</v>
      </c>
      <c r="H430" s="9">
        <f>IFERROR(__xludf.DUMMYFUNCTION("""COMPUTED_VALUE"""),6.0)</f>
        <v>6</v>
      </c>
      <c r="I430" s="9">
        <f>IFERROR(__xludf.DUMMYFUNCTION("""COMPUTED_VALUE"""),48.0)</f>
        <v>48</v>
      </c>
      <c r="J430" s="9">
        <f>IFERROR(__xludf.DUMMYFUNCTION("""COMPUTED_VALUE"""),61.6)</f>
        <v>61.6</v>
      </c>
      <c r="Q430" s="12" t="str">
        <f t="shared" ref="Q430:S430" si="434">IF(H430&gt;M$5, $G430, "")</f>
        <v/>
      </c>
      <c r="R430" s="13" t="str">
        <f t="shared" si="434"/>
        <v/>
      </c>
      <c r="S430" s="14" t="str">
        <f t="shared" si="434"/>
        <v/>
      </c>
    </row>
    <row r="431">
      <c r="A431" s="1" t="s">
        <v>444</v>
      </c>
      <c r="G431" s="9" t="str">
        <f>IFERROR(__xludf.DUMMYFUNCTION("SPLIT(A431,"","")"),"./src/main/java/org/jfree/chart/util/ExportUtils.java")</f>
        <v>./src/main/java/org/jfree/chart/util/ExportUtils.java</v>
      </c>
      <c r="H431" s="9">
        <f>IFERROR(__xludf.DUMMYFUNCTION("""COMPUTED_VALUE"""),12.0)</f>
        <v>12</v>
      </c>
      <c r="I431" s="9">
        <f>IFERROR(__xludf.DUMMYFUNCTION("""COMPUTED_VALUE"""),112.0)</f>
        <v>112</v>
      </c>
      <c r="J431" s="9">
        <f>IFERROR(__xludf.DUMMYFUNCTION("""COMPUTED_VALUE"""),46.92)</f>
        <v>46.92</v>
      </c>
      <c r="Q431" s="12" t="str">
        <f t="shared" ref="Q431:S431" si="435">IF(H431&gt;M$5, $G431, "")</f>
        <v/>
      </c>
      <c r="R431" s="13" t="str">
        <f t="shared" si="435"/>
        <v/>
      </c>
      <c r="S431" s="14" t="str">
        <f t="shared" si="435"/>
        <v/>
      </c>
    </row>
    <row r="432">
      <c r="A432" s="1" t="s">
        <v>445</v>
      </c>
      <c r="G432" s="9" t="str">
        <f>IFERROR(__xludf.DUMMYFUNCTION("SPLIT(A432,"","")"),"./src/main/java/org/jfree/chart/util/GradientPaintTransformer.java")</f>
        <v>./src/main/java/org/jfree/chart/util/GradientPaintTransformer.java</v>
      </c>
      <c r="H432" s="9">
        <f>IFERROR(__xludf.DUMMYFUNCTION("""COMPUTED_VALUE"""),2.0)</f>
        <v>2</v>
      </c>
      <c r="I432" s="9">
        <f>IFERROR(__xludf.DUMMYFUNCTION("""COMPUTED_VALUE"""),6.0)</f>
        <v>6</v>
      </c>
      <c r="J432" s="9">
        <f>IFERROR(__xludf.DUMMYFUNCTION("""COMPUTED_VALUE"""),87.23)</f>
        <v>87.23</v>
      </c>
      <c r="Q432" s="12" t="str">
        <f t="shared" ref="Q432:S432" si="436">IF(H432&gt;M$5, $G432, "")</f>
        <v/>
      </c>
      <c r="R432" s="13" t="str">
        <f t="shared" si="436"/>
        <v/>
      </c>
      <c r="S432" s="14" t="str">
        <f t="shared" si="436"/>
        <v/>
      </c>
    </row>
    <row r="433">
      <c r="A433" s="1" t="s">
        <v>446</v>
      </c>
      <c r="G433" s="9" t="str">
        <f>IFERROR(__xludf.DUMMYFUNCTION("SPLIT(A433,"","")"),"./src/main/java/org/jfree/chart/util/GradientPaintTransformType.java")</f>
        <v>./src/main/java/org/jfree/chart/util/GradientPaintTransformType.java</v>
      </c>
      <c r="H433" s="9">
        <f>IFERROR(__xludf.DUMMYFUNCTION("""COMPUTED_VALUE"""),2.0)</f>
        <v>2</v>
      </c>
      <c r="I433" s="9">
        <f>IFERROR(__xludf.DUMMYFUNCTION("""COMPUTED_VALUE"""),7.0)</f>
        <v>7</v>
      </c>
      <c r="J433" s="9">
        <f>IFERROR(__xludf.DUMMYFUNCTION("""COMPUTED_VALUE"""),82.5)</f>
        <v>82.5</v>
      </c>
      <c r="Q433" s="12" t="str">
        <f t="shared" ref="Q433:S433" si="437">IF(H433&gt;M$5, $G433, "")</f>
        <v/>
      </c>
      <c r="R433" s="13" t="str">
        <f t="shared" si="437"/>
        <v/>
      </c>
      <c r="S433" s="14" t="str">
        <f t="shared" si="437"/>
        <v/>
      </c>
    </row>
    <row r="434">
      <c r="A434" s="1" t="s">
        <v>447</v>
      </c>
      <c r="G434" s="9" t="str">
        <f>IFERROR(__xludf.DUMMYFUNCTION("SPLIT(A434,"","")"),"./src/main/java/org/jfree/chart/util/PaintAlpha.java")</f>
        <v>./src/main/java/org/jfree/chart/util/PaintAlpha.java</v>
      </c>
      <c r="H434" s="9">
        <f>IFERROR(__xludf.DUMMYFUNCTION("""COMPUTED_VALUE"""),5.0)</f>
        <v>5</v>
      </c>
      <c r="I434" s="9">
        <f>IFERROR(__xludf.DUMMYFUNCTION("""COMPUTED_VALUE"""),144.0)</f>
        <v>144</v>
      </c>
      <c r="J434" s="9">
        <f>IFERROR(__xludf.DUMMYFUNCTION("""COMPUTED_VALUE"""),59.44)</f>
        <v>59.44</v>
      </c>
      <c r="Q434" s="12" t="str">
        <f t="shared" ref="Q434:S434" si="438">IF(H434&gt;M$5, $G434, "")</f>
        <v/>
      </c>
      <c r="R434" s="13" t="str">
        <f t="shared" si="438"/>
        <v/>
      </c>
      <c r="S434" s="14" t="str">
        <f t="shared" si="438"/>
        <v/>
      </c>
    </row>
    <row r="435">
      <c r="A435" s="1" t="s">
        <v>448</v>
      </c>
      <c r="G435" s="9" t="str">
        <f>IFERROR(__xludf.DUMMYFUNCTION("SPLIT(A435,"","")"),"./src/main/java/org/jfree/chart/util/ShadowGenerator.java")</f>
        <v>./src/main/java/org/jfree/chart/util/ShadowGenerator.java</v>
      </c>
      <c r="H435" s="9">
        <f>IFERROR(__xludf.DUMMYFUNCTION("""COMPUTED_VALUE"""),4.0)</f>
        <v>4</v>
      </c>
      <c r="I435" s="9">
        <f>IFERROR(__xludf.DUMMYFUNCTION("""COMPUTED_VALUE"""),7.0)</f>
        <v>7</v>
      </c>
      <c r="J435" s="9">
        <f>IFERROR(__xludf.DUMMYFUNCTION("""COMPUTED_VALUE"""),89.71)</f>
        <v>89.71</v>
      </c>
      <c r="Q435" s="12" t="str">
        <f t="shared" ref="Q435:S435" si="439">IF(H435&gt;M$5, $G435, "")</f>
        <v/>
      </c>
      <c r="R435" s="13" t="str">
        <f t="shared" si="439"/>
        <v/>
      </c>
      <c r="S435" s="14" t="str">
        <f t="shared" si="439"/>
        <v/>
      </c>
    </row>
    <row r="436">
      <c r="A436" s="1" t="s">
        <v>449</v>
      </c>
      <c r="G436" s="9" t="str">
        <f>IFERROR(__xludf.DUMMYFUNCTION("SPLIT(A436,"","")"),"./src/main/java/org/jfree/chart/util/StandardGradientPaintTransformer.java")</f>
        <v>./src/main/java/org/jfree/chart/util/StandardGradientPaintTransformer.java</v>
      </c>
      <c r="H436" s="9">
        <f>IFERROR(__xludf.DUMMYFUNCTION("""COMPUTED_VALUE"""),2.0)</f>
        <v>2</v>
      </c>
      <c r="I436" s="9">
        <f>IFERROR(__xludf.DUMMYFUNCTION("""COMPUTED_VALUE"""),79.0)</f>
        <v>79</v>
      </c>
      <c r="J436" s="9">
        <f>IFERROR(__xludf.DUMMYFUNCTION("""COMPUTED_VALUE"""),49.36)</f>
        <v>49.36</v>
      </c>
      <c r="Q436" s="12" t="str">
        <f t="shared" ref="Q436:S436" si="440">IF(H436&gt;M$5, $G436, "")</f>
        <v/>
      </c>
      <c r="R436" s="13" t="str">
        <f t="shared" si="440"/>
        <v/>
      </c>
      <c r="S436" s="14" t="str">
        <f t="shared" si="440"/>
        <v/>
      </c>
    </row>
    <row r="437">
      <c r="A437" s="1" t="s">
        <v>450</v>
      </c>
      <c r="G437" s="9" t="str">
        <f>IFERROR(__xludf.DUMMYFUNCTION("SPLIT(A437,"","")"),"./src/main/java/org/jfree/chart/util/StringUtils.java")</f>
        <v>./src/main/java/org/jfree/chart/util/StringUtils.java</v>
      </c>
      <c r="H437" s="9">
        <f>IFERROR(__xludf.DUMMYFUNCTION("""COMPUTED_VALUE"""),5.0)</f>
        <v>5</v>
      </c>
      <c r="I437" s="9">
        <f>IFERROR(__xludf.DUMMYFUNCTION("""COMPUTED_VALUE"""),25.0)</f>
        <v>25</v>
      </c>
      <c r="J437" s="9">
        <f>IFERROR(__xludf.DUMMYFUNCTION("""COMPUTED_VALUE"""),71.26)</f>
        <v>71.26</v>
      </c>
      <c r="Q437" s="12" t="str">
        <f t="shared" ref="Q437:S437" si="441">IF(H437&gt;M$5, $G437, "")</f>
        <v/>
      </c>
      <c r="R437" s="13" t="str">
        <f t="shared" si="441"/>
        <v/>
      </c>
      <c r="S437" s="14" t="str">
        <f t="shared" si="441"/>
        <v/>
      </c>
    </row>
    <row r="438">
      <c r="A438" s="1" t="s">
        <v>451</v>
      </c>
      <c r="G438" s="9" t="str">
        <f>IFERROR(__xludf.DUMMYFUNCTION("SPLIT(A438,"","")"),"./src/main/java/org/jfree/data/category/CategoryDataset.java")</f>
        <v>./src/main/java/org/jfree/data/category/CategoryDataset.java</v>
      </c>
      <c r="H438" s="9">
        <f>IFERROR(__xludf.DUMMYFUNCTION("""COMPUTED_VALUE"""),4.0)</f>
        <v>4</v>
      </c>
      <c r="I438" s="9">
        <f>IFERROR(__xludf.DUMMYFUNCTION("""COMPUTED_VALUE"""),6.0)</f>
        <v>6</v>
      </c>
      <c r="J438" s="9">
        <f>IFERROR(__xludf.DUMMYFUNCTION("""COMPUTED_VALUE"""),90.77)</f>
        <v>90.77</v>
      </c>
      <c r="Q438" s="12" t="str">
        <f t="shared" ref="Q438:S438" si="442">IF(H438&gt;M$5, $G438, "")</f>
        <v/>
      </c>
      <c r="R438" s="13" t="str">
        <f t="shared" si="442"/>
        <v/>
      </c>
      <c r="S438" s="14" t="str">
        <f t="shared" si="442"/>
        <v/>
      </c>
    </row>
    <row r="439">
      <c r="A439" s="1" t="s">
        <v>452</v>
      </c>
      <c r="G439" s="9" t="str">
        <f>IFERROR(__xludf.DUMMYFUNCTION("SPLIT(A439,"","")"),"./src/main/java/org/jfree/data/category/CategoryRangeInfo.java")</f>
        <v>./src/main/java/org/jfree/data/category/CategoryRangeInfo.java</v>
      </c>
      <c r="H439" s="9">
        <f>IFERROR(__xludf.DUMMYFUNCTION("""COMPUTED_VALUE"""),3.0)</f>
        <v>3</v>
      </c>
      <c r="I439" s="9">
        <f>IFERROR(__xludf.DUMMYFUNCTION("""COMPUTED_VALUE"""),7.0)</f>
        <v>7</v>
      </c>
      <c r="J439" s="9">
        <f>IFERROR(__xludf.DUMMYFUNCTION("""COMPUTED_VALUE"""),88.71)</f>
        <v>88.71</v>
      </c>
      <c r="Q439" s="12" t="str">
        <f t="shared" ref="Q439:S439" si="443">IF(H439&gt;M$5, $G439, "")</f>
        <v/>
      </c>
      <c r="R439" s="13" t="str">
        <f t="shared" si="443"/>
        <v/>
      </c>
      <c r="S439" s="14" t="str">
        <f t="shared" si="443"/>
        <v/>
      </c>
    </row>
    <row r="440">
      <c r="A440" s="1" t="s">
        <v>453</v>
      </c>
      <c r="G440" s="9" t="str">
        <f>IFERROR(__xludf.DUMMYFUNCTION("SPLIT(A440,"","")"),"./src/main/java/org/jfree/data/category/CategoryToPieDataset.java")</f>
        <v>./src/main/java/org/jfree/data/category/CategoryToPieDataset.java</v>
      </c>
      <c r="H440" s="9">
        <f>IFERROR(__xludf.DUMMYFUNCTION("""COMPUTED_VALUE"""),8.0)</f>
        <v>8</v>
      </c>
      <c r="I440" s="9">
        <f>IFERROR(__xludf.DUMMYFUNCTION("""COMPUTED_VALUE"""),155.0)</f>
        <v>155</v>
      </c>
      <c r="J440" s="9">
        <f>IFERROR(__xludf.DUMMYFUNCTION("""COMPUTED_VALUE"""),48.68)</f>
        <v>48.68</v>
      </c>
      <c r="Q440" s="12" t="str">
        <f t="shared" ref="Q440:S440" si="444">IF(H440&gt;M$5, $G440, "")</f>
        <v/>
      </c>
      <c r="R440" s="13" t="str">
        <f t="shared" si="444"/>
        <v/>
      </c>
      <c r="S440" s="14" t="str">
        <f t="shared" si="444"/>
        <v/>
      </c>
    </row>
    <row r="441">
      <c r="A441" s="1" t="s">
        <v>454</v>
      </c>
      <c r="G441" s="9" t="str">
        <f>IFERROR(__xludf.DUMMYFUNCTION("SPLIT(A441,"","")"),"./src/main/java/org/jfree/data/category/DefaultCategoryDataset.java")</f>
        <v>./src/main/java/org/jfree/data/category/DefaultCategoryDataset.java</v>
      </c>
      <c r="H441" s="9">
        <f>IFERROR(__xludf.DUMMYFUNCTION("""COMPUTED_VALUE"""),7.0)</f>
        <v>7</v>
      </c>
      <c r="I441" s="9">
        <f>IFERROR(__xludf.DUMMYFUNCTION("""COMPUTED_VALUE"""),146.0)</f>
        <v>146</v>
      </c>
      <c r="J441" s="9">
        <f>IFERROR(__xludf.DUMMYFUNCTION("""COMPUTED_VALUE"""),64.56)</f>
        <v>64.56</v>
      </c>
      <c r="Q441" s="12" t="str">
        <f t="shared" ref="Q441:S441" si="445">IF(H441&gt;M$5, $G441, "")</f>
        <v/>
      </c>
      <c r="R441" s="13" t="str">
        <f t="shared" si="445"/>
        <v/>
      </c>
      <c r="S441" s="14" t="str">
        <f t="shared" si="445"/>
        <v/>
      </c>
    </row>
    <row r="442">
      <c r="A442" s="1" t="s">
        <v>455</v>
      </c>
      <c r="G442" s="9" t="str">
        <f>IFERROR(__xludf.DUMMYFUNCTION("SPLIT(A442,"","")"),"./src/main/java/org/jfree/data/category/DefaultIntervalCategoryDataset.java")</f>
        <v>./src/main/java/org/jfree/data/category/DefaultIntervalCategoryDataset.java</v>
      </c>
      <c r="H442" s="9">
        <f>IFERROR(__xludf.DUMMYFUNCTION("""COMPUTED_VALUE"""),8.0)</f>
        <v>8</v>
      </c>
      <c r="I442" s="9">
        <f>IFERROR(__xludf.DUMMYFUNCTION("""COMPUTED_VALUE"""),380.0)</f>
        <v>380</v>
      </c>
      <c r="J442" s="9">
        <f>IFERROR(__xludf.DUMMYFUNCTION("""COMPUTED_VALUE"""),48.79)</f>
        <v>48.79</v>
      </c>
      <c r="Q442" s="12" t="str">
        <f t="shared" ref="Q442:S442" si="446">IF(H442&gt;M$5, $G442, "")</f>
        <v/>
      </c>
      <c r="R442" s="13" t="str">
        <f t="shared" si="446"/>
        <v/>
      </c>
      <c r="S442" s="14" t="str">
        <f t="shared" si="446"/>
        <v/>
      </c>
    </row>
    <row r="443">
      <c r="A443" s="1" t="s">
        <v>456</v>
      </c>
      <c r="G443" s="9" t="str">
        <f>IFERROR(__xludf.DUMMYFUNCTION("SPLIT(A443,"","")"),"./src/main/java/org/jfree/data/category/IntervalCategoryDataset.java")</f>
        <v>./src/main/java/org/jfree/data/category/IntervalCategoryDataset.java</v>
      </c>
      <c r="H443" s="9">
        <f>IFERROR(__xludf.DUMMYFUNCTION("""COMPUTED_VALUE"""),5.0)</f>
        <v>5</v>
      </c>
      <c r="I443" s="9">
        <f>IFERROR(__xludf.DUMMYFUNCTION("""COMPUTED_VALUE"""),8.0)</f>
        <v>8</v>
      </c>
      <c r="J443" s="9">
        <f>IFERROR(__xludf.DUMMYFUNCTION("""COMPUTED_VALUE"""),90.8)</f>
        <v>90.8</v>
      </c>
      <c r="Q443" s="12" t="str">
        <f t="shared" ref="Q443:S443" si="447">IF(H443&gt;M$5, $G443, "")</f>
        <v/>
      </c>
      <c r="R443" s="13" t="str">
        <f t="shared" si="447"/>
        <v/>
      </c>
      <c r="S443" s="14" t="str">
        <f t="shared" si="447"/>
        <v/>
      </c>
    </row>
    <row r="444">
      <c r="A444" s="1" t="s">
        <v>457</v>
      </c>
      <c r="G444" s="9" t="str">
        <f>IFERROR(__xludf.DUMMYFUNCTION("SPLIT(A444,"","")"),"./src/main/java/org/jfree/data/category/SlidingCategoryDataset.java")</f>
        <v>./src/main/java/org/jfree/data/category/SlidingCategoryDataset.java</v>
      </c>
      <c r="H444" s="9">
        <f>IFERROR(__xludf.DUMMYFUNCTION("""COMPUTED_VALUE"""),8.0)</f>
        <v>8</v>
      </c>
      <c r="I444" s="9">
        <f>IFERROR(__xludf.DUMMYFUNCTION("""COMPUTED_VALUE"""),152.0)</f>
        <v>152</v>
      </c>
      <c r="J444" s="9">
        <f>IFERROR(__xludf.DUMMYFUNCTION("""COMPUTED_VALUE"""),56.32)</f>
        <v>56.32</v>
      </c>
      <c r="Q444" s="12" t="str">
        <f t="shared" ref="Q444:S444" si="448">IF(H444&gt;M$5, $G444, "")</f>
        <v/>
      </c>
      <c r="R444" s="13" t="str">
        <f t="shared" si="448"/>
        <v/>
      </c>
      <c r="S444" s="14" t="str">
        <f t="shared" si="448"/>
        <v/>
      </c>
    </row>
    <row r="445">
      <c r="A445" s="1" t="s">
        <v>458</v>
      </c>
      <c r="G445" s="9" t="str">
        <f>IFERROR(__xludf.DUMMYFUNCTION("SPLIT(A445,"","")"),"./src/main/java/org/jfree/data/ComparableObjectItem.java")</f>
        <v>./src/main/java/org/jfree/data/ComparableObjectItem.java</v>
      </c>
      <c r="H445" s="9">
        <f>IFERROR(__xludf.DUMMYFUNCTION("""COMPUTED_VALUE"""),8.0)</f>
        <v>8</v>
      </c>
      <c r="I445" s="9">
        <f>IFERROR(__xludf.DUMMYFUNCTION("""COMPUTED_VALUE"""),56.0)</f>
        <v>56</v>
      </c>
      <c r="J445" s="9">
        <f>IFERROR(__xludf.DUMMYFUNCTION("""COMPUTED_VALUE"""),63.4)</f>
        <v>63.4</v>
      </c>
      <c r="Q445" s="12" t="str">
        <f t="shared" ref="Q445:S445" si="449">IF(H445&gt;M$5, $G445, "")</f>
        <v/>
      </c>
      <c r="R445" s="13" t="str">
        <f t="shared" si="449"/>
        <v/>
      </c>
      <c r="S445" s="14" t="str">
        <f t="shared" si="449"/>
        <v/>
      </c>
    </row>
    <row r="446">
      <c r="A446" s="1" t="s">
        <v>459</v>
      </c>
      <c r="G446" s="9" t="str">
        <f>IFERROR(__xludf.DUMMYFUNCTION("SPLIT(A446,"","")"),"./src/main/java/org/jfree/data/ComparableObjectSeries.java")</f>
        <v>./src/main/java/org/jfree/data/ComparableObjectSeries.java</v>
      </c>
      <c r="H446" s="9">
        <f>IFERROR(__xludf.DUMMYFUNCTION("""COMPUTED_VALUE"""),12.0)</f>
        <v>12</v>
      </c>
      <c r="I446" s="9">
        <f>IFERROR(__xludf.DUMMYFUNCTION("""COMPUTED_VALUE"""),209.0)</f>
        <v>209</v>
      </c>
      <c r="J446" s="9">
        <f>IFERROR(__xludf.DUMMYFUNCTION("""COMPUTED_VALUE"""),50.94)</f>
        <v>50.94</v>
      </c>
      <c r="Q446" s="12" t="str">
        <f t="shared" ref="Q446:S446" si="450">IF(H446&gt;M$5, $G446, "")</f>
        <v/>
      </c>
      <c r="R446" s="13" t="str">
        <f t="shared" si="450"/>
        <v/>
      </c>
      <c r="S446" s="14" t="str">
        <f t="shared" si="450"/>
        <v/>
      </c>
    </row>
    <row r="447">
      <c r="A447" s="1" t="s">
        <v>460</v>
      </c>
      <c r="G447" s="9" t="str">
        <f>IFERROR(__xludf.DUMMYFUNCTION("SPLIT(A447,"","")"),"./src/main/java/org/jfree/data/DataUtils.java")</f>
        <v>./src/main/java/org/jfree/data/DataUtils.java</v>
      </c>
      <c r="H447" s="9">
        <f>IFERROR(__xludf.DUMMYFUNCTION("""COMPUTED_VALUE"""),7.0)</f>
        <v>7</v>
      </c>
      <c r="I447" s="9">
        <f>IFERROR(__xludf.DUMMYFUNCTION("""COMPUTED_VALUE"""),126.0)</f>
        <v>126</v>
      </c>
      <c r="J447" s="9">
        <f>IFERROR(__xludf.DUMMYFUNCTION("""COMPUTED_VALUE"""),48.99)</f>
        <v>48.99</v>
      </c>
      <c r="Q447" s="12" t="str">
        <f t="shared" ref="Q447:S447" si="451">IF(H447&gt;M$5, $G447, "")</f>
        <v/>
      </c>
      <c r="R447" s="13" t="str">
        <f t="shared" si="451"/>
        <v/>
      </c>
      <c r="S447" s="14" t="str">
        <f t="shared" si="451"/>
        <v/>
      </c>
    </row>
    <row r="448">
      <c r="A448" s="1" t="s">
        <v>461</v>
      </c>
      <c r="G448" s="9" t="str">
        <f>IFERROR(__xludf.DUMMYFUNCTION("SPLIT(A448,"","")"),"./src/main/java/org/jfree/data/DefaultKeyedValue.java")</f>
        <v>./src/main/java/org/jfree/data/DefaultKeyedValue.java</v>
      </c>
      <c r="H448" s="9">
        <f>IFERROR(__xludf.DUMMYFUNCTION("""COMPUTED_VALUE"""),7.0)</f>
        <v>7</v>
      </c>
      <c r="I448" s="9">
        <f>IFERROR(__xludf.DUMMYFUNCTION("""COMPUTED_VALUE"""),56.0)</f>
        <v>56</v>
      </c>
      <c r="J448" s="9">
        <f>IFERROR(__xludf.DUMMYFUNCTION("""COMPUTED_VALUE"""),62.42)</f>
        <v>62.42</v>
      </c>
      <c r="Q448" s="12" t="str">
        <f t="shared" ref="Q448:S448" si="452">IF(H448&gt;M$5, $G448, "")</f>
        <v/>
      </c>
      <c r="R448" s="13" t="str">
        <f t="shared" si="452"/>
        <v/>
      </c>
      <c r="S448" s="14" t="str">
        <f t="shared" si="452"/>
        <v/>
      </c>
    </row>
    <row r="449">
      <c r="A449" s="1" t="s">
        <v>462</v>
      </c>
      <c r="G449" s="9" t="str">
        <f>IFERROR(__xludf.DUMMYFUNCTION("SPLIT(A449,"","")"),"./src/main/java/org/jfree/data/DefaultKeyedValues.java")</f>
        <v>./src/main/java/org/jfree/data/DefaultKeyedValues.java</v>
      </c>
      <c r="H449" s="9">
        <f>IFERROR(__xludf.DUMMYFUNCTION("""COMPUTED_VALUE"""),9.0)</f>
        <v>9</v>
      </c>
      <c r="I449" s="9">
        <f>IFERROR(__xludf.DUMMYFUNCTION("""COMPUTED_VALUE"""),203.0)</f>
        <v>203</v>
      </c>
      <c r="J449" s="9">
        <f>IFERROR(__xludf.DUMMYFUNCTION("""COMPUTED_VALUE"""),50.85)</f>
        <v>50.85</v>
      </c>
      <c r="Q449" s="12" t="str">
        <f t="shared" ref="Q449:S449" si="453">IF(H449&gt;M$5, $G449, "")</f>
        <v/>
      </c>
      <c r="R449" s="13" t="str">
        <f t="shared" si="453"/>
        <v/>
      </c>
      <c r="S449" s="14" t="str">
        <f t="shared" si="453"/>
        <v/>
      </c>
    </row>
    <row r="450">
      <c r="A450" s="1" t="s">
        <v>463</v>
      </c>
      <c r="G450" s="9" t="str">
        <f>IFERROR(__xludf.DUMMYFUNCTION("SPLIT(A450,"","")"),"./src/main/java/org/jfree/data/DefaultKeyedValues2D.java")</f>
        <v>./src/main/java/org/jfree/data/DefaultKeyedValues2D.java</v>
      </c>
      <c r="H450" s="9">
        <f>IFERROR(__xludf.DUMMYFUNCTION("""COMPUTED_VALUE"""),13.0)</f>
        <v>13</v>
      </c>
      <c r="I450" s="9">
        <f>IFERROR(__xludf.DUMMYFUNCTION("""COMPUTED_VALUE"""),255.0)</f>
        <v>255</v>
      </c>
      <c r="J450" s="9">
        <f>IFERROR(__xludf.DUMMYFUNCTION("""COMPUTED_VALUE"""),49.7)</f>
        <v>49.7</v>
      </c>
      <c r="Q450" s="12" t="str">
        <f t="shared" ref="Q450:S450" si="454">IF(H450&gt;M$5, $G450, "")</f>
        <v/>
      </c>
      <c r="R450" s="13" t="str">
        <f t="shared" si="454"/>
        <v/>
      </c>
      <c r="S450" s="14" t="str">
        <f t="shared" si="454"/>
        <v/>
      </c>
    </row>
    <row r="451">
      <c r="A451" s="1" t="s">
        <v>464</v>
      </c>
      <c r="G451" s="9" t="str">
        <f>IFERROR(__xludf.DUMMYFUNCTION("SPLIT(A451,"","")"),"./src/main/java/org/jfree/data/DomainInfo.java")</f>
        <v>./src/main/java/org/jfree/data/DomainInfo.java</v>
      </c>
      <c r="H451" s="9">
        <f>IFERROR(__xludf.DUMMYFUNCTION("""COMPUTED_VALUE"""),5.0)</f>
        <v>5</v>
      </c>
      <c r="I451" s="9">
        <f>IFERROR(__xludf.DUMMYFUNCTION("""COMPUTED_VALUE"""),6.0)</f>
        <v>6</v>
      </c>
      <c r="J451" s="9">
        <f>IFERROR(__xludf.DUMMYFUNCTION("""COMPUTED_VALUE"""),91.89)</f>
        <v>91.89</v>
      </c>
      <c r="Q451" s="12" t="str">
        <f t="shared" ref="Q451:S451" si="455">IF(H451&gt;M$5, $G451, "")</f>
        <v/>
      </c>
      <c r="R451" s="13" t="str">
        <f t="shared" si="455"/>
        <v/>
      </c>
      <c r="S451" s="14" t="str">
        <f t="shared" si="455"/>
        <v/>
      </c>
    </row>
    <row r="452">
      <c r="A452" s="1" t="s">
        <v>465</v>
      </c>
      <c r="G452" s="9" t="str">
        <f>IFERROR(__xludf.DUMMYFUNCTION("SPLIT(A452,"","")"),"./src/main/java/org/jfree/data/DomainOrder.java")</f>
        <v>./src/main/java/org/jfree/data/DomainOrder.java</v>
      </c>
      <c r="H452" s="9">
        <f>IFERROR(__xludf.DUMMYFUNCTION("""COMPUTED_VALUE"""),6.0)</f>
        <v>6</v>
      </c>
      <c r="I452" s="9">
        <f>IFERROR(__xludf.DUMMYFUNCTION("""COMPUTED_VALUE"""),6.0)</f>
        <v>6</v>
      </c>
      <c r="J452" s="9">
        <f>IFERROR(__xludf.DUMMYFUNCTION("""COMPUTED_VALUE"""),87.23)</f>
        <v>87.23</v>
      </c>
      <c r="Q452" s="12" t="str">
        <f t="shared" ref="Q452:S452" si="456">IF(H452&gt;M$5, $G452, "")</f>
        <v/>
      </c>
      <c r="R452" s="13" t="str">
        <f t="shared" si="456"/>
        <v/>
      </c>
      <c r="S452" s="14" t="str">
        <f t="shared" si="456"/>
        <v/>
      </c>
    </row>
    <row r="453">
      <c r="A453" s="1" t="s">
        <v>466</v>
      </c>
      <c r="G453" s="9" t="str">
        <f>IFERROR(__xludf.DUMMYFUNCTION("SPLIT(A453,"","")"),"./src/main/java/org/jfree/data/flow/DefaultFlowDataset.java")</f>
        <v>./src/main/java/org/jfree/data/flow/DefaultFlowDataset.java</v>
      </c>
      <c r="H453" s="9">
        <f>IFERROR(__xludf.DUMMYFUNCTION("""COMPUTED_VALUE"""),2.0)</f>
        <v>2</v>
      </c>
      <c r="I453" s="9">
        <f>IFERROR(__xludf.DUMMYFUNCTION("""COMPUTED_VALUE"""),181.0)</f>
        <v>181</v>
      </c>
      <c r="J453" s="9">
        <f>IFERROR(__xludf.DUMMYFUNCTION("""COMPUTED_VALUE"""),48.29)</f>
        <v>48.29</v>
      </c>
      <c r="Q453" s="12" t="str">
        <f t="shared" ref="Q453:S453" si="457">IF(H453&gt;M$5, $G453, "")</f>
        <v/>
      </c>
      <c r="R453" s="13" t="str">
        <f t="shared" si="457"/>
        <v/>
      </c>
      <c r="S453" s="14" t="str">
        <f t="shared" si="457"/>
        <v/>
      </c>
    </row>
    <row r="454">
      <c r="A454" s="1" t="s">
        <v>467</v>
      </c>
      <c r="G454" s="9" t="str">
        <f>IFERROR(__xludf.DUMMYFUNCTION("SPLIT(A454,"","")"),"./src/main/java/org/jfree/data/flow/FlowDataset.java")</f>
        <v>./src/main/java/org/jfree/data/flow/FlowDataset.java</v>
      </c>
      <c r="H454" s="9">
        <f>IFERROR(__xludf.DUMMYFUNCTION("""COMPUTED_VALUE"""),2.0)</f>
        <v>2</v>
      </c>
      <c r="I454" s="9">
        <f>IFERROR(__xludf.DUMMYFUNCTION("""COMPUTED_VALUE"""),14.0)</f>
        <v>14</v>
      </c>
      <c r="J454" s="9">
        <f>IFERROR(__xludf.DUMMYFUNCTION("""COMPUTED_VALUE"""),88.62)</f>
        <v>88.62</v>
      </c>
      <c r="Q454" s="12" t="str">
        <f t="shared" ref="Q454:S454" si="458">IF(H454&gt;M$5, $G454, "")</f>
        <v/>
      </c>
      <c r="R454" s="13" t="str">
        <f t="shared" si="458"/>
        <v/>
      </c>
      <c r="S454" s="14" t="str">
        <f t="shared" si="458"/>
        <v/>
      </c>
    </row>
    <row r="455">
      <c r="A455" s="1" t="s">
        <v>468</v>
      </c>
      <c r="G455" s="9" t="str">
        <f>IFERROR(__xludf.DUMMYFUNCTION("SPLIT(A455,"","")"),"./src/main/java/org/jfree/data/flow/FlowDatasetUtils.java")</f>
        <v>./src/main/java/org/jfree/data/flow/FlowDatasetUtils.java</v>
      </c>
      <c r="H455" s="9">
        <f>IFERROR(__xludf.DUMMYFUNCTION("""COMPUTED_VALUE"""),2.0)</f>
        <v>2</v>
      </c>
      <c r="I455" s="9">
        <f>IFERROR(__xludf.DUMMYFUNCTION("""COMPUTED_VALUE"""),93.0)</f>
        <v>93</v>
      </c>
      <c r="J455" s="9">
        <f>IFERROR(__xludf.DUMMYFUNCTION("""COMPUTED_VALUE"""),52.06)</f>
        <v>52.06</v>
      </c>
      <c r="Q455" s="12" t="str">
        <f t="shared" ref="Q455:S455" si="459">IF(H455&gt;M$5, $G455, "")</f>
        <v/>
      </c>
      <c r="R455" s="13" t="str">
        <f t="shared" si="459"/>
        <v/>
      </c>
      <c r="S455" s="14" t="str">
        <f t="shared" si="459"/>
        <v/>
      </c>
    </row>
    <row r="456">
      <c r="A456" s="1" t="s">
        <v>469</v>
      </c>
      <c r="G456" s="9" t="str">
        <f>IFERROR(__xludf.DUMMYFUNCTION("SPLIT(A456,"","")"),"./src/main/java/org/jfree/data/flow/FlowKey.java")</f>
        <v>./src/main/java/org/jfree/data/flow/FlowKey.java</v>
      </c>
      <c r="H456" s="9">
        <f>IFERROR(__xludf.DUMMYFUNCTION("""COMPUTED_VALUE"""),2.0)</f>
        <v>2</v>
      </c>
      <c r="I456" s="9">
        <f>IFERROR(__xludf.DUMMYFUNCTION("""COMPUTED_VALUE"""),66.0)</f>
        <v>66</v>
      </c>
      <c r="J456" s="9">
        <f>IFERROR(__xludf.DUMMYFUNCTION("""COMPUTED_VALUE"""),57.69)</f>
        <v>57.69</v>
      </c>
      <c r="Q456" s="12" t="str">
        <f t="shared" ref="Q456:S456" si="460">IF(H456&gt;M$5, $G456, "")</f>
        <v/>
      </c>
      <c r="R456" s="13" t="str">
        <f t="shared" si="460"/>
        <v/>
      </c>
      <c r="S456" s="14" t="str">
        <f t="shared" si="460"/>
        <v/>
      </c>
    </row>
    <row r="457">
      <c r="A457" s="1" t="s">
        <v>470</v>
      </c>
      <c r="G457" s="9" t="str">
        <f>IFERROR(__xludf.DUMMYFUNCTION("SPLIT(A457,"","")"),"./src/main/java/org/jfree/data/flow/NodeKey.java")</f>
        <v>./src/main/java/org/jfree/data/flow/NodeKey.java</v>
      </c>
      <c r="H457" s="9">
        <f>IFERROR(__xludf.DUMMYFUNCTION("""COMPUTED_VALUE"""),2.0)</f>
        <v>2</v>
      </c>
      <c r="I457" s="9">
        <f>IFERROR(__xludf.DUMMYFUNCTION("""COMPUTED_VALUE"""),56.0)</f>
        <v>56</v>
      </c>
      <c r="J457" s="9">
        <f>IFERROR(__xludf.DUMMYFUNCTION("""COMPUTED_VALUE"""),60.0)</f>
        <v>60</v>
      </c>
      <c r="Q457" s="12" t="str">
        <f t="shared" ref="Q457:S457" si="461">IF(H457&gt;M$5, $G457, "")</f>
        <v/>
      </c>
      <c r="R457" s="13" t="str">
        <f t="shared" si="461"/>
        <v/>
      </c>
      <c r="S457" s="14" t="str">
        <f t="shared" si="461"/>
        <v/>
      </c>
    </row>
    <row r="458">
      <c r="A458" s="1" t="s">
        <v>471</v>
      </c>
      <c r="G458" s="9" t="str">
        <f>IFERROR(__xludf.DUMMYFUNCTION("SPLIT(A458,"","")"),"./src/main/java/org/jfree/data/function/Function2D.java")</f>
        <v>./src/main/java/org/jfree/data/function/Function2D.java</v>
      </c>
      <c r="H458" s="9">
        <f>IFERROR(__xludf.DUMMYFUNCTION("""COMPUTED_VALUE"""),4.0)</f>
        <v>4</v>
      </c>
      <c r="I458" s="9">
        <f>IFERROR(__xludf.DUMMYFUNCTION("""COMPUTED_VALUE"""),4.0)</f>
        <v>4</v>
      </c>
      <c r="J458" s="9">
        <f>IFERROR(__xludf.DUMMYFUNCTION("""COMPUTED_VALUE"""),92.59)</f>
        <v>92.59</v>
      </c>
      <c r="Q458" s="12" t="str">
        <f t="shared" ref="Q458:S458" si="462">IF(H458&gt;M$5, $G458, "")</f>
        <v/>
      </c>
      <c r="R458" s="13" t="str">
        <f t="shared" si="462"/>
        <v/>
      </c>
      <c r="S458" s="14" t="str">
        <f t="shared" si="462"/>
        <v/>
      </c>
    </row>
    <row r="459">
      <c r="A459" s="1" t="s">
        <v>472</v>
      </c>
      <c r="G459" s="9" t="str">
        <f>IFERROR(__xludf.DUMMYFUNCTION("SPLIT(A459,"","")"),"./src/main/java/org/jfree/data/function/LineFunction2D.java")</f>
        <v>./src/main/java/org/jfree/data/function/LineFunction2D.java</v>
      </c>
      <c r="H459" s="9">
        <f>IFERROR(__xludf.DUMMYFUNCTION("""COMPUTED_VALUE"""),4.0)</f>
        <v>4</v>
      </c>
      <c r="I459" s="9">
        <f>IFERROR(__xludf.DUMMYFUNCTION("""COMPUTED_VALUE"""),42.0)</f>
        <v>42</v>
      </c>
      <c r="J459" s="9">
        <f>IFERROR(__xludf.DUMMYFUNCTION("""COMPUTED_VALUE"""),65.29)</f>
        <v>65.29</v>
      </c>
      <c r="Q459" s="12" t="str">
        <f t="shared" ref="Q459:S459" si="463">IF(H459&gt;M$5, $G459, "")</f>
        <v/>
      </c>
      <c r="R459" s="13" t="str">
        <f t="shared" si="463"/>
        <v/>
      </c>
      <c r="S459" s="14" t="str">
        <f t="shared" si="463"/>
        <v/>
      </c>
    </row>
    <row r="460">
      <c r="A460" s="1" t="s">
        <v>473</v>
      </c>
      <c r="G460" s="9" t="str">
        <f>IFERROR(__xludf.DUMMYFUNCTION("SPLIT(A460,"","")"),"./src/main/java/org/jfree/data/function/NormalDistributionFunction2D.java")</f>
        <v>./src/main/java/org/jfree/data/function/NormalDistributionFunction2D.java</v>
      </c>
      <c r="H460" s="9">
        <f>IFERROR(__xludf.DUMMYFUNCTION("""COMPUTED_VALUE"""),4.0)</f>
        <v>4</v>
      </c>
      <c r="I460" s="9">
        <f>IFERROR(__xludf.DUMMYFUNCTION("""COMPUTED_VALUE"""),50.0)</f>
        <v>50</v>
      </c>
      <c r="J460" s="9">
        <f>IFERROR(__xludf.DUMMYFUNCTION("""COMPUTED_VALUE"""),61.24)</f>
        <v>61.24</v>
      </c>
      <c r="Q460" s="12" t="str">
        <f t="shared" ref="Q460:S460" si="464">IF(H460&gt;M$5, $G460, "")</f>
        <v/>
      </c>
      <c r="R460" s="13" t="str">
        <f t="shared" si="464"/>
        <v/>
      </c>
      <c r="S460" s="14" t="str">
        <f t="shared" si="464"/>
        <v/>
      </c>
    </row>
    <row r="461">
      <c r="A461" s="1" t="s">
        <v>474</v>
      </c>
      <c r="G461" s="9" t="str">
        <f>IFERROR(__xludf.DUMMYFUNCTION("SPLIT(A461,"","")"),"./src/main/java/org/jfree/data/function/PolynomialFunction2D.java")</f>
        <v>./src/main/java/org/jfree/data/function/PolynomialFunction2D.java</v>
      </c>
      <c r="H461" s="9">
        <f>IFERROR(__xludf.DUMMYFUNCTION("""COMPUTED_VALUE"""),6.0)</f>
        <v>6</v>
      </c>
      <c r="I461" s="9">
        <f>IFERROR(__xludf.DUMMYFUNCTION("""COMPUTED_VALUE"""),38.0)</f>
        <v>38</v>
      </c>
      <c r="J461" s="9">
        <f>IFERROR(__xludf.DUMMYFUNCTION("""COMPUTED_VALUE"""),67.52)</f>
        <v>67.52</v>
      </c>
      <c r="Q461" s="12" t="str">
        <f t="shared" ref="Q461:S461" si="465">IF(H461&gt;M$5, $G461, "")</f>
        <v/>
      </c>
      <c r="R461" s="13" t="str">
        <f t="shared" si="465"/>
        <v/>
      </c>
      <c r="S461" s="14" t="str">
        <f t="shared" si="465"/>
        <v/>
      </c>
    </row>
    <row r="462">
      <c r="A462" s="1" t="s">
        <v>475</v>
      </c>
      <c r="G462" s="9" t="str">
        <f>IFERROR(__xludf.DUMMYFUNCTION("SPLIT(A462,"","")"),"./src/main/java/org/jfree/data/function/PowerFunction2D.java")</f>
        <v>./src/main/java/org/jfree/data/function/PowerFunction2D.java</v>
      </c>
      <c r="H462" s="9">
        <f>IFERROR(__xludf.DUMMYFUNCTION("""COMPUTED_VALUE"""),4.0)</f>
        <v>4</v>
      </c>
      <c r="I462" s="9">
        <f>IFERROR(__xludf.DUMMYFUNCTION("""COMPUTED_VALUE"""),42.0)</f>
        <v>42</v>
      </c>
      <c r="J462" s="9">
        <f>IFERROR(__xludf.DUMMYFUNCTION("""COMPUTED_VALUE"""),65.29)</f>
        <v>65.29</v>
      </c>
      <c r="Q462" s="12" t="str">
        <f t="shared" ref="Q462:S462" si="466">IF(H462&gt;M$5, $G462, "")</f>
        <v/>
      </c>
      <c r="R462" s="13" t="str">
        <f t="shared" si="466"/>
        <v/>
      </c>
      <c r="S462" s="14" t="str">
        <f t="shared" si="466"/>
        <v/>
      </c>
    </row>
    <row r="463">
      <c r="A463" s="1" t="s">
        <v>476</v>
      </c>
      <c r="G463" s="9" t="str">
        <f>IFERROR(__xludf.DUMMYFUNCTION("SPLIT(A463,"","")"),"./src/main/java/org/jfree/data/gantt/GanttCategoryDataset.java")</f>
        <v>./src/main/java/org/jfree/data/gantt/GanttCategoryDataset.java</v>
      </c>
      <c r="H463" s="9">
        <f>IFERROR(__xludf.DUMMYFUNCTION("""COMPUTED_VALUE"""),4.0)</f>
        <v>4</v>
      </c>
      <c r="I463" s="9">
        <f>IFERROR(__xludf.DUMMYFUNCTION("""COMPUTED_VALUE"""),15.0)</f>
        <v>15</v>
      </c>
      <c r="J463" s="9">
        <f>IFERROR(__xludf.DUMMYFUNCTION("""COMPUTED_VALUE"""),90.63)</f>
        <v>90.63</v>
      </c>
      <c r="Q463" s="12" t="str">
        <f t="shared" ref="Q463:S463" si="467">IF(H463&gt;M$5, $G463, "")</f>
        <v/>
      </c>
      <c r="R463" s="13" t="str">
        <f t="shared" si="467"/>
        <v/>
      </c>
      <c r="S463" s="14" t="str">
        <f t="shared" si="467"/>
        <v/>
      </c>
    </row>
    <row r="464">
      <c r="A464" s="1" t="s">
        <v>477</v>
      </c>
      <c r="G464" s="9" t="str">
        <f>IFERROR(__xludf.DUMMYFUNCTION("SPLIT(A464,"","")"),"./src/main/java/org/jfree/data/gantt/SlidingGanttCategoryDataset.java")</f>
        <v>./src/main/java/org/jfree/data/gantt/SlidingGanttCategoryDataset.java</v>
      </c>
      <c r="H464" s="9">
        <f>IFERROR(__xludf.DUMMYFUNCTION("""COMPUTED_VALUE"""),6.0)</f>
        <v>6</v>
      </c>
      <c r="I464" s="9">
        <f>IFERROR(__xludf.DUMMYFUNCTION("""COMPUTED_VALUE"""),283.0)</f>
        <v>283</v>
      </c>
      <c r="J464" s="9">
        <f>IFERROR(__xludf.DUMMYFUNCTION("""COMPUTED_VALUE"""),54.13)</f>
        <v>54.13</v>
      </c>
      <c r="Q464" s="12" t="str">
        <f t="shared" ref="Q464:S464" si="468">IF(H464&gt;M$5, $G464, "")</f>
        <v/>
      </c>
      <c r="R464" s="13" t="str">
        <f t="shared" si="468"/>
        <v/>
      </c>
      <c r="S464" s="14" t="str">
        <f t="shared" si="468"/>
        <v/>
      </c>
    </row>
    <row r="465">
      <c r="A465" s="1" t="s">
        <v>478</v>
      </c>
      <c r="G465" s="9" t="str">
        <f>IFERROR(__xludf.DUMMYFUNCTION("SPLIT(A465,"","")"),"./src/main/java/org/jfree/data/gantt/Task.java")</f>
        <v>./src/main/java/org/jfree/data/gantt/Task.java</v>
      </c>
      <c r="H465" s="9">
        <f>IFERROR(__xludf.DUMMYFUNCTION("""COMPUTED_VALUE"""),8.0)</f>
        <v>8</v>
      </c>
      <c r="I465" s="9">
        <f>IFERROR(__xludf.DUMMYFUNCTION("""COMPUTED_VALUE"""),98.0)</f>
        <v>98</v>
      </c>
      <c r="J465" s="9">
        <f>IFERROR(__xludf.DUMMYFUNCTION("""COMPUTED_VALUE"""),57.21)</f>
        <v>57.21</v>
      </c>
      <c r="Q465" s="12" t="str">
        <f t="shared" ref="Q465:S465" si="469">IF(H465&gt;M$5, $G465, "")</f>
        <v/>
      </c>
      <c r="R465" s="13" t="str">
        <f t="shared" si="469"/>
        <v/>
      </c>
      <c r="S465" s="14" t="str">
        <f t="shared" si="469"/>
        <v/>
      </c>
    </row>
    <row r="466">
      <c r="A466" s="1" t="s">
        <v>479</v>
      </c>
      <c r="G466" s="9" t="str">
        <f>IFERROR(__xludf.DUMMYFUNCTION("SPLIT(A466,"","")"),"./src/main/java/org/jfree/data/gantt/TaskSeries.java")</f>
        <v>./src/main/java/org/jfree/data/gantt/TaskSeries.java</v>
      </c>
      <c r="H466" s="9">
        <f>IFERROR(__xludf.DUMMYFUNCTION("""COMPUTED_VALUE"""),8.0)</f>
        <v>8</v>
      </c>
      <c r="I466" s="9">
        <f>IFERROR(__xludf.DUMMYFUNCTION("""COMPUTED_VALUE"""),79.0)</f>
        <v>79</v>
      </c>
      <c r="J466" s="9">
        <f>IFERROR(__xludf.DUMMYFUNCTION("""COMPUTED_VALUE"""),57.07)</f>
        <v>57.07</v>
      </c>
      <c r="Q466" s="12" t="str">
        <f t="shared" ref="Q466:S466" si="470">IF(H466&gt;M$5, $G466, "")</f>
        <v/>
      </c>
      <c r="R466" s="13" t="str">
        <f t="shared" si="470"/>
        <v/>
      </c>
      <c r="S466" s="14" t="str">
        <f t="shared" si="470"/>
        <v/>
      </c>
    </row>
    <row r="467">
      <c r="A467" s="1" t="s">
        <v>480</v>
      </c>
      <c r="G467" s="9" t="str">
        <f>IFERROR(__xludf.DUMMYFUNCTION("SPLIT(A467,"","")"),"./src/main/java/org/jfree/data/gantt/TaskSeriesCollection.java")</f>
        <v>./src/main/java/org/jfree/data/gantt/TaskSeriesCollection.java</v>
      </c>
      <c r="H467" s="9">
        <f>IFERROR(__xludf.DUMMYFUNCTION("""COMPUTED_VALUE"""),11.0)</f>
        <v>11</v>
      </c>
      <c r="I467" s="9">
        <f>IFERROR(__xludf.DUMMYFUNCTION("""COMPUTED_VALUE"""),316.0)</f>
        <v>316</v>
      </c>
      <c r="J467" s="9">
        <f>IFERROR(__xludf.DUMMYFUNCTION("""COMPUTED_VALUE"""),50.08)</f>
        <v>50.08</v>
      </c>
      <c r="Q467" s="12" t="str">
        <f t="shared" ref="Q467:S467" si="471">IF(H467&gt;M$5, $G467, "")</f>
        <v/>
      </c>
      <c r="R467" s="13" t="str">
        <f t="shared" si="471"/>
        <v/>
      </c>
      <c r="S467" s="14" t="str">
        <f t="shared" si="471"/>
        <v/>
      </c>
    </row>
    <row r="468">
      <c r="A468" s="1" t="s">
        <v>481</v>
      </c>
      <c r="G468" s="9" t="str">
        <f>IFERROR(__xludf.DUMMYFUNCTION("SPLIT(A468,"","")"),"./src/main/java/org/jfree/data/gantt/XYTaskDataset.java")</f>
        <v>./src/main/java/org/jfree/data/gantt/XYTaskDataset.java</v>
      </c>
      <c r="H468" s="9">
        <f>IFERROR(__xludf.DUMMYFUNCTION("""COMPUTED_VALUE"""),6.0)</f>
        <v>6</v>
      </c>
      <c r="I468" s="9">
        <f>IFERROR(__xludf.DUMMYFUNCTION("""COMPUTED_VALUE"""),203.0)</f>
        <v>203</v>
      </c>
      <c r="J468" s="9">
        <f>IFERROR(__xludf.DUMMYFUNCTION("""COMPUTED_VALUE"""),54.38)</f>
        <v>54.38</v>
      </c>
      <c r="Q468" s="12" t="str">
        <f t="shared" ref="Q468:S468" si="472">IF(H468&gt;M$5, $G468, "")</f>
        <v/>
      </c>
      <c r="R468" s="13" t="str">
        <f t="shared" si="472"/>
        <v/>
      </c>
      <c r="S468" s="14" t="str">
        <f t="shared" si="472"/>
        <v/>
      </c>
    </row>
    <row r="469">
      <c r="A469" s="1" t="s">
        <v>482</v>
      </c>
      <c r="G469" s="9" t="str">
        <f>IFERROR(__xludf.DUMMYFUNCTION("SPLIT(A469,"","")"),"./src/main/java/org/jfree/data/general/AbstractDataset.java")</f>
        <v>./src/main/java/org/jfree/data/general/AbstractDataset.java</v>
      </c>
      <c r="H469" s="9">
        <f>IFERROR(__xludf.DUMMYFUNCTION("""COMPUTED_VALUE"""),7.0)</f>
        <v>7</v>
      </c>
      <c r="I469" s="9">
        <f>IFERROR(__xludf.DUMMYFUNCTION("""COMPUTED_VALUE"""),70.0)</f>
        <v>70</v>
      </c>
      <c r="J469" s="9">
        <f>IFERROR(__xludf.DUMMYFUNCTION("""COMPUTED_VALUE"""),68.33)</f>
        <v>68.33</v>
      </c>
      <c r="Q469" s="12" t="str">
        <f t="shared" ref="Q469:S469" si="473">IF(H469&gt;M$5, $G469, "")</f>
        <v/>
      </c>
      <c r="R469" s="13" t="str">
        <f t="shared" si="473"/>
        <v/>
      </c>
      <c r="S469" s="14" t="str">
        <f t="shared" si="473"/>
        <v/>
      </c>
    </row>
    <row r="470">
      <c r="A470" s="1" t="s">
        <v>483</v>
      </c>
      <c r="G470" s="9" t="str">
        <f>IFERROR(__xludf.DUMMYFUNCTION("SPLIT(A470,"","")"),"./src/main/java/org/jfree/data/general/AbstractSeriesDataset.java")</f>
        <v>./src/main/java/org/jfree/data/general/AbstractSeriesDataset.java</v>
      </c>
      <c r="H470" s="9">
        <f>IFERROR(__xludf.DUMMYFUNCTION("""COMPUTED_VALUE"""),3.0)</f>
        <v>3</v>
      </c>
      <c r="I470" s="9">
        <f>IFERROR(__xludf.DUMMYFUNCTION("""COMPUTED_VALUE"""),28.0)</f>
        <v>28</v>
      </c>
      <c r="J470" s="9">
        <f>IFERROR(__xludf.DUMMYFUNCTION("""COMPUTED_VALUE"""),72.0)</f>
        <v>72</v>
      </c>
      <c r="Q470" s="12" t="str">
        <f t="shared" ref="Q470:S470" si="474">IF(H470&gt;M$5, $G470, "")</f>
        <v/>
      </c>
      <c r="R470" s="13" t="str">
        <f t="shared" si="474"/>
        <v/>
      </c>
      <c r="S470" s="14" t="str">
        <f t="shared" si="474"/>
        <v/>
      </c>
    </row>
    <row r="471">
      <c r="A471" s="1" t="s">
        <v>484</v>
      </c>
      <c r="G471" s="9" t="str">
        <f>IFERROR(__xludf.DUMMYFUNCTION("SPLIT(A471,"","")"),"./src/main/java/org/jfree/data/general/Dataset.java")</f>
        <v>./src/main/java/org/jfree/data/general/Dataset.java</v>
      </c>
      <c r="H471" s="9">
        <f>IFERROR(__xludf.DUMMYFUNCTION("""COMPUTED_VALUE"""),4.0)</f>
        <v>4</v>
      </c>
      <c r="I471" s="9">
        <f>IFERROR(__xludf.DUMMYFUNCTION("""COMPUTED_VALUE"""),5.0)</f>
        <v>5</v>
      </c>
      <c r="J471" s="9">
        <f>IFERROR(__xludf.DUMMYFUNCTION("""COMPUTED_VALUE"""),91.23)</f>
        <v>91.23</v>
      </c>
      <c r="Q471" s="12" t="str">
        <f t="shared" ref="Q471:S471" si="475">IF(H471&gt;M$5, $G471, "")</f>
        <v/>
      </c>
      <c r="R471" s="13" t="str">
        <f t="shared" si="475"/>
        <v/>
      </c>
      <c r="S471" s="14" t="str">
        <f t="shared" si="475"/>
        <v/>
      </c>
    </row>
    <row r="472">
      <c r="A472" s="1" t="s">
        <v>485</v>
      </c>
      <c r="G472" s="9" t="str">
        <f>IFERROR(__xludf.DUMMYFUNCTION("SPLIT(A472,"","")"),"./src/main/java/org/jfree/data/general/DatasetChangeEvent.java")</f>
        <v>./src/main/java/org/jfree/data/general/DatasetChangeEvent.java</v>
      </c>
      <c r="H472" s="9">
        <f>IFERROR(__xludf.DUMMYFUNCTION("""COMPUTED_VALUE"""),3.0)</f>
        <v>3</v>
      </c>
      <c r="I472" s="9">
        <f>IFERROR(__xludf.DUMMYFUNCTION("""COMPUTED_VALUE"""),11.0)</f>
        <v>11</v>
      </c>
      <c r="J472" s="9">
        <f>IFERROR(__xludf.DUMMYFUNCTION("""COMPUTED_VALUE"""),86.25)</f>
        <v>86.25</v>
      </c>
      <c r="Q472" s="12" t="str">
        <f t="shared" ref="Q472:S472" si="476">IF(H472&gt;M$5, $G472, "")</f>
        <v/>
      </c>
      <c r="R472" s="13" t="str">
        <f t="shared" si="476"/>
        <v/>
      </c>
      <c r="S472" s="14" t="str">
        <f t="shared" si="476"/>
        <v/>
      </c>
    </row>
    <row r="473">
      <c r="A473" s="1" t="s">
        <v>486</v>
      </c>
      <c r="G473" s="9" t="str">
        <f>IFERROR(__xludf.DUMMYFUNCTION("SPLIT(A473,"","")"),"./src/main/java/org/jfree/data/general/DatasetChangeListener.java")</f>
        <v>./src/main/java/org/jfree/data/general/DatasetChangeListener.java</v>
      </c>
      <c r="H473" s="9">
        <f>IFERROR(__xludf.DUMMYFUNCTION("""COMPUTED_VALUE"""),3.0)</f>
        <v>3</v>
      </c>
      <c r="I473" s="9">
        <f>IFERROR(__xludf.DUMMYFUNCTION("""COMPUTED_VALUE"""),5.0)</f>
        <v>5</v>
      </c>
      <c r="J473" s="9">
        <f>IFERROR(__xludf.DUMMYFUNCTION("""COMPUTED_VALUE"""),91.23)</f>
        <v>91.23</v>
      </c>
      <c r="Q473" s="12" t="str">
        <f t="shared" ref="Q473:S473" si="477">IF(H473&gt;M$5, $G473, "")</f>
        <v/>
      </c>
      <c r="R473" s="13" t="str">
        <f t="shared" si="477"/>
        <v/>
      </c>
      <c r="S473" s="14" t="str">
        <f t="shared" si="477"/>
        <v/>
      </c>
    </row>
    <row r="474">
      <c r="A474" s="1" t="s">
        <v>487</v>
      </c>
      <c r="G474" s="9" t="str">
        <f>IFERROR(__xludf.DUMMYFUNCTION("SPLIT(A474,"","")"),"./src/main/java/org/jfree/data/general/DatasetUtils.java")</f>
        <v>./src/main/java/org/jfree/data/general/DatasetUtils.java</v>
      </c>
      <c r="H474" s="9">
        <f>IFERROR(__xludf.DUMMYFUNCTION("""COMPUTED_VALUE"""),13.0)</f>
        <v>13</v>
      </c>
      <c r="I474" s="9">
        <f>IFERROR(__xludf.DUMMYFUNCTION("""COMPUTED_VALUE"""),1459.0)</f>
        <v>1459</v>
      </c>
      <c r="J474" s="9">
        <f>IFERROR(__xludf.DUMMYFUNCTION("""COMPUTED_VALUE"""),37.27)</f>
        <v>37.27</v>
      </c>
      <c r="Q474" s="12" t="str">
        <f t="shared" ref="Q474:S474" si="478">IF(H474&gt;M$5, $G474, "")</f>
        <v/>
      </c>
      <c r="R474" s="13" t="str">
        <f t="shared" si="478"/>
        <v>./src/main/java/org/jfree/data/general/DatasetUtils.java</v>
      </c>
      <c r="S474" s="14" t="str">
        <f t="shared" si="478"/>
        <v/>
      </c>
    </row>
    <row r="475">
      <c r="A475" s="1" t="s">
        <v>488</v>
      </c>
      <c r="G475" s="9" t="str">
        <f>IFERROR(__xludf.DUMMYFUNCTION("SPLIT(A475,"","")"),"./src/main/java/org/jfree/data/general/DefaultHeatMapDataset.java")</f>
        <v>./src/main/java/org/jfree/data/general/DefaultHeatMapDataset.java</v>
      </c>
      <c r="H475" s="9">
        <f>IFERROR(__xludf.DUMMYFUNCTION("""COMPUTED_VALUE"""),7.0)</f>
        <v>7</v>
      </c>
      <c r="I475" s="9">
        <f>IFERROR(__xludf.DUMMYFUNCTION("""COMPUTED_VALUE"""),136.0)</f>
        <v>136</v>
      </c>
      <c r="J475" s="9">
        <f>IFERROR(__xludf.DUMMYFUNCTION("""COMPUTED_VALUE"""),55.7)</f>
        <v>55.7</v>
      </c>
      <c r="Q475" s="12" t="str">
        <f t="shared" ref="Q475:S475" si="479">IF(H475&gt;M$5, $G475, "")</f>
        <v/>
      </c>
      <c r="R475" s="13" t="str">
        <f t="shared" si="479"/>
        <v/>
      </c>
      <c r="S475" s="14" t="str">
        <f t="shared" si="479"/>
        <v/>
      </c>
    </row>
    <row r="476">
      <c r="A476" s="1" t="s">
        <v>489</v>
      </c>
      <c r="G476" s="9" t="str">
        <f>IFERROR(__xludf.DUMMYFUNCTION("SPLIT(A476,"","")"),"./src/main/java/org/jfree/data/general/DefaultKeyedValueDataset.java")</f>
        <v>./src/main/java/org/jfree/data/general/DefaultKeyedValueDataset.java</v>
      </c>
      <c r="H476" s="9">
        <f>IFERROR(__xludf.DUMMYFUNCTION("""COMPUTED_VALUE"""),4.0)</f>
        <v>4</v>
      </c>
      <c r="I476" s="9">
        <f>IFERROR(__xludf.DUMMYFUNCTION("""COMPUTED_VALUE"""),78.0)</f>
        <v>78</v>
      </c>
      <c r="J476" s="9">
        <f>IFERROR(__xludf.DUMMYFUNCTION("""COMPUTED_VALUE"""),56.91)</f>
        <v>56.91</v>
      </c>
      <c r="Q476" s="12" t="str">
        <f t="shared" ref="Q476:S476" si="480">IF(H476&gt;M$5, $G476, "")</f>
        <v/>
      </c>
      <c r="R476" s="13" t="str">
        <f t="shared" si="480"/>
        <v/>
      </c>
      <c r="S476" s="14" t="str">
        <f t="shared" si="480"/>
        <v/>
      </c>
    </row>
    <row r="477">
      <c r="A477" s="1" t="s">
        <v>490</v>
      </c>
      <c r="G477" s="9" t="str">
        <f>IFERROR(__xludf.DUMMYFUNCTION("SPLIT(A477,"","")"),"./src/main/java/org/jfree/data/general/DefaultKeyedValues2DDataset.java")</f>
        <v>./src/main/java/org/jfree/data/general/DefaultKeyedValues2DDataset.java</v>
      </c>
      <c r="H477" s="9">
        <f>IFERROR(__xludf.DUMMYFUNCTION("""COMPUTED_VALUE"""),3.0)</f>
        <v>3</v>
      </c>
      <c r="I477" s="9">
        <f>IFERROR(__xludf.DUMMYFUNCTION("""COMPUTED_VALUE"""),8.0)</f>
        <v>8</v>
      </c>
      <c r="J477" s="9">
        <f>IFERROR(__xludf.DUMMYFUNCTION("""COMPUTED_VALUE"""),85.96)</f>
        <v>85.96</v>
      </c>
      <c r="Q477" s="12" t="str">
        <f t="shared" ref="Q477:S477" si="481">IF(H477&gt;M$5, $G477, "")</f>
        <v/>
      </c>
      <c r="R477" s="13" t="str">
        <f t="shared" si="481"/>
        <v/>
      </c>
      <c r="S477" s="14" t="str">
        <f t="shared" si="481"/>
        <v/>
      </c>
    </row>
    <row r="478">
      <c r="A478" s="1" t="s">
        <v>491</v>
      </c>
      <c r="G478" s="9" t="str">
        <f>IFERROR(__xludf.DUMMYFUNCTION("SPLIT(A478,"","")"),"./src/main/java/org/jfree/data/general/DefaultKeyedValuesDataset.java")</f>
        <v>./src/main/java/org/jfree/data/general/DefaultKeyedValuesDataset.java</v>
      </c>
      <c r="H478" s="9">
        <f>IFERROR(__xludf.DUMMYFUNCTION("""COMPUTED_VALUE"""),3.0)</f>
        <v>3</v>
      </c>
      <c r="I478" s="9">
        <f>IFERROR(__xludf.DUMMYFUNCTION("""COMPUTED_VALUE"""),5.0)</f>
        <v>5</v>
      </c>
      <c r="J478" s="9">
        <f>IFERROR(__xludf.DUMMYFUNCTION("""COMPUTED_VALUE"""),89.13)</f>
        <v>89.13</v>
      </c>
      <c r="Q478" s="12" t="str">
        <f t="shared" ref="Q478:S478" si="482">IF(H478&gt;M$5, $G478, "")</f>
        <v/>
      </c>
      <c r="R478" s="13" t="str">
        <f t="shared" si="482"/>
        <v/>
      </c>
      <c r="S478" s="14" t="str">
        <f t="shared" si="482"/>
        <v/>
      </c>
    </row>
    <row r="479">
      <c r="A479" s="1" t="s">
        <v>492</v>
      </c>
      <c r="G479" s="9" t="str">
        <f>IFERROR(__xludf.DUMMYFUNCTION("SPLIT(A479,"","")"),"./src/main/java/org/jfree/data/general/DefaultPieDataset.java")</f>
        <v>./src/main/java/org/jfree/data/general/DefaultPieDataset.java</v>
      </c>
      <c r="H479" s="9">
        <f>IFERROR(__xludf.DUMMYFUNCTION("""COMPUTED_VALUE"""),14.0)</f>
        <v>14</v>
      </c>
      <c r="I479" s="9">
        <f>IFERROR(__xludf.DUMMYFUNCTION("""COMPUTED_VALUE"""),127.0)</f>
        <v>127</v>
      </c>
      <c r="J479" s="9">
        <f>IFERROR(__xludf.DUMMYFUNCTION("""COMPUTED_VALUE"""),60.68)</f>
        <v>60.68</v>
      </c>
      <c r="Q479" s="12" t="str">
        <f t="shared" ref="Q479:S479" si="483">IF(H479&gt;M$5, $G479, "")</f>
        <v/>
      </c>
      <c r="R479" s="13" t="str">
        <f t="shared" si="483"/>
        <v/>
      </c>
      <c r="S479" s="14" t="str">
        <f t="shared" si="483"/>
        <v/>
      </c>
    </row>
    <row r="480">
      <c r="A480" s="1" t="s">
        <v>493</v>
      </c>
      <c r="G480" s="9" t="str">
        <f>IFERROR(__xludf.DUMMYFUNCTION("SPLIT(A480,"","")"),"./src/main/java/org/jfree/data/general/DefaultValueDataset.java")</f>
        <v>./src/main/java/org/jfree/data/general/DefaultValueDataset.java</v>
      </c>
      <c r="H480" s="9">
        <f>IFERROR(__xludf.DUMMYFUNCTION("""COMPUTED_VALUE"""),6.0)</f>
        <v>6</v>
      </c>
      <c r="I480" s="9">
        <f>IFERROR(__xludf.DUMMYFUNCTION("""COMPUTED_VALUE"""),42.0)</f>
        <v>42</v>
      </c>
      <c r="J480" s="9">
        <f>IFERROR(__xludf.DUMMYFUNCTION("""COMPUTED_VALUE"""),67.19)</f>
        <v>67.19</v>
      </c>
      <c r="Q480" s="12" t="str">
        <f t="shared" ref="Q480:S480" si="484">IF(H480&gt;M$5, $G480, "")</f>
        <v/>
      </c>
      <c r="R480" s="13" t="str">
        <f t="shared" si="484"/>
        <v/>
      </c>
      <c r="S480" s="14" t="str">
        <f t="shared" si="484"/>
        <v/>
      </c>
    </row>
    <row r="481">
      <c r="A481" s="1" t="s">
        <v>494</v>
      </c>
      <c r="G481" s="9" t="str">
        <f>IFERROR(__xludf.DUMMYFUNCTION("SPLIT(A481,"","")"),"./src/main/java/org/jfree/data/general/HeatMapDataset.java")</f>
        <v>./src/main/java/org/jfree/data/general/HeatMapDataset.java</v>
      </c>
      <c r="H481" s="9">
        <f>IFERROR(__xludf.DUMMYFUNCTION("""COMPUTED_VALUE"""),3.0)</f>
        <v>3</v>
      </c>
      <c r="I481" s="9">
        <f>IFERROR(__xludf.DUMMYFUNCTION("""COMPUTED_VALUE"""),13.0)</f>
        <v>13</v>
      </c>
      <c r="J481" s="9">
        <f>IFERROR(__xludf.DUMMYFUNCTION("""COMPUTED_VALUE"""),90.78)</f>
        <v>90.78</v>
      </c>
      <c r="Q481" s="12" t="str">
        <f t="shared" ref="Q481:S481" si="485">IF(H481&gt;M$5, $G481, "")</f>
        <v/>
      </c>
      <c r="R481" s="13" t="str">
        <f t="shared" si="485"/>
        <v/>
      </c>
      <c r="S481" s="14" t="str">
        <f t="shared" si="485"/>
        <v/>
      </c>
    </row>
    <row r="482">
      <c r="A482" s="1" t="s">
        <v>495</v>
      </c>
      <c r="G482" s="9" t="str">
        <f>IFERROR(__xludf.DUMMYFUNCTION("SPLIT(A482,"","")"),"./src/main/java/org/jfree/data/general/HeatMapUtils.java")</f>
        <v>./src/main/java/org/jfree/data/general/HeatMapUtils.java</v>
      </c>
      <c r="H482" s="9">
        <f>IFERROR(__xludf.DUMMYFUNCTION("""COMPUTED_VALUE"""),4.0)</f>
        <v>4</v>
      </c>
      <c r="I482" s="9">
        <f>IFERROR(__xludf.DUMMYFUNCTION("""COMPUTED_VALUE"""),50.0)</f>
        <v>50</v>
      </c>
      <c r="J482" s="9">
        <f>IFERROR(__xludf.DUMMYFUNCTION("""COMPUTED_VALUE"""),57.98)</f>
        <v>57.98</v>
      </c>
      <c r="Q482" s="12" t="str">
        <f t="shared" ref="Q482:S482" si="486">IF(H482&gt;M$5, $G482, "")</f>
        <v/>
      </c>
      <c r="R482" s="13" t="str">
        <f t="shared" si="486"/>
        <v/>
      </c>
      <c r="S482" s="14" t="str">
        <f t="shared" si="486"/>
        <v/>
      </c>
    </row>
    <row r="483">
      <c r="A483" s="1" t="s">
        <v>496</v>
      </c>
      <c r="G483" s="9" t="str">
        <f>IFERROR(__xludf.DUMMYFUNCTION("SPLIT(A483,"","")"),"./src/main/java/org/jfree/data/general/KeyedValueDataset.java")</f>
        <v>./src/main/java/org/jfree/data/general/KeyedValueDataset.java</v>
      </c>
      <c r="H483" s="9">
        <f>IFERROR(__xludf.DUMMYFUNCTION("""COMPUTED_VALUE"""),2.0)</f>
        <v>2</v>
      </c>
      <c r="I483" s="9">
        <f>IFERROR(__xludf.DUMMYFUNCTION("""COMPUTED_VALUE"""),4.0)</f>
        <v>4</v>
      </c>
      <c r="J483" s="9">
        <f>IFERROR(__xludf.DUMMYFUNCTION("""COMPUTED_VALUE"""),91.49)</f>
        <v>91.49</v>
      </c>
      <c r="Q483" s="12" t="str">
        <f t="shared" ref="Q483:S483" si="487">IF(H483&gt;M$5, $G483, "")</f>
        <v/>
      </c>
      <c r="R483" s="13" t="str">
        <f t="shared" si="487"/>
        <v/>
      </c>
      <c r="S483" s="14" t="str">
        <f t="shared" si="487"/>
        <v/>
      </c>
    </row>
    <row r="484">
      <c r="A484" s="1" t="s">
        <v>497</v>
      </c>
      <c r="G484" s="9" t="str">
        <f>IFERROR(__xludf.DUMMYFUNCTION("SPLIT(A484,"","")"),"./src/main/java/org/jfree/data/general/KeyedValues2DDataset.java")</f>
        <v>./src/main/java/org/jfree/data/general/KeyedValues2DDataset.java</v>
      </c>
      <c r="H484" s="9">
        <f>IFERROR(__xludf.DUMMYFUNCTION("""COMPUTED_VALUE"""),3.0)</f>
        <v>3</v>
      </c>
      <c r="I484" s="9">
        <f>IFERROR(__xludf.DUMMYFUNCTION("""COMPUTED_VALUE"""),4.0)</f>
        <v>4</v>
      </c>
      <c r="J484" s="9">
        <f>IFERROR(__xludf.DUMMYFUNCTION("""COMPUTED_VALUE"""),91.49)</f>
        <v>91.49</v>
      </c>
      <c r="Q484" s="12" t="str">
        <f t="shared" ref="Q484:S484" si="488">IF(H484&gt;M$5, $G484, "")</f>
        <v/>
      </c>
      <c r="R484" s="13" t="str">
        <f t="shared" si="488"/>
        <v/>
      </c>
      <c r="S484" s="14" t="str">
        <f t="shared" si="488"/>
        <v/>
      </c>
    </row>
    <row r="485">
      <c r="A485" s="1" t="s">
        <v>498</v>
      </c>
      <c r="G485" s="9" t="str">
        <f>IFERROR(__xludf.DUMMYFUNCTION("SPLIT(A485,"","")"),"./src/main/java/org/jfree/data/general/KeyedValuesDataset.java")</f>
        <v>./src/main/java/org/jfree/data/general/KeyedValuesDataset.java</v>
      </c>
      <c r="H485" s="9">
        <f>IFERROR(__xludf.DUMMYFUNCTION("""COMPUTED_VALUE"""),3.0)</f>
        <v>3</v>
      </c>
      <c r="I485" s="9">
        <f>IFERROR(__xludf.DUMMYFUNCTION("""COMPUTED_VALUE"""),4.0)</f>
        <v>4</v>
      </c>
      <c r="J485" s="9">
        <f>IFERROR(__xludf.DUMMYFUNCTION("""COMPUTED_VALUE"""),90.7)</f>
        <v>90.7</v>
      </c>
      <c r="Q485" s="12" t="str">
        <f t="shared" ref="Q485:S485" si="489">IF(H485&gt;M$5, $G485, "")</f>
        <v/>
      </c>
      <c r="R485" s="13" t="str">
        <f t="shared" si="489"/>
        <v/>
      </c>
      <c r="S485" s="14" t="str">
        <f t="shared" si="489"/>
        <v/>
      </c>
    </row>
    <row r="486">
      <c r="A486" s="1" t="s">
        <v>499</v>
      </c>
      <c r="G486" s="9" t="str">
        <f>IFERROR(__xludf.DUMMYFUNCTION("SPLIT(A486,"","")"),"./src/main/java/org/jfree/data/general/PieDataset.java")</f>
        <v>./src/main/java/org/jfree/data/general/PieDataset.java</v>
      </c>
      <c r="H486" s="9">
        <f>IFERROR(__xludf.DUMMYFUNCTION("""COMPUTED_VALUE"""),5.0)</f>
        <v>5</v>
      </c>
      <c r="I486" s="9">
        <f>IFERROR(__xludf.DUMMYFUNCTION("""COMPUTED_VALUE"""),5.0)</f>
        <v>5</v>
      </c>
      <c r="J486" s="9">
        <f>IFERROR(__xludf.DUMMYFUNCTION("""COMPUTED_VALUE"""),89.8)</f>
        <v>89.8</v>
      </c>
      <c r="Q486" s="12" t="str">
        <f t="shared" ref="Q486:S486" si="490">IF(H486&gt;M$5, $G486, "")</f>
        <v/>
      </c>
      <c r="R486" s="13" t="str">
        <f t="shared" si="490"/>
        <v/>
      </c>
      <c r="S486" s="14" t="str">
        <f t="shared" si="490"/>
        <v/>
      </c>
    </row>
    <row r="487">
      <c r="A487" s="1" t="s">
        <v>500</v>
      </c>
      <c r="G487" s="9" t="str">
        <f>IFERROR(__xludf.DUMMYFUNCTION("SPLIT(A487,"","")"),"./src/main/java/org/jfree/data/general/Series.java")</f>
        <v>./src/main/java/org/jfree/data/general/Series.java</v>
      </c>
      <c r="H487" s="9">
        <f>IFERROR(__xludf.DUMMYFUNCTION("""COMPUTED_VALUE"""),12.0)</f>
        <v>12</v>
      </c>
      <c r="I487" s="9">
        <f>IFERROR(__xludf.DUMMYFUNCTION("""COMPUTED_VALUE"""),79.0)</f>
        <v>79</v>
      </c>
      <c r="J487" s="9">
        <f>IFERROR(__xludf.DUMMYFUNCTION("""COMPUTED_VALUE"""),64.25)</f>
        <v>64.25</v>
      </c>
      <c r="Q487" s="12" t="str">
        <f t="shared" ref="Q487:S487" si="491">IF(H487&gt;M$5, $G487, "")</f>
        <v/>
      </c>
      <c r="R487" s="13" t="str">
        <f t="shared" si="491"/>
        <v/>
      </c>
      <c r="S487" s="14" t="str">
        <f t="shared" si="491"/>
        <v/>
      </c>
    </row>
    <row r="488">
      <c r="A488" s="1" t="s">
        <v>501</v>
      </c>
      <c r="G488" s="9" t="str">
        <f>IFERROR(__xludf.DUMMYFUNCTION("SPLIT(A488,"","")"),"./src/main/java/org/jfree/data/general/SeriesChangeEvent.java")</f>
        <v>./src/main/java/org/jfree/data/general/SeriesChangeEvent.java</v>
      </c>
      <c r="H488" s="9">
        <f>IFERROR(__xludf.DUMMYFUNCTION("""COMPUTED_VALUE"""),2.0)</f>
        <v>2</v>
      </c>
      <c r="I488" s="9">
        <f>IFERROR(__xludf.DUMMYFUNCTION("""COMPUTED_VALUE"""),9.0)</f>
        <v>9</v>
      </c>
      <c r="J488" s="9">
        <f>IFERROR(__xludf.DUMMYFUNCTION("""COMPUTED_VALUE"""),84.48)</f>
        <v>84.48</v>
      </c>
      <c r="Q488" s="12" t="str">
        <f t="shared" ref="Q488:S488" si="492">IF(H488&gt;M$5, $G488, "")</f>
        <v/>
      </c>
      <c r="R488" s="13" t="str">
        <f t="shared" si="492"/>
        <v/>
      </c>
      <c r="S488" s="14" t="str">
        <f t="shared" si="492"/>
        <v/>
      </c>
    </row>
    <row r="489">
      <c r="A489" s="1" t="s">
        <v>502</v>
      </c>
      <c r="G489" s="9" t="str">
        <f>IFERROR(__xludf.DUMMYFUNCTION("SPLIT(A489,"","")"),"./src/main/java/org/jfree/data/general/SeriesChangeListener.java")</f>
        <v>./src/main/java/org/jfree/data/general/SeriesChangeListener.java</v>
      </c>
      <c r="H489" s="9">
        <f>IFERROR(__xludf.DUMMYFUNCTION("""COMPUTED_VALUE"""),3.0)</f>
        <v>3</v>
      </c>
      <c r="I489" s="9">
        <f>IFERROR(__xludf.DUMMYFUNCTION("""COMPUTED_VALUE"""),5.0)</f>
        <v>5</v>
      </c>
      <c r="J489" s="9">
        <f>IFERROR(__xludf.DUMMYFUNCTION("""COMPUTED_VALUE"""),90.74)</f>
        <v>90.74</v>
      </c>
      <c r="Q489" s="12" t="str">
        <f t="shared" ref="Q489:S489" si="493">IF(H489&gt;M$5, $G489, "")</f>
        <v/>
      </c>
      <c r="R489" s="13" t="str">
        <f t="shared" si="493"/>
        <v/>
      </c>
      <c r="S489" s="14" t="str">
        <f t="shared" si="493"/>
        <v/>
      </c>
    </row>
    <row r="490">
      <c r="A490" s="1" t="s">
        <v>503</v>
      </c>
      <c r="G490" s="9" t="str">
        <f>IFERROR(__xludf.DUMMYFUNCTION("SPLIT(A490,"","")"),"./src/main/java/org/jfree/data/general/SeriesDataset.java")</f>
        <v>./src/main/java/org/jfree/data/general/SeriesDataset.java</v>
      </c>
      <c r="H490" s="9">
        <f>IFERROR(__xludf.DUMMYFUNCTION("""COMPUTED_VALUE"""),6.0)</f>
        <v>6</v>
      </c>
      <c r="I490" s="9">
        <f>IFERROR(__xludf.DUMMYFUNCTION("""COMPUTED_VALUE"""),11.0)</f>
        <v>11</v>
      </c>
      <c r="J490" s="9">
        <f>IFERROR(__xludf.DUMMYFUNCTION("""COMPUTED_VALUE"""),85.9)</f>
        <v>85.9</v>
      </c>
      <c r="Q490" s="12" t="str">
        <f t="shared" ref="Q490:S490" si="494">IF(H490&gt;M$5, $G490, "")</f>
        <v/>
      </c>
      <c r="R490" s="13" t="str">
        <f t="shared" si="494"/>
        <v/>
      </c>
      <c r="S490" s="14" t="str">
        <f t="shared" si="494"/>
        <v/>
      </c>
    </row>
    <row r="491">
      <c r="A491" s="1" t="s">
        <v>504</v>
      </c>
      <c r="G491" s="9" t="str">
        <f>IFERROR(__xludf.DUMMYFUNCTION("SPLIT(A491,"","")"),"./src/main/java/org/jfree/data/general/SeriesException.java")</f>
        <v>./src/main/java/org/jfree/data/general/SeriesException.java</v>
      </c>
      <c r="H491" s="9">
        <f>IFERROR(__xludf.DUMMYFUNCTION("""COMPUTED_VALUE"""),2.0)</f>
        <v>2</v>
      </c>
      <c r="I491" s="9">
        <f>IFERROR(__xludf.DUMMYFUNCTION("""COMPUTED_VALUE"""),8.0)</f>
        <v>8</v>
      </c>
      <c r="J491" s="9">
        <f>IFERROR(__xludf.DUMMYFUNCTION("""COMPUTED_VALUE"""),86.21)</f>
        <v>86.21</v>
      </c>
      <c r="Q491" s="12" t="str">
        <f t="shared" ref="Q491:S491" si="495">IF(H491&gt;M$5, $G491, "")</f>
        <v/>
      </c>
      <c r="R491" s="13" t="str">
        <f t="shared" si="495"/>
        <v/>
      </c>
      <c r="S491" s="14" t="str">
        <f t="shared" si="495"/>
        <v/>
      </c>
    </row>
    <row r="492">
      <c r="A492" s="1" t="s">
        <v>505</v>
      </c>
      <c r="G492" s="9" t="str">
        <f>IFERROR(__xludf.DUMMYFUNCTION("SPLIT(A492,"","")"),"./src/main/java/org/jfree/data/general/ValueDataset.java")</f>
        <v>./src/main/java/org/jfree/data/general/ValueDataset.java</v>
      </c>
      <c r="H492" s="9">
        <f>IFERROR(__xludf.DUMMYFUNCTION("""COMPUTED_VALUE"""),2.0)</f>
        <v>2</v>
      </c>
      <c r="I492" s="9">
        <f>IFERROR(__xludf.DUMMYFUNCTION("""COMPUTED_VALUE"""),4.0)</f>
        <v>4</v>
      </c>
      <c r="J492" s="9">
        <f>IFERROR(__xludf.DUMMYFUNCTION("""COMPUTED_VALUE"""),91.49)</f>
        <v>91.49</v>
      </c>
      <c r="Q492" s="12" t="str">
        <f t="shared" ref="Q492:S492" si="496">IF(H492&gt;M$5, $G492, "")</f>
        <v/>
      </c>
      <c r="R492" s="13" t="str">
        <f t="shared" si="496"/>
        <v/>
      </c>
      <c r="S492" s="14" t="str">
        <f t="shared" si="496"/>
        <v/>
      </c>
    </row>
    <row r="493">
      <c r="A493" s="1" t="s">
        <v>506</v>
      </c>
      <c r="G493" s="9" t="str">
        <f>IFERROR(__xludf.DUMMYFUNCTION("SPLIT(A493,"","")"),"./src/main/java/org/jfree/data/general/WaferMapDataset.java")</f>
        <v>./src/main/java/org/jfree/data/general/WaferMapDataset.java</v>
      </c>
      <c r="H493" s="9">
        <f>IFERROR(__xludf.DUMMYFUNCTION("""COMPUTED_VALUE"""),5.0)</f>
        <v>5</v>
      </c>
      <c r="I493" s="9">
        <f>IFERROR(__xludf.DUMMYFUNCTION("""COMPUTED_VALUE"""),109.0)</f>
        <v>109</v>
      </c>
      <c r="J493" s="9">
        <f>IFERROR(__xludf.DUMMYFUNCTION("""COMPUTED_VALUE"""),60.07)</f>
        <v>60.07</v>
      </c>
      <c r="Q493" s="12" t="str">
        <f t="shared" ref="Q493:S493" si="497">IF(H493&gt;M$5, $G493, "")</f>
        <v/>
      </c>
      <c r="R493" s="13" t="str">
        <f t="shared" si="497"/>
        <v/>
      </c>
      <c r="S493" s="14" t="str">
        <f t="shared" si="497"/>
        <v/>
      </c>
    </row>
    <row r="494">
      <c r="A494" s="1" t="s">
        <v>507</v>
      </c>
      <c r="G494" s="9" t="str">
        <f>IFERROR(__xludf.DUMMYFUNCTION("SPLIT(A494,"","")"),"./src/main/java/org/jfree/data/io/CSV.java")</f>
        <v>./src/main/java/org/jfree/data/io/CSV.java</v>
      </c>
      <c r="H494" s="9">
        <f>IFERROR(__xludf.DUMMYFUNCTION("""COMPUTED_VALUE"""),2.0)</f>
        <v>2</v>
      </c>
      <c r="I494" s="9">
        <f>IFERROR(__xludf.DUMMYFUNCTION("""COMPUTED_VALUE"""),96.0)</f>
        <v>96</v>
      </c>
      <c r="J494" s="9">
        <f>IFERROR(__xludf.DUMMYFUNCTION("""COMPUTED_VALUE"""),48.39)</f>
        <v>48.39</v>
      </c>
      <c r="Q494" s="12" t="str">
        <f t="shared" ref="Q494:S494" si="498">IF(H494&gt;M$5, $G494, "")</f>
        <v/>
      </c>
      <c r="R494" s="13" t="str">
        <f t="shared" si="498"/>
        <v/>
      </c>
      <c r="S494" s="14" t="str">
        <f t="shared" si="498"/>
        <v/>
      </c>
    </row>
    <row r="495">
      <c r="A495" s="1" t="s">
        <v>508</v>
      </c>
      <c r="G495" s="9" t="str">
        <f>IFERROR(__xludf.DUMMYFUNCTION("SPLIT(A495,"","")"),"./src/main/java/org/jfree/data/ItemKey.java")</f>
        <v>./src/main/java/org/jfree/data/ItemKey.java</v>
      </c>
      <c r="H495" s="9">
        <f>IFERROR(__xludf.DUMMYFUNCTION("""COMPUTED_VALUE"""),4.0)</f>
        <v>4</v>
      </c>
      <c r="I495" s="9">
        <f>IFERROR(__xludf.DUMMYFUNCTION("""COMPUTED_VALUE"""),4.0)</f>
        <v>4</v>
      </c>
      <c r="J495" s="9">
        <f>IFERROR(__xludf.DUMMYFUNCTION("""COMPUTED_VALUE"""),91.49)</f>
        <v>91.49</v>
      </c>
      <c r="Q495" s="12" t="str">
        <f t="shared" ref="Q495:S495" si="499">IF(H495&gt;M$5, $G495, "")</f>
        <v/>
      </c>
      <c r="R495" s="13" t="str">
        <f t="shared" si="499"/>
        <v/>
      </c>
      <c r="S495" s="14" t="str">
        <f t="shared" si="499"/>
        <v/>
      </c>
    </row>
    <row r="496">
      <c r="A496" s="1" t="s">
        <v>509</v>
      </c>
      <c r="G496" s="9" t="str">
        <f>IFERROR(__xludf.DUMMYFUNCTION("SPLIT(A496,"","")"),"./src/main/java/org/jfree/data/json/impl/JSONArray.java")</f>
        <v>./src/main/java/org/jfree/data/json/impl/JSONArray.java</v>
      </c>
      <c r="H496" s="9">
        <f>IFERROR(__xludf.DUMMYFUNCTION("""COMPUTED_VALUE"""),4.0)</f>
        <v>4</v>
      </c>
      <c r="I496" s="9">
        <f>IFERROR(__xludf.DUMMYFUNCTION("""COMPUTED_VALUE"""),72.0)</f>
        <v>72</v>
      </c>
      <c r="J496" s="9">
        <f>IFERROR(__xludf.DUMMYFUNCTION("""COMPUTED_VALUE"""),50.0)</f>
        <v>50</v>
      </c>
      <c r="Q496" s="12" t="str">
        <f t="shared" ref="Q496:S496" si="500">IF(H496&gt;M$5, $G496, "")</f>
        <v/>
      </c>
      <c r="R496" s="13" t="str">
        <f t="shared" si="500"/>
        <v/>
      </c>
      <c r="S496" s="14" t="str">
        <f t="shared" si="500"/>
        <v/>
      </c>
    </row>
    <row r="497">
      <c r="A497" s="1" t="s">
        <v>510</v>
      </c>
      <c r="G497" s="9" t="str">
        <f>IFERROR(__xludf.DUMMYFUNCTION("SPLIT(A497,"","")"),"./src/main/java/org/jfree/data/json/impl/JSONAware.java")</f>
        <v>./src/main/java/org/jfree/data/json/impl/JSONAware.java</v>
      </c>
      <c r="H497" s="9">
        <f>IFERROR(__xludf.DUMMYFUNCTION("""COMPUTED_VALUE"""),2.0)</f>
        <v>2</v>
      </c>
      <c r="I497" s="9">
        <f>IFERROR(__xludf.DUMMYFUNCTION("""COMPUTED_VALUE"""),4.0)</f>
        <v>4</v>
      </c>
      <c r="J497" s="9">
        <f>IFERROR(__xludf.DUMMYFUNCTION("""COMPUTED_VALUE"""),90.24)</f>
        <v>90.24</v>
      </c>
      <c r="Q497" s="12" t="str">
        <f t="shared" ref="Q497:S497" si="501">IF(H497&gt;M$5, $G497, "")</f>
        <v/>
      </c>
      <c r="R497" s="13" t="str">
        <f t="shared" si="501"/>
        <v/>
      </c>
      <c r="S497" s="14" t="str">
        <f t="shared" si="501"/>
        <v/>
      </c>
    </row>
    <row r="498">
      <c r="A498" s="1" t="s">
        <v>511</v>
      </c>
      <c r="G498" s="9" t="str">
        <f>IFERROR(__xludf.DUMMYFUNCTION("SPLIT(A498,"","")"),"./src/main/java/org/jfree/data/json/impl/JSONObject.java")</f>
        <v>./src/main/java/org/jfree/data/json/impl/JSONObject.java</v>
      </c>
      <c r="H498" s="9">
        <f>IFERROR(__xludf.DUMMYFUNCTION("""COMPUTED_VALUE"""),4.0)</f>
        <v>4</v>
      </c>
      <c r="I498" s="9">
        <f>IFERROR(__xludf.DUMMYFUNCTION("""COMPUTED_VALUE"""),85.0)</f>
        <v>85</v>
      </c>
      <c r="J498" s="9">
        <f>IFERROR(__xludf.DUMMYFUNCTION("""COMPUTED_VALUE"""),51.43)</f>
        <v>51.43</v>
      </c>
      <c r="Q498" s="12" t="str">
        <f t="shared" ref="Q498:S498" si="502">IF(H498&gt;M$5, $G498, "")</f>
        <v/>
      </c>
      <c r="R498" s="13" t="str">
        <f t="shared" si="502"/>
        <v/>
      </c>
      <c r="S498" s="14" t="str">
        <f t="shared" si="502"/>
        <v/>
      </c>
    </row>
    <row r="499">
      <c r="A499" s="1" t="s">
        <v>512</v>
      </c>
      <c r="G499" s="9" t="str">
        <f>IFERROR(__xludf.DUMMYFUNCTION("SPLIT(A499,"","")"),"./src/main/java/org/jfree/data/json/impl/JSONStreamAware.java")</f>
        <v>./src/main/java/org/jfree/data/json/impl/JSONStreamAware.java</v>
      </c>
      <c r="H499" s="9">
        <f>IFERROR(__xludf.DUMMYFUNCTION("""COMPUTED_VALUE"""),3.0)</f>
        <v>3</v>
      </c>
      <c r="I499" s="9">
        <f>IFERROR(__xludf.DUMMYFUNCTION("""COMPUTED_VALUE"""),6.0)</f>
        <v>6</v>
      </c>
      <c r="J499" s="9">
        <f>IFERROR(__xludf.DUMMYFUNCTION("""COMPUTED_VALUE"""),86.96)</f>
        <v>86.96</v>
      </c>
      <c r="Q499" s="12" t="str">
        <f t="shared" ref="Q499:S499" si="503">IF(H499&gt;M$5, $G499, "")</f>
        <v/>
      </c>
      <c r="R499" s="13" t="str">
        <f t="shared" si="503"/>
        <v/>
      </c>
      <c r="S499" s="14" t="str">
        <f t="shared" si="503"/>
        <v/>
      </c>
    </row>
    <row r="500">
      <c r="A500" s="1" t="s">
        <v>513</v>
      </c>
      <c r="G500" s="9" t="str">
        <f>IFERROR(__xludf.DUMMYFUNCTION("SPLIT(A500,"","")"),"./src/main/java/org/jfree/data/json/impl/JSONValue.java")</f>
        <v>./src/main/java/org/jfree/data/json/impl/JSONValue.java</v>
      </c>
      <c r="H500" s="9">
        <f>IFERROR(__xludf.DUMMYFUNCTION("""COMPUTED_VALUE"""),4.0)</f>
        <v>4</v>
      </c>
      <c r="I500" s="9">
        <f>IFERROR(__xludf.DUMMYFUNCTION("""COMPUTED_VALUE"""),156.0)</f>
        <v>156</v>
      </c>
      <c r="J500" s="9">
        <f>IFERROR(__xludf.DUMMYFUNCTION("""COMPUTED_VALUE"""),50.32)</f>
        <v>50.32</v>
      </c>
      <c r="Q500" s="12" t="str">
        <f t="shared" ref="Q500:S500" si="504">IF(H500&gt;M$5, $G500, "")</f>
        <v/>
      </c>
      <c r="R500" s="13" t="str">
        <f t="shared" si="504"/>
        <v/>
      </c>
      <c r="S500" s="14" t="str">
        <f t="shared" si="504"/>
        <v/>
      </c>
    </row>
    <row r="501">
      <c r="A501" s="1" t="s">
        <v>514</v>
      </c>
      <c r="G501" s="9" t="str">
        <f>IFERROR(__xludf.DUMMYFUNCTION("SPLIT(A501,"","")"),"./src/main/java/org/jfree/data/json/JSONUtils.java")</f>
        <v>./src/main/java/org/jfree/data/json/JSONUtils.java</v>
      </c>
      <c r="H501" s="9">
        <f>IFERROR(__xludf.DUMMYFUNCTION("""COMPUTED_VALUE"""),7.0)</f>
        <v>7</v>
      </c>
      <c r="I501" s="9">
        <f>IFERROR(__xludf.DUMMYFUNCTION("""COMPUTED_VALUE"""),102.0)</f>
        <v>102</v>
      </c>
      <c r="J501" s="9">
        <f>IFERROR(__xludf.DUMMYFUNCTION("""COMPUTED_VALUE"""),45.45)</f>
        <v>45.45</v>
      </c>
      <c r="Q501" s="12" t="str">
        <f t="shared" ref="Q501:S501" si="505">IF(H501&gt;M$5, $G501, "")</f>
        <v/>
      </c>
      <c r="R501" s="13" t="str">
        <f t="shared" si="505"/>
        <v/>
      </c>
      <c r="S501" s="14" t="str">
        <f t="shared" si="505"/>
        <v/>
      </c>
    </row>
    <row r="502">
      <c r="A502" s="1" t="s">
        <v>515</v>
      </c>
      <c r="G502" s="9" t="str">
        <f>IFERROR(__xludf.DUMMYFUNCTION("SPLIT(A502,"","")"),"./src/main/java/org/jfree/data/KeyedObject.java")</f>
        <v>./src/main/java/org/jfree/data/KeyedObject.java</v>
      </c>
      <c r="H502" s="9">
        <f>IFERROR(__xludf.DUMMYFUNCTION("""COMPUTED_VALUE"""),8.0)</f>
        <v>8</v>
      </c>
      <c r="I502" s="9">
        <f>IFERROR(__xludf.DUMMYFUNCTION("""COMPUTED_VALUE"""),56.0)</f>
        <v>56</v>
      </c>
      <c r="J502" s="9">
        <f>IFERROR(__xludf.DUMMYFUNCTION("""COMPUTED_VALUE"""),58.52)</f>
        <v>58.52</v>
      </c>
      <c r="Q502" s="12" t="str">
        <f t="shared" ref="Q502:S502" si="506">IF(H502&gt;M$5, $G502, "")</f>
        <v/>
      </c>
      <c r="R502" s="13" t="str">
        <f t="shared" si="506"/>
        <v/>
      </c>
      <c r="S502" s="14" t="str">
        <f t="shared" si="506"/>
        <v/>
      </c>
    </row>
    <row r="503">
      <c r="A503" s="1" t="s">
        <v>516</v>
      </c>
      <c r="G503" s="9" t="str">
        <f>IFERROR(__xludf.DUMMYFUNCTION("SPLIT(A503,"","")"),"./src/main/java/org/jfree/data/KeyedObjects.java")</f>
        <v>./src/main/java/org/jfree/data/KeyedObjects.java</v>
      </c>
      <c r="H503" s="9">
        <f>IFERROR(__xludf.DUMMYFUNCTION("""COMPUTED_VALUE"""),8.0)</f>
        <v>8</v>
      </c>
      <c r="I503" s="9">
        <f>IFERROR(__xludf.DUMMYFUNCTION("""COMPUTED_VALUE"""),149.0)</f>
        <v>149</v>
      </c>
      <c r="J503" s="9">
        <f>IFERROR(__xludf.DUMMYFUNCTION("""COMPUTED_VALUE"""),52.7)</f>
        <v>52.7</v>
      </c>
      <c r="Q503" s="12" t="str">
        <f t="shared" ref="Q503:S503" si="507">IF(H503&gt;M$5, $G503, "")</f>
        <v/>
      </c>
      <c r="R503" s="13" t="str">
        <f t="shared" si="507"/>
        <v/>
      </c>
      <c r="S503" s="14" t="str">
        <f t="shared" si="507"/>
        <v/>
      </c>
    </row>
    <row r="504">
      <c r="A504" s="1" t="s">
        <v>517</v>
      </c>
      <c r="G504" s="9" t="str">
        <f>IFERROR(__xludf.DUMMYFUNCTION("SPLIT(A504,"","")"),"./src/main/java/org/jfree/data/KeyedObjects2D.java")</f>
        <v>./src/main/java/org/jfree/data/KeyedObjects2D.java</v>
      </c>
      <c r="H504" s="9">
        <f>IFERROR(__xludf.DUMMYFUNCTION("""COMPUTED_VALUE"""),7.0)</f>
        <v>7</v>
      </c>
      <c r="I504" s="9">
        <f>IFERROR(__xludf.DUMMYFUNCTION("""COMPUTED_VALUE"""),244.0)</f>
        <v>244</v>
      </c>
      <c r="J504" s="9">
        <f>IFERROR(__xludf.DUMMYFUNCTION("""COMPUTED_VALUE"""),47.19)</f>
        <v>47.19</v>
      </c>
      <c r="Q504" s="12" t="str">
        <f t="shared" ref="Q504:S504" si="508">IF(H504&gt;M$5, $G504, "")</f>
        <v/>
      </c>
      <c r="R504" s="13" t="str">
        <f t="shared" si="508"/>
        <v/>
      </c>
      <c r="S504" s="14" t="str">
        <f t="shared" si="508"/>
        <v/>
      </c>
    </row>
    <row r="505">
      <c r="A505" s="1" t="s">
        <v>518</v>
      </c>
      <c r="G505" s="9" t="str">
        <f>IFERROR(__xludf.DUMMYFUNCTION("SPLIT(A505,"","")"),"./src/main/java/org/jfree/data/KeyedValue.java")</f>
        <v>./src/main/java/org/jfree/data/KeyedValue.java</v>
      </c>
      <c r="H505" s="9">
        <f>IFERROR(__xludf.DUMMYFUNCTION("""COMPUTED_VALUE"""),4.0)</f>
        <v>4</v>
      </c>
      <c r="I505" s="9">
        <f>IFERROR(__xludf.DUMMYFUNCTION("""COMPUTED_VALUE"""),4.0)</f>
        <v>4</v>
      </c>
      <c r="J505" s="9">
        <f>IFERROR(__xludf.DUMMYFUNCTION("""COMPUTED_VALUE"""),92.0)</f>
        <v>92</v>
      </c>
      <c r="Q505" s="12" t="str">
        <f t="shared" ref="Q505:S505" si="509">IF(H505&gt;M$5, $G505, "")</f>
        <v/>
      </c>
      <c r="R505" s="13" t="str">
        <f t="shared" si="509"/>
        <v/>
      </c>
      <c r="S505" s="14" t="str">
        <f t="shared" si="509"/>
        <v/>
      </c>
    </row>
    <row r="506">
      <c r="A506" s="1" t="s">
        <v>519</v>
      </c>
      <c r="G506" s="9" t="str">
        <f>IFERROR(__xludf.DUMMYFUNCTION("SPLIT(A506,"","")"),"./src/main/java/org/jfree/data/KeyedValueComparator.java")</f>
        <v>./src/main/java/org/jfree/data/KeyedValueComparator.java</v>
      </c>
      <c r="H506" s="9">
        <f>IFERROR(__xludf.DUMMYFUNCTION("""COMPUTED_VALUE"""),9.0)</f>
        <v>9</v>
      </c>
      <c r="I506" s="9">
        <f>IFERROR(__xludf.DUMMYFUNCTION("""COMPUTED_VALUE"""),84.0)</f>
        <v>84</v>
      </c>
      <c r="J506" s="9">
        <f>IFERROR(__xludf.DUMMYFUNCTION("""COMPUTED_VALUE"""),44.37)</f>
        <v>44.37</v>
      </c>
      <c r="Q506" s="12" t="str">
        <f t="shared" ref="Q506:S506" si="510">IF(H506&gt;M$5, $G506, "")</f>
        <v/>
      </c>
      <c r="R506" s="13" t="str">
        <f t="shared" si="510"/>
        <v/>
      </c>
      <c r="S506" s="14" t="str">
        <f t="shared" si="510"/>
        <v/>
      </c>
    </row>
    <row r="507">
      <c r="A507" s="1" t="s">
        <v>520</v>
      </c>
      <c r="G507" s="9" t="str">
        <f>IFERROR(__xludf.DUMMYFUNCTION("SPLIT(A507,"","")"),"./src/main/java/org/jfree/data/KeyedValueComparatorType.java")</f>
        <v>./src/main/java/org/jfree/data/KeyedValueComparatorType.java</v>
      </c>
      <c r="H507" s="9">
        <f>IFERROR(__xludf.DUMMYFUNCTION("""COMPUTED_VALUE"""),5.0)</f>
        <v>5</v>
      </c>
      <c r="I507" s="9">
        <f>IFERROR(__xludf.DUMMYFUNCTION("""COMPUTED_VALUE"""),5.0)</f>
        <v>5</v>
      </c>
      <c r="J507" s="9">
        <f>IFERROR(__xludf.DUMMYFUNCTION("""COMPUTED_VALUE"""),90.38)</f>
        <v>90.38</v>
      </c>
      <c r="Q507" s="12" t="str">
        <f t="shared" ref="Q507:S507" si="511">IF(H507&gt;M$5, $G507, "")</f>
        <v/>
      </c>
      <c r="R507" s="13" t="str">
        <f t="shared" si="511"/>
        <v/>
      </c>
      <c r="S507" s="14" t="str">
        <f t="shared" si="511"/>
        <v/>
      </c>
    </row>
    <row r="508">
      <c r="A508" s="1" t="s">
        <v>521</v>
      </c>
      <c r="G508" s="9" t="str">
        <f>IFERROR(__xludf.DUMMYFUNCTION("SPLIT(A508,"","")"),"./src/main/java/org/jfree/data/KeyedValues.java")</f>
        <v>./src/main/java/org/jfree/data/KeyedValues.java</v>
      </c>
      <c r="H508" s="9">
        <f>IFERROR(__xludf.DUMMYFUNCTION("""COMPUTED_VALUE"""),5.0)</f>
        <v>5</v>
      </c>
      <c r="I508" s="9">
        <f>IFERROR(__xludf.DUMMYFUNCTION("""COMPUTED_VALUE"""),8.0)</f>
        <v>8</v>
      </c>
      <c r="J508" s="9">
        <f>IFERROR(__xludf.DUMMYFUNCTION("""COMPUTED_VALUE"""),91.01)</f>
        <v>91.01</v>
      </c>
      <c r="Q508" s="12" t="str">
        <f t="shared" ref="Q508:S508" si="512">IF(H508&gt;M$5, $G508, "")</f>
        <v/>
      </c>
      <c r="R508" s="13" t="str">
        <f t="shared" si="512"/>
        <v/>
      </c>
      <c r="S508" s="14" t="str">
        <f t="shared" si="512"/>
        <v/>
      </c>
    </row>
    <row r="509">
      <c r="A509" s="1" t="s">
        <v>522</v>
      </c>
      <c r="G509" s="9" t="str">
        <f>IFERROR(__xludf.DUMMYFUNCTION("SPLIT(A509,"","")"),"./src/main/java/org/jfree/data/KeyedValues2D.java")</f>
        <v>./src/main/java/org/jfree/data/KeyedValues2D.java</v>
      </c>
      <c r="H509" s="9">
        <f>IFERROR(__xludf.DUMMYFUNCTION("""COMPUTED_VALUE"""),6.0)</f>
        <v>6</v>
      </c>
      <c r="I509" s="9">
        <f>IFERROR(__xludf.DUMMYFUNCTION("""COMPUTED_VALUE"""),12.0)</f>
        <v>12</v>
      </c>
      <c r="J509" s="9">
        <f>IFERROR(__xludf.DUMMYFUNCTION("""COMPUTED_VALUE"""),88.35)</f>
        <v>88.35</v>
      </c>
      <c r="Q509" s="12" t="str">
        <f t="shared" ref="Q509:S509" si="513">IF(H509&gt;M$5, $G509, "")</f>
        <v/>
      </c>
      <c r="R509" s="13" t="str">
        <f t="shared" si="513"/>
        <v/>
      </c>
      <c r="S509" s="14" t="str">
        <f t="shared" si="513"/>
        <v/>
      </c>
    </row>
    <row r="510">
      <c r="A510" s="1" t="s">
        <v>523</v>
      </c>
      <c r="G510" s="9" t="str">
        <f>IFERROR(__xludf.DUMMYFUNCTION("SPLIT(A510,"","")"),"./src/main/java/org/jfree/data/KeyedValues2DItemKey.java")</f>
        <v>./src/main/java/org/jfree/data/KeyedValues2DItemKey.java</v>
      </c>
      <c r="H510" s="9">
        <f>IFERROR(__xludf.DUMMYFUNCTION("""COMPUTED_VALUE"""),9.0)</f>
        <v>9</v>
      </c>
      <c r="I510" s="9">
        <f>IFERROR(__xludf.DUMMYFUNCTION("""COMPUTED_VALUE"""),72.0)</f>
        <v>72</v>
      </c>
      <c r="J510" s="9">
        <f>IFERROR(__xludf.DUMMYFUNCTION("""COMPUTED_VALUE"""),48.94)</f>
        <v>48.94</v>
      </c>
      <c r="Q510" s="12" t="str">
        <f t="shared" ref="Q510:S510" si="514">IF(H510&gt;M$5, $G510, "")</f>
        <v/>
      </c>
      <c r="R510" s="13" t="str">
        <f t="shared" si="514"/>
        <v/>
      </c>
      <c r="S510" s="14" t="str">
        <f t="shared" si="514"/>
        <v/>
      </c>
    </row>
    <row r="511">
      <c r="A511" s="1" t="s">
        <v>524</v>
      </c>
      <c r="G511" s="9" t="str">
        <f>IFERROR(__xludf.DUMMYFUNCTION("SPLIT(A511,"","")"),"./src/main/java/org/jfree/data/KeyedValuesItemKey.java")</f>
        <v>./src/main/java/org/jfree/data/KeyedValuesItemKey.java</v>
      </c>
      <c r="H511" s="9">
        <f>IFERROR(__xludf.DUMMYFUNCTION("""COMPUTED_VALUE"""),7.0)</f>
        <v>7</v>
      </c>
      <c r="I511" s="9">
        <f>IFERROR(__xludf.DUMMYFUNCTION("""COMPUTED_VALUE"""),49.0)</f>
        <v>49</v>
      </c>
      <c r="J511" s="9">
        <f>IFERROR(__xludf.DUMMYFUNCTION("""COMPUTED_VALUE"""),54.21)</f>
        <v>54.21</v>
      </c>
      <c r="Q511" s="12" t="str">
        <f t="shared" ref="Q511:S511" si="515">IF(H511&gt;M$5, $G511, "")</f>
        <v/>
      </c>
      <c r="R511" s="13" t="str">
        <f t="shared" si="515"/>
        <v/>
      </c>
      <c r="S511" s="14" t="str">
        <f t="shared" si="515"/>
        <v/>
      </c>
    </row>
    <row r="512">
      <c r="A512" s="1" t="s">
        <v>525</v>
      </c>
      <c r="G512" s="9" t="str">
        <f>IFERROR(__xludf.DUMMYFUNCTION("SPLIT(A512,"","")"),"./src/main/java/org/jfree/data/KeyToGroupMap.java")</f>
        <v>./src/main/java/org/jfree/data/KeyToGroupMap.java</v>
      </c>
      <c r="H512" s="9">
        <f>IFERROR(__xludf.DUMMYFUNCTION("""COMPUTED_VALUE"""),16.0)</f>
        <v>16</v>
      </c>
      <c r="I512" s="9">
        <f>IFERROR(__xludf.DUMMYFUNCTION("""COMPUTED_VALUE"""),162.0)</f>
        <v>162</v>
      </c>
      <c r="J512" s="9">
        <f>IFERROR(__xludf.DUMMYFUNCTION("""COMPUTED_VALUE"""),43.55)</f>
        <v>43.55</v>
      </c>
      <c r="Q512" s="12" t="str">
        <f t="shared" ref="Q512:S512" si="516">IF(H512&gt;M$5, $G512, "")</f>
        <v/>
      </c>
      <c r="R512" s="13" t="str">
        <f t="shared" si="516"/>
        <v/>
      </c>
      <c r="S512" s="14" t="str">
        <f t="shared" si="516"/>
        <v/>
      </c>
    </row>
    <row r="513">
      <c r="A513" s="1" t="s">
        <v>526</v>
      </c>
      <c r="G513" s="9" t="str">
        <f>IFERROR(__xludf.DUMMYFUNCTION("SPLIT(A513,"","")"),"./src/main/java/org/jfree/data/Range.java")</f>
        <v>./src/main/java/org/jfree/data/Range.java</v>
      </c>
      <c r="H513" s="9">
        <f>IFERROR(__xludf.DUMMYFUNCTION("""COMPUTED_VALUE"""),8.0)</f>
        <v>8</v>
      </c>
      <c r="I513" s="9">
        <f>IFERROR(__xludf.DUMMYFUNCTION("""COMPUTED_VALUE"""),196.0)</f>
        <v>196</v>
      </c>
      <c r="J513" s="9">
        <f>IFERROR(__xludf.DUMMYFUNCTION("""COMPUTED_VALUE"""),53.77)</f>
        <v>53.77</v>
      </c>
      <c r="Q513" s="12" t="str">
        <f t="shared" ref="Q513:S513" si="517">IF(H513&gt;M$5, $G513, "")</f>
        <v/>
      </c>
      <c r="R513" s="13" t="str">
        <f t="shared" si="517"/>
        <v/>
      </c>
      <c r="S513" s="14" t="str">
        <f t="shared" si="517"/>
        <v/>
      </c>
    </row>
    <row r="514">
      <c r="A514" s="1" t="s">
        <v>527</v>
      </c>
      <c r="G514" s="9" t="str">
        <f>IFERROR(__xludf.DUMMYFUNCTION("SPLIT(A514,"","")"),"./src/main/java/org/jfree/data/RangeInfo.java")</f>
        <v>./src/main/java/org/jfree/data/RangeInfo.java</v>
      </c>
      <c r="H514" s="9">
        <f>IFERROR(__xludf.DUMMYFUNCTION("""COMPUTED_VALUE"""),4.0)</f>
        <v>4</v>
      </c>
      <c r="I514" s="9">
        <f>IFERROR(__xludf.DUMMYFUNCTION("""COMPUTED_VALUE"""),6.0)</f>
        <v>6</v>
      </c>
      <c r="J514" s="9">
        <f>IFERROR(__xludf.DUMMYFUNCTION("""COMPUTED_VALUE"""),91.43)</f>
        <v>91.43</v>
      </c>
      <c r="Q514" s="12" t="str">
        <f t="shared" ref="Q514:S514" si="518">IF(H514&gt;M$5, $G514, "")</f>
        <v/>
      </c>
      <c r="R514" s="13" t="str">
        <f t="shared" si="518"/>
        <v/>
      </c>
      <c r="S514" s="14" t="str">
        <f t="shared" si="518"/>
        <v/>
      </c>
    </row>
    <row r="515">
      <c r="A515" s="1" t="s">
        <v>528</v>
      </c>
      <c r="G515" s="9" t="str">
        <f>IFERROR(__xludf.DUMMYFUNCTION("SPLIT(A515,"","")"),"./src/main/java/org/jfree/data/RangeType.java")</f>
        <v>./src/main/java/org/jfree/data/RangeType.java</v>
      </c>
      <c r="H515" s="9">
        <f>IFERROR(__xludf.DUMMYFUNCTION("""COMPUTED_VALUE"""),5.0)</f>
        <v>5</v>
      </c>
      <c r="I515" s="9">
        <f>IFERROR(__xludf.DUMMYFUNCTION("""COMPUTED_VALUE"""),6.0)</f>
        <v>6</v>
      </c>
      <c r="J515" s="9">
        <f>IFERROR(__xludf.DUMMYFUNCTION("""COMPUTED_VALUE"""),88.68)</f>
        <v>88.68</v>
      </c>
      <c r="Q515" s="12" t="str">
        <f t="shared" ref="Q515:S515" si="519">IF(H515&gt;M$5, $G515, "")</f>
        <v/>
      </c>
      <c r="R515" s="13" t="str">
        <f t="shared" si="519"/>
        <v/>
      </c>
      <c r="S515" s="14" t="str">
        <f t="shared" si="519"/>
        <v/>
      </c>
    </row>
    <row r="516">
      <c r="A516" s="1" t="s">
        <v>529</v>
      </c>
      <c r="G516" s="9" t="str">
        <f>IFERROR(__xludf.DUMMYFUNCTION("SPLIT(A516,"","")"),"./src/main/java/org/jfree/data/resources/DataPackageResources.java")</f>
        <v>./src/main/java/org/jfree/data/resources/DataPackageResources.java</v>
      </c>
      <c r="H516" s="9">
        <f>IFERROR(__xludf.DUMMYFUNCTION("""COMPUTED_VALUE"""),2.0)</f>
        <v>2</v>
      </c>
      <c r="I516" s="9">
        <f>IFERROR(__xludf.DUMMYFUNCTION("""COMPUTED_VALUE"""),12.0)</f>
        <v>12</v>
      </c>
      <c r="J516" s="9">
        <f>IFERROR(__xludf.DUMMYFUNCTION("""COMPUTED_VALUE"""),80.65)</f>
        <v>80.65</v>
      </c>
      <c r="Q516" s="12" t="str">
        <f t="shared" ref="Q516:S516" si="520">IF(H516&gt;M$5, $G516, "")</f>
        <v/>
      </c>
      <c r="R516" s="13" t="str">
        <f t="shared" si="520"/>
        <v/>
      </c>
      <c r="S516" s="14" t="str">
        <f t="shared" si="520"/>
        <v/>
      </c>
    </row>
    <row r="517">
      <c r="A517" s="1" t="s">
        <v>530</v>
      </c>
      <c r="G517" s="9" t="str">
        <f>IFERROR(__xludf.DUMMYFUNCTION("SPLIT(A517,"","")"),"./src/main/java/org/jfree/data/resources/DataPackageResources_de.java")</f>
        <v>./src/main/java/org/jfree/data/resources/DataPackageResources_de.java</v>
      </c>
      <c r="H517" s="9">
        <f>IFERROR(__xludf.DUMMYFUNCTION("""COMPUTED_VALUE"""),2.0)</f>
        <v>2</v>
      </c>
      <c r="I517" s="9">
        <f>IFERROR(__xludf.DUMMYFUNCTION("""COMPUTED_VALUE"""),12.0)</f>
        <v>12</v>
      </c>
      <c r="J517" s="9">
        <f>IFERROR(__xludf.DUMMYFUNCTION("""COMPUTED_VALUE"""),80.65)</f>
        <v>80.65</v>
      </c>
      <c r="Q517" s="12" t="str">
        <f t="shared" ref="Q517:S517" si="521">IF(H517&gt;M$5, $G517, "")</f>
        <v/>
      </c>
      <c r="R517" s="13" t="str">
        <f t="shared" si="521"/>
        <v/>
      </c>
      <c r="S517" s="14" t="str">
        <f t="shared" si="521"/>
        <v/>
      </c>
    </row>
    <row r="518">
      <c r="A518" s="1" t="s">
        <v>531</v>
      </c>
      <c r="G518" s="9" t="str">
        <f>IFERROR(__xludf.DUMMYFUNCTION("SPLIT(A518,"","")"),"./src/main/java/org/jfree/data/resources/DataPackageResources_es.java")</f>
        <v>./src/main/java/org/jfree/data/resources/DataPackageResources_es.java</v>
      </c>
      <c r="H518" s="9">
        <f>IFERROR(__xludf.DUMMYFUNCTION("""COMPUTED_VALUE"""),2.0)</f>
        <v>2</v>
      </c>
      <c r="I518" s="9">
        <f>IFERROR(__xludf.DUMMYFUNCTION("""COMPUTED_VALUE"""),12.0)</f>
        <v>12</v>
      </c>
      <c r="J518" s="9">
        <f>IFERROR(__xludf.DUMMYFUNCTION("""COMPUTED_VALUE"""),80.65)</f>
        <v>80.65</v>
      </c>
      <c r="Q518" s="12" t="str">
        <f t="shared" ref="Q518:S518" si="522">IF(H518&gt;M$5, $G518, "")</f>
        <v/>
      </c>
      <c r="R518" s="13" t="str">
        <f t="shared" si="522"/>
        <v/>
      </c>
      <c r="S518" s="14" t="str">
        <f t="shared" si="522"/>
        <v/>
      </c>
    </row>
    <row r="519">
      <c r="A519" s="1" t="s">
        <v>532</v>
      </c>
      <c r="G519" s="9" t="str">
        <f>IFERROR(__xludf.DUMMYFUNCTION("SPLIT(A519,"","")"),"./src/main/java/org/jfree/data/resources/DataPackageResources_fr.java")</f>
        <v>./src/main/java/org/jfree/data/resources/DataPackageResources_fr.java</v>
      </c>
      <c r="H519" s="9">
        <f>IFERROR(__xludf.DUMMYFUNCTION("""COMPUTED_VALUE"""),2.0)</f>
        <v>2</v>
      </c>
      <c r="I519" s="9">
        <f>IFERROR(__xludf.DUMMYFUNCTION("""COMPUTED_VALUE"""),12.0)</f>
        <v>12</v>
      </c>
      <c r="J519" s="9">
        <f>IFERROR(__xludf.DUMMYFUNCTION("""COMPUTED_VALUE"""),80.33)</f>
        <v>80.33</v>
      </c>
      <c r="Q519" s="12" t="str">
        <f t="shared" ref="Q519:S519" si="523">IF(H519&gt;M$5, $G519, "")</f>
        <v/>
      </c>
      <c r="R519" s="13" t="str">
        <f t="shared" si="523"/>
        <v/>
      </c>
      <c r="S519" s="14" t="str">
        <f t="shared" si="523"/>
        <v/>
      </c>
    </row>
    <row r="520">
      <c r="A520" s="1" t="s">
        <v>533</v>
      </c>
      <c r="G520" s="9" t="str">
        <f>IFERROR(__xludf.DUMMYFUNCTION("SPLIT(A520,"","")"),"./src/main/java/org/jfree/data/resources/DataPackageResources_pl.java")</f>
        <v>./src/main/java/org/jfree/data/resources/DataPackageResources_pl.java</v>
      </c>
      <c r="H520" s="9">
        <f>IFERROR(__xludf.DUMMYFUNCTION("""COMPUTED_VALUE"""),2.0)</f>
        <v>2</v>
      </c>
      <c r="I520" s="9">
        <f>IFERROR(__xludf.DUMMYFUNCTION("""COMPUTED_VALUE"""),12.0)</f>
        <v>12</v>
      </c>
      <c r="J520" s="9">
        <f>IFERROR(__xludf.DUMMYFUNCTION("""COMPUTED_VALUE"""),80.95)</f>
        <v>80.95</v>
      </c>
      <c r="Q520" s="12" t="str">
        <f t="shared" ref="Q520:S520" si="524">IF(H520&gt;M$5, $G520, "")</f>
        <v/>
      </c>
      <c r="R520" s="13" t="str">
        <f t="shared" si="524"/>
        <v/>
      </c>
      <c r="S520" s="14" t="str">
        <f t="shared" si="524"/>
        <v/>
      </c>
    </row>
    <row r="521">
      <c r="A521" s="1" t="s">
        <v>534</v>
      </c>
      <c r="G521" s="9" t="str">
        <f>IFERROR(__xludf.DUMMYFUNCTION("SPLIT(A521,"","")"),"./src/main/java/org/jfree/data/resources/DataPackageResources_ru.java")</f>
        <v>./src/main/java/org/jfree/data/resources/DataPackageResources_ru.java</v>
      </c>
      <c r="H521" s="9">
        <f>IFERROR(__xludf.DUMMYFUNCTION("""COMPUTED_VALUE"""),2.0)</f>
        <v>2</v>
      </c>
      <c r="I521" s="9">
        <f>IFERROR(__xludf.DUMMYFUNCTION("""COMPUTED_VALUE"""),12.0)</f>
        <v>12</v>
      </c>
      <c r="J521" s="9">
        <f>IFERROR(__xludf.DUMMYFUNCTION("""COMPUTED_VALUE"""),79.66)</f>
        <v>79.66</v>
      </c>
      <c r="Q521" s="12" t="str">
        <f t="shared" ref="Q521:S521" si="525">IF(H521&gt;M$5, $G521, "")</f>
        <v/>
      </c>
      <c r="R521" s="13" t="str">
        <f t="shared" si="525"/>
        <v/>
      </c>
      <c r="S521" s="14" t="str">
        <f t="shared" si="525"/>
        <v/>
      </c>
    </row>
    <row r="522">
      <c r="A522" s="1" t="s">
        <v>535</v>
      </c>
      <c r="G522" s="9" t="str">
        <f>IFERROR(__xludf.DUMMYFUNCTION("SPLIT(A522,"","")"),"./src/main/java/org/jfree/data/statistics/BoxAndWhiskerCalculator.java")</f>
        <v>./src/main/java/org/jfree/data/statistics/BoxAndWhiskerCalculator.java</v>
      </c>
      <c r="H522" s="9">
        <f>IFERROR(__xludf.DUMMYFUNCTION("""COMPUTED_VALUE"""),7.0)</f>
        <v>7</v>
      </c>
      <c r="I522" s="9">
        <f>IFERROR(__xludf.DUMMYFUNCTION("""COMPUTED_VALUE"""),110.0)</f>
        <v>110</v>
      </c>
      <c r="J522" s="9">
        <f>IFERROR(__xludf.DUMMYFUNCTION("""COMPUTED_VALUE"""),44.72)</f>
        <v>44.72</v>
      </c>
      <c r="Q522" s="12" t="str">
        <f t="shared" ref="Q522:S522" si="526">IF(H522&gt;M$5, $G522, "")</f>
        <v/>
      </c>
      <c r="R522" s="13" t="str">
        <f t="shared" si="526"/>
        <v/>
      </c>
      <c r="S522" s="14" t="str">
        <f t="shared" si="526"/>
        <v/>
      </c>
    </row>
    <row r="523">
      <c r="A523" s="1" t="s">
        <v>536</v>
      </c>
      <c r="G523" s="9" t="str">
        <f>IFERROR(__xludf.DUMMYFUNCTION("SPLIT(A523,"","")"),"./src/main/java/org/jfree/data/statistics/BoxAndWhiskerCategoryDataset.java")</f>
        <v>./src/main/java/org/jfree/data/statistics/BoxAndWhiskerCategoryDataset.java</v>
      </c>
      <c r="H523" s="9">
        <f>IFERROR(__xludf.DUMMYFUNCTION("""COMPUTED_VALUE"""),4.0)</f>
        <v>4</v>
      </c>
      <c r="I523" s="9">
        <f>IFERROR(__xludf.DUMMYFUNCTION("""COMPUTED_VALUE"""),24.0)</f>
        <v>24</v>
      </c>
      <c r="J523" s="9">
        <f>IFERROR(__xludf.DUMMYFUNCTION("""COMPUTED_VALUE"""),88.99)</f>
        <v>88.99</v>
      </c>
      <c r="Q523" s="12" t="str">
        <f t="shared" ref="Q523:S523" si="527">IF(H523&gt;M$5, $G523, "")</f>
        <v/>
      </c>
      <c r="R523" s="13" t="str">
        <f t="shared" si="527"/>
        <v/>
      </c>
      <c r="S523" s="14" t="str">
        <f t="shared" si="527"/>
        <v/>
      </c>
    </row>
    <row r="524">
      <c r="A524" s="1" t="s">
        <v>537</v>
      </c>
      <c r="G524" s="9" t="str">
        <f>IFERROR(__xludf.DUMMYFUNCTION("SPLIT(A524,"","")"),"./src/main/java/org/jfree/data/statistics/BoxAndWhiskerItem.java")</f>
        <v>./src/main/java/org/jfree/data/statistics/BoxAndWhiskerItem.java</v>
      </c>
      <c r="H524" s="9">
        <f>IFERROR(__xludf.DUMMYFUNCTION("""COMPUTED_VALUE"""),7.0)</f>
        <v>7</v>
      </c>
      <c r="I524" s="9">
        <f>IFERROR(__xludf.DUMMYFUNCTION("""COMPUTED_VALUE"""),125.0)</f>
        <v>125</v>
      </c>
      <c r="J524" s="9">
        <f>IFERROR(__xludf.DUMMYFUNCTION("""COMPUTED_VALUE"""),52.47)</f>
        <v>52.47</v>
      </c>
      <c r="Q524" s="12" t="str">
        <f t="shared" ref="Q524:S524" si="528">IF(H524&gt;M$5, $G524, "")</f>
        <v/>
      </c>
      <c r="R524" s="13" t="str">
        <f t="shared" si="528"/>
        <v/>
      </c>
      <c r="S524" s="14" t="str">
        <f t="shared" si="528"/>
        <v/>
      </c>
    </row>
    <row r="525">
      <c r="A525" s="1" t="s">
        <v>538</v>
      </c>
      <c r="G525" s="9" t="str">
        <f>IFERROR(__xludf.DUMMYFUNCTION("SPLIT(A525,"","")"),"./src/main/java/org/jfree/data/statistics/BoxAndWhiskerXYDataset.java")</f>
        <v>./src/main/java/org/jfree/data/statistics/BoxAndWhiskerXYDataset.java</v>
      </c>
      <c r="H525" s="9">
        <f>IFERROR(__xludf.DUMMYFUNCTION("""COMPUTED_VALUE"""),5.0)</f>
        <v>5</v>
      </c>
      <c r="I525" s="9">
        <f>IFERROR(__xludf.DUMMYFUNCTION("""COMPUTED_VALUE"""),17.0)</f>
        <v>17</v>
      </c>
      <c r="J525" s="9">
        <f>IFERROR(__xludf.DUMMYFUNCTION("""COMPUTED_VALUE"""),89.7)</f>
        <v>89.7</v>
      </c>
      <c r="Q525" s="12" t="str">
        <f t="shared" ref="Q525:S525" si="529">IF(H525&gt;M$5, $G525, "")</f>
        <v/>
      </c>
      <c r="R525" s="13" t="str">
        <f t="shared" si="529"/>
        <v/>
      </c>
      <c r="S525" s="14" t="str">
        <f t="shared" si="529"/>
        <v/>
      </c>
    </row>
    <row r="526">
      <c r="A526" s="1" t="s">
        <v>539</v>
      </c>
      <c r="G526" s="9" t="str">
        <f>IFERROR(__xludf.DUMMYFUNCTION("SPLIT(A526,"","")"),"./src/main/java/org/jfree/data/statistics/DefaultBoxAndWhiskerCategoryDataset.java")</f>
        <v>./src/main/java/org/jfree/data/statistics/DefaultBoxAndWhiskerCategoryDataset.java</v>
      </c>
      <c r="H526" s="9">
        <f>IFERROR(__xludf.DUMMYFUNCTION("""COMPUTED_VALUE"""),8.0)</f>
        <v>8</v>
      </c>
      <c r="I526" s="9">
        <f>IFERROR(__xludf.DUMMYFUNCTION("""COMPUTED_VALUE"""),412.0)</f>
        <v>412</v>
      </c>
      <c r="J526" s="9">
        <f>IFERROR(__xludf.DUMMYFUNCTION("""COMPUTED_VALUE"""),52.59)</f>
        <v>52.59</v>
      </c>
      <c r="Q526" s="12" t="str">
        <f t="shared" ref="Q526:S526" si="530">IF(H526&gt;M$5, $G526, "")</f>
        <v/>
      </c>
      <c r="R526" s="13" t="str">
        <f t="shared" si="530"/>
        <v/>
      </c>
      <c r="S526" s="14" t="str">
        <f t="shared" si="530"/>
        <v/>
      </c>
    </row>
    <row r="527">
      <c r="A527" s="1" t="s">
        <v>540</v>
      </c>
      <c r="G527" s="9" t="str">
        <f>IFERROR(__xludf.DUMMYFUNCTION("SPLIT(A527,"","")"),"./src/main/java/org/jfree/data/statistics/DefaultBoxAndWhiskerXYDataset.java")</f>
        <v>./src/main/java/org/jfree/data/statistics/DefaultBoxAndWhiskerXYDataset.java</v>
      </c>
      <c r="H527" s="9">
        <f>IFERROR(__xludf.DUMMYFUNCTION("""COMPUTED_VALUE"""),7.0)</f>
        <v>7</v>
      </c>
      <c r="I527" s="9">
        <f>IFERROR(__xludf.DUMMYFUNCTION("""COMPUTED_VALUE"""),239.0)</f>
        <v>239</v>
      </c>
      <c r="J527" s="9">
        <f>IFERROR(__xludf.DUMMYFUNCTION("""COMPUTED_VALUE"""),54.3)</f>
        <v>54.3</v>
      </c>
      <c r="Q527" s="12" t="str">
        <f t="shared" ref="Q527:S527" si="531">IF(H527&gt;M$5, $G527, "")</f>
        <v/>
      </c>
      <c r="R527" s="13" t="str">
        <f t="shared" si="531"/>
        <v/>
      </c>
      <c r="S527" s="14" t="str">
        <f t="shared" si="531"/>
        <v/>
      </c>
    </row>
    <row r="528">
      <c r="A528" s="1" t="s">
        <v>541</v>
      </c>
      <c r="G528" s="9" t="str">
        <f>IFERROR(__xludf.DUMMYFUNCTION("SPLIT(A528,"","")"),"./src/main/java/org/jfree/data/statistics/DefaultMultiValueCategoryDataset.java")</f>
        <v>./src/main/java/org/jfree/data/statistics/DefaultMultiValueCategoryDataset.java</v>
      </c>
      <c r="H528" s="9">
        <f>IFERROR(__xludf.DUMMYFUNCTION("""COMPUTED_VALUE"""),7.0)</f>
        <v>7</v>
      </c>
      <c r="I528" s="9">
        <f>IFERROR(__xludf.DUMMYFUNCTION("""COMPUTED_VALUE"""),196.0)</f>
        <v>196</v>
      </c>
      <c r="J528" s="9">
        <f>IFERROR(__xludf.DUMMYFUNCTION("""COMPUTED_VALUE"""),48.42)</f>
        <v>48.42</v>
      </c>
      <c r="Q528" s="12" t="str">
        <f t="shared" ref="Q528:S528" si="532">IF(H528&gt;M$5, $G528, "")</f>
        <v/>
      </c>
      <c r="R528" s="13" t="str">
        <f t="shared" si="532"/>
        <v/>
      </c>
      <c r="S528" s="14" t="str">
        <f t="shared" si="532"/>
        <v/>
      </c>
    </row>
    <row r="529">
      <c r="A529" s="1" t="s">
        <v>542</v>
      </c>
      <c r="G529" s="9" t="str">
        <f>IFERROR(__xludf.DUMMYFUNCTION("SPLIT(A529,"","")"),"./src/main/java/org/jfree/data/statistics/DefaultStatisticalCategoryDataset.java")</f>
        <v>./src/main/java/org/jfree/data/statistics/DefaultStatisticalCategoryDataset.java</v>
      </c>
      <c r="H529" s="9">
        <f>IFERROR(__xludf.DUMMYFUNCTION("""COMPUTED_VALUE"""),8.0)</f>
        <v>8</v>
      </c>
      <c r="I529" s="9">
        <f>IFERROR(__xludf.DUMMYFUNCTION("""COMPUTED_VALUE"""),363.0)</f>
        <v>363</v>
      </c>
      <c r="J529" s="9">
        <f>IFERROR(__xludf.DUMMYFUNCTION("""COMPUTED_VALUE"""),46.93)</f>
        <v>46.93</v>
      </c>
      <c r="Q529" s="12" t="str">
        <f t="shared" ref="Q529:S529" si="533">IF(H529&gt;M$5, $G529, "")</f>
        <v/>
      </c>
      <c r="R529" s="13" t="str">
        <f t="shared" si="533"/>
        <v/>
      </c>
      <c r="S529" s="14" t="str">
        <f t="shared" si="533"/>
        <v/>
      </c>
    </row>
    <row r="530">
      <c r="A530" s="1" t="s">
        <v>543</v>
      </c>
      <c r="G530" s="9" t="str">
        <f>IFERROR(__xludf.DUMMYFUNCTION("SPLIT(A530,"","")"),"./src/main/java/org/jfree/data/statistics/HistogramBin.java")</f>
        <v>./src/main/java/org/jfree/data/statistics/HistogramBin.java</v>
      </c>
      <c r="H530" s="9">
        <f>IFERROR(__xludf.DUMMYFUNCTION("""COMPUTED_VALUE"""),3.0)</f>
        <v>3</v>
      </c>
      <c r="I530" s="9">
        <f>IFERROR(__xludf.DUMMYFUNCTION("""COMPUTED_VALUE"""),62.0)</f>
        <v>62</v>
      </c>
      <c r="J530" s="9">
        <f>IFERROR(__xludf.DUMMYFUNCTION("""COMPUTED_VALUE"""),60.26)</f>
        <v>60.26</v>
      </c>
      <c r="Q530" s="12" t="str">
        <f t="shared" ref="Q530:S530" si="534">IF(H530&gt;M$5, $G530, "")</f>
        <v/>
      </c>
      <c r="R530" s="13" t="str">
        <f t="shared" si="534"/>
        <v/>
      </c>
      <c r="S530" s="14" t="str">
        <f t="shared" si="534"/>
        <v/>
      </c>
    </row>
    <row r="531">
      <c r="A531" s="1" t="s">
        <v>544</v>
      </c>
      <c r="G531" s="9" t="str">
        <f>IFERROR(__xludf.DUMMYFUNCTION("SPLIT(A531,"","")"),"./src/main/java/org/jfree/data/statistics/HistogramDataset.java")</f>
        <v>./src/main/java/org/jfree/data/statistics/HistogramDataset.java</v>
      </c>
      <c r="H531" s="9">
        <f>IFERROR(__xludf.DUMMYFUNCTION("""COMPUTED_VALUE"""),8.0)</f>
        <v>8</v>
      </c>
      <c r="I531" s="9">
        <f>IFERROR(__xludf.DUMMYFUNCTION("""COMPUTED_VALUE"""),213.0)</f>
        <v>213</v>
      </c>
      <c r="J531" s="9">
        <f>IFERROR(__xludf.DUMMYFUNCTION("""COMPUTED_VALUE"""),54.19)</f>
        <v>54.19</v>
      </c>
      <c r="Q531" s="12" t="str">
        <f t="shared" ref="Q531:S531" si="535">IF(H531&gt;M$5, $G531, "")</f>
        <v/>
      </c>
      <c r="R531" s="13" t="str">
        <f t="shared" si="535"/>
        <v/>
      </c>
      <c r="S531" s="14" t="str">
        <f t="shared" si="535"/>
        <v/>
      </c>
    </row>
    <row r="532">
      <c r="A532" s="1" t="s">
        <v>545</v>
      </c>
      <c r="G532" s="9" t="str">
        <f>IFERROR(__xludf.DUMMYFUNCTION("SPLIT(A532,"","")"),"./src/main/java/org/jfree/data/statistics/HistogramType.java")</f>
        <v>./src/main/java/org/jfree/data/statistics/HistogramType.java</v>
      </c>
      <c r="H532" s="9">
        <f>IFERROR(__xludf.DUMMYFUNCTION("""COMPUTED_VALUE"""),5.0)</f>
        <v>5</v>
      </c>
      <c r="I532" s="9">
        <f>IFERROR(__xludf.DUMMYFUNCTION("""COMPUTED_VALUE"""),6.0)</f>
        <v>6</v>
      </c>
      <c r="J532" s="9">
        <f>IFERROR(__xludf.DUMMYFUNCTION("""COMPUTED_VALUE"""),88.46)</f>
        <v>88.46</v>
      </c>
      <c r="Q532" s="12" t="str">
        <f t="shared" ref="Q532:S532" si="536">IF(H532&gt;M$5, $G532, "")</f>
        <v/>
      </c>
      <c r="R532" s="13" t="str">
        <f t="shared" si="536"/>
        <v/>
      </c>
      <c r="S532" s="14" t="str">
        <f t="shared" si="536"/>
        <v/>
      </c>
    </row>
    <row r="533">
      <c r="A533" s="1" t="s">
        <v>546</v>
      </c>
      <c r="G533" s="9" t="str">
        <f>IFERROR(__xludf.DUMMYFUNCTION("SPLIT(A533,"","")"),"./src/main/java/org/jfree/data/statistics/MeanAndStandardDeviation.java")</f>
        <v>./src/main/java/org/jfree/data/statistics/MeanAndStandardDeviation.java</v>
      </c>
      <c r="H533" s="9">
        <f>IFERROR(__xludf.DUMMYFUNCTION("""COMPUTED_VALUE"""),6.0)</f>
        <v>6</v>
      </c>
      <c r="I533" s="9">
        <f>IFERROR(__xludf.DUMMYFUNCTION("""COMPUTED_VALUE"""),65.0)</f>
        <v>65</v>
      </c>
      <c r="J533" s="9">
        <f>IFERROR(__xludf.DUMMYFUNCTION("""COMPUTED_VALUE"""),60.37)</f>
        <v>60.37</v>
      </c>
      <c r="Q533" s="12" t="str">
        <f t="shared" ref="Q533:S533" si="537">IF(H533&gt;M$5, $G533, "")</f>
        <v/>
      </c>
      <c r="R533" s="13" t="str">
        <f t="shared" si="537"/>
        <v/>
      </c>
      <c r="S533" s="14" t="str">
        <f t="shared" si="537"/>
        <v/>
      </c>
    </row>
    <row r="534">
      <c r="A534" s="1" t="s">
        <v>547</v>
      </c>
      <c r="G534" s="9" t="str">
        <f>IFERROR(__xludf.DUMMYFUNCTION("SPLIT(A534,"","")"),"./src/main/java/org/jfree/data/statistics/MultiValueCategoryDataset.java")</f>
        <v>./src/main/java/org/jfree/data/statistics/MultiValueCategoryDataset.java</v>
      </c>
      <c r="H534" s="9">
        <f>IFERROR(__xludf.DUMMYFUNCTION("""COMPUTED_VALUE"""),4.0)</f>
        <v>4</v>
      </c>
      <c r="I534" s="9">
        <f>IFERROR(__xludf.DUMMYFUNCTION("""COMPUTED_VALUE"""),8.0)</f>
        <v>8</v>
      </c>
      <c r="J534" s="9">
        <f>IFERROR(__xludf.DUMMYFUNCTION("""COMPUTED_VALUE"""),87.88)</f>
        <v>87.88</v>
      </c>
      <c r="Q534" s="12" t="str">
        <f t="shared" ref="Q534:S534" si="538">IF(H534&gt;M$5, $G534, "")</f>
        <v/>
      </c>
      <c r="R534" s="13" t="str">
        <f t="shared" si="538"/>
        <v/>
      </c>
      <c r="S534" s="14" t="str">
        <f t="shared" si="538"/>
        <v/>
      </c>
    </row>
    <row r="535">
      <c r="A535" s="1" t="s">
        <v>548</v>
      </c>
      <c r="G535" s="9" t="str">
        <f>IFERROR(__xludf.DUMMYFUNCTION("SPLIT(A535,"","")"),"./src/main/java/org/jfree/data/statistics/Regression.java")</f>
        <v>./src/main/java/org/jfree/data/statistics/Regression.java</v>
      </c>
      <c r="H535" s="9">
        <f>IFERROR(__xludf.DUMMYFUNCTION("""COMPUTED_VALUE"""),4.0)</f>
        <v>4</v>
      </c>
      <c r="I535" s="9">
        <f>IFERROR(__xludf.DUMMYFUNCTION("""COMPUTED_VALUE"""),223.0)</f>
        <v>223</v>
      </c>
      <c r="J535" s="9">
        <f>IFERROR(__xludf.DUMMYFUNCTION("""COMPUTED_VALUE"""),32.42)</f>
        <v>32.42</v>
      </c>
      <c r="Q535" s="12" t="str">
        <f t="shared" ref="Q535:S535" si="539">IF(H535&gt;M$5, $G535, "")</f>
        <v/>
      </c>
      <c r="R535" s="13" t="str">
        <f t="shared" si="539"/>
        <v/>
      </c>
      <c r="S535" s="14" t="str">
        <f t="shared" si="539"/>
        <v/>
      </c>
    </row>
    <row r="536">
      <c r="A536" s="1" t="s">
        <v>549</v>
      </c>
      <c r="G536" s="9" t="str">
        <f>IFERROR(__xludf.DUMMYFUNCTION("SPLIT(A536,"","")"),"./src/main/java/org/jfree/data/statistics/SimpleHistogramBin.java")</f>
        <v>./src/main/java/org/jfree/data/statistics/SimpleHistogramBin.java</v>
      </c>
      <c r="H536" s="9">
        <f>IFERROR(__xludf.DUMMYFUNCTION("""COMPUTED_VALUE"""),7.0)</f>
        <v>7</v>
      </c>
      <c r="I536" s="9">
        <f>IFERROR(__xludf.DUMMYFUNCTION("""COMPUTED_VALUE"""),130.0)</f>
        <v>130</v>
      </c>
      <c r="J536" s="9">
        <f>IFERROR(__xludf.DUMMYFUNCTION("""COMPUTED_VALUE"""),49.81)</f>
        <v>49.81</v>
      </c>
      <c r="Q536" s="12" t="str">
        <f t="shared" ref="Q536:S536" si="540">IF(H536&gt;M$5, $G536, "")</f>
        <v/>
      </c>
      <c r="R536" s="13" t="str">
        <f t="shared" si="540"/>
        <v/>
      </c>
      <c r="S536" s="14" t="str">
        <f t="shared" si="540"/>
        <v/>
      </c>
    </row>
    <row r="537">
      <c r="A537" s="1" t="s">
        <v>550</v>
      </c>
      <c r="G537" s="9" t="str">
        <f>IFERROR(__xludf.DUMMYFUNCTION("SPLIT(A537,"","")"),"./src/main/java/org/jfree/data/statistics/SimpleHistogramDataset.java")</f>
        <v>./src/main/java/org/jfree/data/statistics/SimpleHistogramDataset.java</v>
      </c>
      <c r="H537" s="9">
        <f>IFERROR(__xludf.DUMMYFUNCTION("""COMPUTED_VALUE"""),10.0)</f>
        <v>10</v>
      </c>
      <c r="I537" s="9">
        <f>IFERROR(__xludf.DUMMYFUNCTION("""COMPUTED_VALUE"""),188.0)</f>
        <v>188</v>
      </c>
      <c r="J537" s="9">
        <f>IFERROR(__xludf.DUMMYFUNCTION("""COMPUTED_VALUE"""),58.41)</f>
        <v>58.41</v>
      </c>
      <c r="Q537" s="12" t="str">
        <f t="shared" ref="Q537:S537" si="541">IF(H537&gt;M$5, $G537, "")</f>
        <v/>
      </c>
      <c r="R537" s="13" t="str">
        <f t="shared" si="541"/>
        <v/>
      </c>
      <c r="S537" s="14" t="str">
        <f t="shared" si="541"/>
        <v/>
      </c>
    </row>
    <row r="538">
      <c r="A538" s="1" t="s">
        <v>551</v>
      </c>
      <c r="G538" s="9" t="str">
        <f>IFERROR(__xludf.DUMMYFUNCTION("SPLIT(A538,"","")"),"./src/main/java/org/jfree/data/statistics/StatisticalCategoryDataset.java")</f>
        <v>./src/main/java/org/jfree/data/statistics/StatisticalCategoryDataset.java</v>
      </c>
      <c r="H538" s="9">
        <f>IFERROR(__xludf.DUMMYFUNCTION("""COMPUTED_VALUE"""),4.0)</f>
        <v>4</v>
      </c>
      <c r="I538" s="9">
        <f>IFERROR(__xludf.DUMMYFUNCTION("""COMPUTED_VALUE"""),9.0)</f>
        <v>9</v>
      </c>
      <c r="J538" s="9">
        <f>IFERROR(__xludf.DUMMYFUNCTION("""COMPUTED_VALUE"""),88.75)</f>
        <v>88.75</v>
      </c>
      <c r="Q538" s="12" t="str">
        <f t="shared" ref="Q538:S538" si="542">IF(H538&gt;M$5, $G538, "")</f>
        <v/>
      </c>
      <c r="R538" s="13" t="str">
        <f t="shared" si="542"/>
        <v/>
      </c>
      <c r="S538" s="14" t="str">
        <f t="shared" si="542"/>
        <v/>
      </c>
    </row>
    <row r="539">
      <c r="A539" s="1" t="s">
        <v>552</v>
      </c>
      <c r="G539" s="9" t="str">
        <f>IFERROR(__xludf.DUMMYFUNCTION("SPLIT(A539,"","")"),"./src/main/java/org/jfree/data/statistics/Statistics.java")</f>
        <v>./src/main/java/org/jfree/data/statistics/Statistics.java</v>
      </c>
      <c r="H539" s="9">
        <f>IFERROR(__xludf.DUMMYFUNCTION("""COMPUTED_VALUE"""),5.0)</f>
        <v>5</v>
      </c>
      <c r="I539" s="9">
        <f>IFERROR(__xludf.DUMMYFUNCTION("""COMPUTED_VALUE"""),234.0)</f>
        <v>234</v>
      </c>
      <c r="J539" s="9">
        <f>IFERROR(__xludf.DUMMYFUNCTION("""COMPUTED_VALUE"""),44.29)</f>
        <v>44.29</v>
      </c>
      <c r="Q539" s="12" t="str">
        <f t="shared" ref="Q539:S539" si="543">IF(H539&gt;M$5, $G539, "")</f>
        <v/>
      </c>
      <c r="R539" s="13" t="str">
        <f t="shared" si="543"/>
        <v/>
      </c>
      <c r="S539" s="14" t="str">
        <f t="shared" si="543"/>
        <v/>
      </c>
    </row>
    <row r="540">
      <c r="A540" s="1" t="s">
        <v>553</v>
      </c>
      <c r="G540" s="9" t="str">
        <f>IFERROR(__xludf.DUMMYFUNCTION("SPLIT(A540,"","")"),"./src/main/java/org/jfree/data/time/DateRange.java")</f>
        <v>./src/main/java/org/jfree/data/time/DateRange.java</v>
      </c>
      <c r="H540" s="9">
        <f>IFERROR(__xludf.DUMMYFUNCTION("""COMPUTED_VALUE"""),5.0)</f>
        <v>5</v>
      </c>
      <c r="I540" s="9">
        <f>IFERROR(__xludf.DUMMYFUNCTION("""COMPUTED_VALUE"""),44.0)</f>
        <v>44</v>
      </c>
      <c r="J540" s="9">
        <f>IFERROR(__xludf.DUMMYFUNCTION("""COMPUTED_VALUE"""),70.07)</f>
        <v>70.07</v>
      </c>
      <c r="Q540" s="12" t="str">
        <f t="shared" ref="Q540:S540" si="544">IF(H540&gt;M$5, $G540, "")</f>
        <v/>
      </c>
      <c r="R540" s="13" t="str">
        <f t="shared" si="544"/>
        <v/>
      </c>
      <c r="S540" s="14" t="str">
        <f t="shared" si="544"/>
        <v/>
      </c>
    </row>
    <row r="541">
      <c r="A541" s="1" t="s">
        <v>554</v>
      </c>
      <c r="G541" s="9" t="str">
        <f>IFERROR(__xludf.DUMMYFUNCTION("SPLIT(A541,"","")"),"./src/main/java/org/jfree/data/time/Day.java")</f>
        <v>./src/main/java/org/jfree/data/time/Day.java</v>
      </c>
      <c r="H541" s="9">
        <f>IFERROR(__xludf.DUMMYFUNCTION("""COMPUTED_VALUE"""),11.0)</f>
        <v>11</v>
      </c>
      <c r="I541" s="9">
        <f>IFERROR(__xludf.DUMMYFUNCTION("""COMPUTED_VALUE"""),187.0)</f>
        <v>187</v>
      </c>
      <c r="J541" s="9">
        <f>IFERROR(__xludf.DUMMYFUNCTION("""COMPUTED_VALUE"""),57.01)</f>
        <v>57.01</v>
      </c>
      <c r="Q541" s="12" t="str">
        <f t="shared" ref="Q541:S541" si="545">IF(H541&gt;M$5, $G541, "")</f>
        <v/>
      </c>
      <c r="R541" s="13" t="str">
        <f t="shared" si="545"/>
        <v/>
      </c>
      <c r="S541" s="14" t="str">
        <f t="shared" si="545"/>
        <v/>
      </c>
    </row>
    <row r="542">
      <c r="A542" s="1" t="s">
        <v>555</v>
      </c>
      <c r="G542" s="9" t="str">
        <f>IFERROR(__xludf.DUMMYFUNCTION("SPLIT(A542,"","")"),"./src/main/java/org/jfree/data/time/DynamicTimeSeriesCollection.java")</f>
        <v>./src/main/java/org/jfree/data/time/DynamicTimeSeriesCollection.java</v>
      </c>
      <c r="H542" s="9">
        <f>IFERROR(__xludf.DUMMYFUNCTION("""COMPUTED_VALUE"""),4.0)</f>
        <v>4</v>
      </c>
      <c r="I542" s="9">
        <f>IFERROR(__xludf.DUMMYFUNCTION("""COMPUTED_VALUE"""),403.0)</f>
        <v>403</v>
      </c>
      <c r="J542" s="9">
        <f>IFERROR(__xludf.DUMMYFUNCTION("""COMPUTED_VALUE"""),53.14)</f>
        <v>53.14</v>
      </c>
      <c r="Q542" s="12" t="str">
        <f t="shared" ref="Q542:S542" si="546">IF(H542&gt;M$5, $G542, "")</f>
        <v/>
      </c>
      <c r="R542" s="13" t="str">
        <f t="shared" si="546"/>
        <v/>
      </c>
      <c r="S542" s="14" t="str">
        <f t="shared" si="546"/>
        <v/>
      </c>
    </row>
    <row r="543">
      <c r="A543" s="1" t="s">
        <v>556</v>
      </c>
      <c r="G543" s="9" t="str">
        <f>IFERROR(__xludf.DUMMYFUNCTION("SPLIT(A543,"","")"),"./src/main/java/org/jfree/data/time/FixedMillisecond.java")</f>
        <v>./src/main/java/org/jfree/data/time/FixedMillisecond.java</v>
      </c>
      <c r="H543" s="9">
        <f>IFERROR(__xludf.DUMMYFUNCTION("""COMPUTED_VALUE"""),4.0)</f>
        <v>4</v>
      </c>
      <c r="I543" s="9">
        <f>IFERROR(__xludf.DUMMYFUNCTION("""COMPUTED_VALUE"""),111.0)</f>
        <v>111</v>
      </c>
      <c r="J543" s="9">
        <f>IFERROR(__xludf.DUMMYFUNCTION("""COMPUTED_VALUE"""),57.31)</f>
        <v>57.31</v>
      </c>
      <c r="Q543" s="12" t="str">
        <f t="shared" ref="Q543:S543" si="547">IF(H543&gt;M$5, $G543, "")</f>
        <v/>
      </c>
      <c r="R543" s="13" t="str">
        <f t="shared" si="547"/>
        <v/>
      </c>
      <c r="S543" s="14" t="str">
        <f t="shared" si="547"/>
        <v/>
      </c>
    </row>
    <row r="544">
      <c r="A544" s="1" t="s">
        <v>557</v>
      </c>
      <c r="G544" s="9" t="str">
        <f>IFERROR(__xludf.DUMMYFUNCTION("SPLIT(A544,"","")"),"./src/main/java/org/jfree/data/time/Hour.java")</f>
        <v>./src/main/java/org/jfree/data/time/Hour.java</v>
      </c>
      <c r="H544" s="9">
        <f>IFERROR(__xludf.DUMMYFUNCTION("""COMPUTED_VALUE"""),9.0)</f>
        <v>9</v>
      </c>
      <c r="I544" s="9">
        <f>IFERROR(__xludf.DUMMYFUNCTION("""COMPUTED_VALUE"""),197.0)</f>
        <v>197</v>
      </c>
      <c r="J544" s="9">
        <f>IFERROR(__xludf.DUMMYFUNCTION("""COMPUTED_VALUE"""),55.53)</f>
        <v>55.53</v>
      </c>
      <c r="Q544" s="12" t="str">
        <f t="shared" ref="Q544:S544" si="548">IF(H544&gt;M$5, $G544, "")</f>
        <v/>
      </c>
      <c r="R544" s="13" t="str">
        <f t="shared" si="548"/>
        <v/>
      </c>
      <c r="S544" s="14" t="str">
        <f t="shared" si="548"/>
        <v/>
      </c>
    </row>
    <row r="545">
      <c r="A545" s="1" t="s">
        <v>558</v>
      </c>
      <c r="G545" s="9" t="str">
        <f>IFERROR(__xludf.DUMMYFUNCTION("SPLIT(A545,"","")"),"./src/main/java/org/jfree/data/time/Millisecond.java")</f>
        <v>./src/main/java/org/jfree/data/time/Millisecond.java</v>
      </c>
      <c r="H545" s="9">
        <f>IFERROR(__xludf.DUMMYFUNCTION("""COMPUTED_VALUE"""),8.0)</f>
        <v>8</v>
      </c>
      <c r="I545" s="9">
        <f>IFERROR(__xludf.DUMMYFUNCTION("""COMPUTED_VALUE"""),194.0)</f>
        <v>194</v>
      </c>
      <c r="J545" s="9">
        <f>IFERROR(__xludf.DUMMYFUNCTION("""COMPUTED_VALUE"""),52.91)</f>
        <v>52.91</v>
      </c>
      <c r="Q545" s="12" t="str">
        <f t="shared" ref="Q545:S545" si="549">IF(H545&gt;M$5, $G545, "")</f>
        <v/>
      </c>
      <c r="R545" s="13" t="str">
        <f t="shared" si="549"/>
        <v/>
      </c>
      <c r="S545" s="14" t="str">
        <f t="shared" si="549"/>
        <v/>
      </c>
    </row>
    <row r="546">
      <c r="A546" s="1" t="s">
        <v>559</v>
      </c>
      <c r="G546" s="9" t="str">
        <f>IFERROR(__xludf.DUMMYFUNCTION("SPLIT(A546,"","")"),"./src/main/java/org/jfree/data/time/Minute.java")</f>
        <v>./src/main/java/org/jfree/data/time/Minute.java</v>
      </c>
      <c r="H546" s="9">
        <f>IFERROR(__xludf.DUMMYFUNCTION("""COMPUTED_VALUE"""),9.0)</f>
        <v>9</v>
      </c>
      <c r="I546" s="9">
        <f>IFERROR(__xludf.DUMMYFUNCTION("""COMPUTED_VALUE"""),207.0)</f>
        <v>207</v>
      </c>
      <c r="J546" s="9">
        <f>IFERROR(__xludf.DUMMYFUNCTION("""COMPUTED_VALUE"""),53.79)</f>
        <v>53.79</v>
      </c>
      <c r="Q546" s="12" t="str">
        <f t="shared" ref="Q546:S546" si="550">IF(H546&gt;M$5, $G546, "")</f>
        <v/>
      </c>
      <c r="R546" s="13" t="str">
        <f t="shared" si="550"/>
        <v/>
      </c>
      <c r="S546" s="14" t="str">
        <f t="shared" si="550"/>
        <v/>
      </c>
    </row>
    <row r="547">
      <c r="A547" s="1" t="s">
        <v>560</v>
      </c>
      <c r="G547" s="9" t="str">
        <f>IFERROR(__xludf.DUMMYFUNCTION("SPLIT(A547,"","")"),"./src/main/java/org/jfree/data/time/Month.java")</f>
        <v>./src/main/java/org/jfree/data/time/Month.java</v>
      </c>
      <c r="H547" s="9">
        <f>IFERROR(__xludf.DUMMYFUNCTION("""COMPUTED_VALUE"""),8.0)</f>
        <v>8</v>
      </c>
      <c r="I547" s="9">
        <f>IFERROR(__xludf.DUMMYFUNCTION("""COMPUTED_VALUE"""),239.0)</f>
        <v>239</v>
      </c>
      <c r="J547" s="9">
        <f>IFERROR(__xludf.DUMMYFUNCTION("""COMPUTED_VALUE"""),51.72)</f>
        <v>51.72</v>
      </c>
      <c r="Q547" s="12" t="str">
        <f t="shared" ref="Q547:S547" si="551">IF(H547&gt;M$5, $G547, "")</f>
        <v/>
      </c>
      <c r="R547" s="13" t="str">
        <f t="shared" si="551"/>
        <v/>
      </c>
      <c r="S547" s="14" t="str">
        <f t="shared" si="551"/>
        <v/>
      </c>
    </row>
    <row r="548">
      <c r="A548" s="1" t="s">
        <v>561</v>
      </c>
      <c r="G548" s="9" t="str">
        <f>IFERROR(__xludf.DUMMYFUNCTION("SPLIT(A548,"","")"),"./src/main/java/org/jfree/data/time/MovingAverage.java")</f>
        <v>./src/main/java/org/jfree/data/time/MovingAverage.java</v>
      </c>
      <c r="H548" s="9">
        <f>IFERROR(__xludf.DUMMYFUNCTION("""COMPUTED_VALUE"""),8.0)</f>
        <v>8</v>
      </c>
      <c r="I548" s="9">
        <f>IFERROR(__xludf.DUMMYFUNCTION("""COMPUTED_VALUE"""),165.0)</f>
        <v>165</v>
      </c>
      <c r="J548" s="9">
        <f>IFERROR(__xludf.DUMMYFUNCTION("""COMPUTED_VALUE"""),44.26)</f>
        <v>44.26</v>
      </c>
      <c r="Q548" s="12" t="str">
        <f t="shared" ref="Q548:S548" si="552">IF(H548&gt;M$5, $G548, "")</f>
        <v/>
      </c>
      <c r="R548" s="13" t="str">
        <f t="shared" si="552"/>
        <v/>
      </c>
      <c r="S548" s="14" t="str">
        <f t="shared" si="552"/>
        <v/>
      </c>
    </row>
    <row r="549">
      <c r="A549" s="1" t="s">
        <v>562</v>
      </c>
      <c r="G549" s="9" t="str">
        <f>IFERROR(__xludf.DUMMYFUNCTION("SPLIT(A549,"","")"),"./src/main/java/org/jfree/data/time/ohlc/OHLC.java")</f>
        <v>./src/main/java/org/jfree/data/time/ohlc/OHLC.java</v>
      </c>
      <c r="H549" s="9">
        <f>IFERROR(__xludf.DUMMYFUNCTION("""COMPUTED_VALUE"""),5.0)</f>
        <v>5</v>
      </c>
      <c r="I549" s="9">
        <f>IFERROR(__xludf.DUMMYFUNCTION("""COMPUTED_VALUE"""),59.0)</f>
        <v>59</v>
      </c>
      <c r="J549" s="9">
        <f>IFERROR(__xludf.DUMMYFUNCTION("""COMPUTED_VALUE"""),59.03)</f>
        <v>59.03</v>
      </c>
      <c r="Q549" s="12" t="str">
        <f t="shared" ref="Q549:S549" si="553">IF(H549&gt;M$5, $G549, "")</f>
        <v/>
      </c>
      <c r="R549" s="13" t="str">
        <f t="shared" si="553"/>
        <v/>
      </c>
      <c r="S549" s="14" t="str">
        <f t="shared" si="553"/>
        <v/>
      </c>
    </row>
    <row r="550">
      <c r="A550" s="1" t="s">
        <v>563</v>
      </c>
      <c r="G550" s="9" t="str">
        <f>IFERROR(__xludf.DUMMYFUNCTION("SPLIT(A550,"","")"),"./src/main/java/org/jfree/data/time/ohlc/OHLCItem.java")</f>
        <v>./src/main/java/org/jfree/data/time/ohlc/OHLCItem.java</v>
      </c>
      <c r="H550" s="9">
        <f>IFERROR(__xludf.DUMMYFUNCTION("""COMPUTED_VALUE"""),6.0)</f>
        <v>6</v>
      </c>
      <c r="I550" s="9">
        <f>IFERROR(__xludf.DUMMYFUNCTION("""COMPUTED_VALUE"""),51.0)</f>
        <v>51</v>
      </c>
      <c r="J550" s="9">
        <f>IFERROR(__xludf.DUMMYFUNCTION("""COMPUTED_VALUE"""),60.47)</f>
        <v>60.47</v>
      </c>
      <c r="Q550" s="12" t="str">
        <f t="shared" ref="Q550:S550" si="554">IF(H550&gt;M$5, $G550, "")</f>
        <v/>
      </c>
      <c r="R550" s="13" t="str">
        <f t="shared" si="554"/>
        <v/>
      </c>
      <c r="S550" s="14" t="str">
        <f t="shared" si="554"/>
        <v/>
      </c>
    </row>
    <row r="551">
      <c r="A551" s="1" t="s">
        <v>564</v>
      </c>
      <c r="G551" s="9" t="str">
        <f>IFERROR(__xludf.DUMMYFUNCTION("SPLIT(A551,"","")"),"./src/main/java/org/jfree/data/time/ohlc/OHLCSeries.java")</f>
        <v>./src/main/java/org/jfree/data/time/ohlc/OHLCSeries.java</v>
      </c>
      <c r="H551" s="9">
        <f>IFERROR(__xludf.DUMMYFUNCTION("""COMPUTED_VALUE"""),6.0)</f>
        <v>6</v>
      </c>
      <c r="I551" s="9">
        <f>IFERROR(__xludf.DUMMYFUNCTION("""COMPUTED_VALUE"""),38.0)</f>
        <v>38</v>
      </c>
      <c r="J551" s="9">
        <f>IFERROR(__xludf.DUMMYFUNCTION("""COMPUTED_VALUE"""),70.08)</f>
        <v>70.08</v>
      </c>
      <c r="Q551" s="12" t="str">
        <f t="shared" ref="Q551:S551" si="555">IF(H551&gt;M$5, $G551, "")</f>
        <v/>
      </c>
      <c r="R551" s="13" t="str">
        <f t="shared" si="555"/>
        <v/>
      </c>
      <c r="S551" s="14" t="str">
        <f t="shared" si="555"/>
        <v/>
      </c>
    </row>
    <row r="552">
      <c r="A552" s="1" t="s">
        <v>565</v>
      </c>
      <c r="G552" s="9" t="str">
        <f>IFERROR(__xludf.DUMMYFUNCTION("SPLIT(A552,"","")"),"./src/main/java/org/jfree/data/time/ohlc/OHLCSeriesCollection.java")</f>
        <v>./src/main/java/org/jfree/data/time/ohlc/OHLCSeriesCollection.java</v>
      </c>
      <c r="H552" s="9">
        <f>IFERROR(__xludf.DUMMYFUNCTION("""COMPUTED_VALUE"""),12.0)</f>
        <v>12</v>
      </c>
      <c r="I552" s="9">
        <f>IFERROR(__xludf.DUMMYFUNCTION("""COMPUTED_VALUE"""),187.0)</f>
        <v>187</v>
      </c>
      <c r="J552" s="9">
        <f>IFERROR(__xludf.DUMMYFUNCTION("""COMPUTED_VALUE"""),58.81)</f>
        <v>58.81</v>
      </c>
      <c r="Q552" s="12" t="str">
        <f t="shared" ref="Q552:S552" si="556">IF(H552&gt;M$5, $G552, "")</f>
        <v/>
      </c>
      <c r="R552" s="13" t="str">
        <f t="shared" si="556"/>
        <v/>
      </c>
      <c r="S552" s="14" t="str">
        <f t="shared" si="556"/>
        <v/>
      </c>
    </row>
    <row r="553">
      <c r="A553" s="1" t="s">
        <v>566</v>
      </c>
      <c r="G553" s="9" t="str">
        <f>IFERROR(__xludf.DUMMYFUNCTION("SPLIT(A553,"","")"),"./src/main/java/org/jfree/data/time/Quarter.java")</f>
        <v>./src/main/java/org/jfree/data/time/Quarter.java</v>
      </c>
      <c r="H553" s="9">
        <f>IFERROR(__xludf.DUMMYFUNCTION("""COMPUTED_VALUE"""),11.0)</f>
        <v>11</v>
      </c>
      <c r="I553" s="9">
        <f>IFERROR(__xludf.DUMMYFUNCTION("""COMPUTED_VALUE"""),198.0)</f>
        <v>198</v>
      </c>
      <c r="J553" s="9">
        <f>IFERROR(__xludf.DUMMYFUNCTION("""COMPUTED_VALUE"""),55.0)</f>
        <v>55</v>
      </c>
      <c r="Q553" s="12" t="str">
        <f t="shared" ref="Q553:S553" si="557">IF(H553&gt;M$5, $G553, "")</f>
        <v/>
      </c>
      <c r="R553" s="13" t="str">
        <f t="shared" si="557"/>
        <v/>
      </c>
      <c r="S553" s="14" t="str">
        <f t="shared" si="557"/>
        <v/>
      </c>
    </row>
    <row r="554">
      <c r="A554" s="1" t="s">
        <v>567</v>
      </c>
      <c r="G554" s="9" t="str">
        <f>IFERROR(__xludf.DUMMYFUNCTION("SPLIT(A554,"","")"),"./src/main/java/org/jfree/data/time/RegularTimePeriod.java")</f>
        <v>./src/main/java/org/jfree/data/time/RegularTimePeriod.java</v>
      </c>
      <c r="H554" s="9">
        <f>IFERROR(__xludf.DUMMYFUNCTION("""COMPUTED_VALUE"""),12.0)</f>
        <v>12</v>
      </c>
      <c r="I554" s="9">
        <f>IFERROR(__xludf.DUMMYFUNCTION("""COMPUTED_VALUE"""),110.0)</f>
        <v>110</v>
      </c>
      <c r="J554" s="9">
        <f>IFERROR(__xludf.DUMMYFUNCTION("""COMPUTED_VALUE"""),69.53)</f>
        <v>69.53</v>
      </c>
      <c r="Q554" s="12" t="str">
        <f t="shared" ref="Q554:S554" si="558">IF(H554&gt;M$5, $G554, "")</f>
        <v/>
      </c>
      <c r="R554" s="13" t="str">
        <f t="shared" si="558"/>
        <v/>
      </c>
      <c r="S554" s="14" t="str">
        <f t="shared" si="558"/>
        <v/>
      </c>
    </row>
    <row r="555">
      <c r="A555" s="1" t="s">
        <v>568</v>
      </c>
      <c r="G555" s="9" t="str">
        <f>IFERROR(__xludf.DUMMYFUNCTION("SPLIT(A555,"","")"),"./src/main/java/org/jfree/data/time/Second.java")</f>
        <v>./src/main/java/org/jfree/data/time/Second.java</v>
      </c>
      <c r="H555" s="9">
        <f>IFERROR(__xludf.DUMMYFUNCTION("""COMPUTED_VALUE"""),9.0)</f>
        <v>9</v>
      </c>
      <c r="I555" s="9">
        <f>IFERROR(__xludf.DUMMYFUNCTION("""COMPUTED_VALUE"""),196.0)</f>
        <v>196</v>
      </c>
      <c r="J555" s="9">
        <f>IFERROR(__xludf.DUMMYFUNCTION("""COMPUTED_VALUE"""),53.33)</f>
        <v>53.33</v>
      </c>
      <c r="Q555" s="12" t="str">
        <f t="shared" ref="Q555:S555" si="559">IF(H555&gt;M$5, $G555, "")</f>
        <v/>
      </c>
      <c r="R555" s="13" t="str">
        <f t="shared" si="559"/>
        <v/>
      </c>
      <c r="S555" s="14" t="str">
        <f t="shared" si="559"/>
        <v/>
      </c>
    </row>
    <row r="556">
      <c r="A556" s="1" t="s">
        <v>569</v>
      </c>
      <c r="G556" s="9" t="str">
        <f>IFERROR(__xludf.DUMMYFUNCTION("SPLIT(A556,"","")"),"./src/main/java/org/jfree/data/time/SimpleTimePeriod.java")</f>
        <v>./src/main/java/org/jfree/data/time/SimpleTimePeriod.java</v>
      </c>
      <c r="H556" s="9">
        <f>IFERROR(__xludf.DUMMYFUNCTION("""COMPUTED_VALUE"""),6.0)</f>
        <v>6</v>
      </c>
      <c r="I556" s="9">
        <f>IFERROR(__xludf.DUMMYFUNCTION("""COMPUTED_VALUE"""),91.0)</f>
        <v>91</v>
      </c>
      <c r="J556" s="9">
        <f>IFERROR(__xludf.DUMMYFUNCTION("""COMPUTED_VALUE"""),54.73)</f>
        <v>54.73</v>
      </c>
      <c r="Q556" s="12" t="str">
        <f t="shared" ref="Q556:S556" si="560">IF(H556&gt;M$5, $G556, "")</f>
        <v/>
      </c>
      <c r="R556" s="13" t="str">
        <f t="shared" si="560"/>
        <v/>
      </c>
      <c r="S556" s="14" t="str">
        <f t="shared" si="560"/>
        <v/>
      </c>
    </row>
    <row r="557">
      <c r="A557" s="1" t="s">
        <v>570</v>
      </c>
      <c r="G557" s="9" t="str">
        <f>IFERROR(__xludf.DUMMYFUNCTION("SPLIT(A557,"","")"),"./src/main/java/org/jfree/data/time/TimePeriod.java")</f>
        <v>./src/main/java/org/jfree/data/time/TimePeriod.java</v>
      </c>
      <c r="H557" s="9">
        <f>IFERROR(__xludf.DUMMYFUNCTION("""COMPUTED_VALUE"""),5.0)</f>
        <v>5</v>
      </c>
      <c r="I557" s="9">
        <f>IFERROR(__xludf.DUMMYFUNCTION("""COMPUTED_VALUE"""),6.0)</f>
        <v>6</v>
      </c>
      <c r="J557" s="9">
        <f>IFERROR(__xludf.DUMMYFUNCTION("""COMPUTED_VALUE"""),89.47)</f>
        <v>89.47</v>
      </c>
      <c r="Q557" s="12" t="str">
        <f t="shared" ref="Q557:S557" si="561">IF(H557&gt;M$5, $G557, "")</f>
        <v/>
      </c>
      <c r="R557" s="13" t="str">
        <f t="shared" si="561"/>
        <v/>
      </c>
      <c r="S557" s="14" t="str">
        <f t="shared" si="561"/>
        <v/>
      </c>
    </row>
    <row r="558">
      <c r="A558" s="1" t="s">
        <v>571</v>
      </c>
      <c r="G558" s="9" t="str">
        <f>IFERROR(__xludf.DUMMYFUNCTION("SPLIT(A558,"","")"),"./src/main/java/org/jfree/data/time/TimePeriodAnchor.java")</f>
        <v>./src/main/java/org/jfree/data/time/TimePeriodAnchor.java</v>
      </c>
      <c r="H558" s="9">
        <f>IFERROR(__xludf.DUMMYFUNCTION("""COMPUTED_VALUE"""),7.0)</f>
        <v>7</v>
      </c>
      <c r="I558" s="9">
        <f>IFERROR(__xludf.DUMMYFUNCTION("""COMPUTED_VALUE"""),6.0)</f>
        <v>6</v>
      </c>
      <c r="J558" s="9">
        <f>IFERROR(__xludf.DUMMYFUNCTION("""COMPUTED_VALUE"""),87.5)</f>
        <v>87.5</v>
      </c>
      <c r="Q558" s="12" t="str">
        <f t="shared" ref="Q558:S558" si="562">IF(H558&gt;M$5, $G558, "")</f>
        <v/>
      </c>
      <c r="R558" s="13" t="str">
        <f t="shared" si="562"/>
        <v/>
      </c>
      <c r="S558" s="14" t="str">
        <f t="shared" si="562"/>
        <v/>
      </c>
    </row>
    <row r="559">
      <c r="A559" s="1" t="s">
        <v>572</v>
      </c>
      <c r="G559" s="9" t="str">
        <f>IFERROR(__xludf.DUMMYFUNCTION("SPLIT(A559,"","")"),"./src/main/java/org/jfree/data/time/TimePeriodFormatException.java")</f>
        <v>./src/main/java/org/jfree/data/time/TimePeriodFormatException.java</v>
      </c>
      <c r="H559" s="9">
        <f>IFERROR(__xludf.DUMMYFUNCTION("""COMPUTED_VALUE"""),3.0)</f>
        <v>3</v>
      </c>
      <c r="I559" s="9">
        <f>IFERROR(__xludf.DUMMYFUNCTION("""COMPUTED_VALUE"""),6.0)</f>
        <v>6</v>
      </c>
      <c r="J559" s="9">
        <f>IFERROR(__xludf.DUMMYFUNCTION("""COMPUTED_VALUE"""),87.76)</f>
        <v>87.76</v>
      </c>
      <c r="Q559" s="12" t="str">
        <f t="shared" ref="Q559:S559" si="563">IF(H559&gt;M$5, $G559, "")</f>
        <v/>
      </c>
      <c r="R559" s="13" t="str">
        <f t="shared" si="563"/>
        <v/>
      </c>
      <c r="S559" s="14" t="str">
        <f t="shared" si="563"/>
        <v/>
      </c>
    </row>
    <row r="560">
      <c r="A560" s="1" t="s">
        <v>573</v>
      </c>
      <c r="G560" s="9" t="str">
        <f>IFERROR(__xludf.DUMMYFUNCTION("SPLIT(A560,"","")"),"./src/main/java/org/jfree/data/time/TimePeriodValue.java")</f>
        <v>./src/main/java/org/jfree/data/time/TimePeriodValue.java</v>
      </c>
      <c r="H560" s="9">
        <f>IFERROR(__xludf.DUMMYFUNCTION("""COMPUTED_VALUE"""),7.0)</f>
        <v>7</v>
      </c>
      <c r="I560" s="9">
        <f>IFERROR(__xludf.DUMMYFUNCTION("""COMPUTED_VALUE"""),66.0)</f>
        <v>66</v>
      </c>
      <c r="J560" s="9">
        <f>IFERROR(__xludf.DUMMYFUNCTION("""COMPUTED_VALUE"""),60.71)</f>
        <v>60.71</v>
      </c>
      <c r="Q560" s="12" t="str">
        <f t="shared" ref="Q560:S560" si="564">IF(H560&gt;M$5, $G560, "")</f>
        <v/>
      </c>
      <c r="R560" s="13" t="str">
        <f t="shared" si="564"/>
        <v/>
      </c>
      <c r="S560" s="14" t="str">
        <f t="shared" si="564"/>
        <v/>
      </c>
    </row>
    <row r="561">
      <c r="A561" s="1" t="s">
        <v>574</v>
      </c>
      <c r="G561" s="9" t="str">
        <f>IFERROR(__xludf.DUMMYFUNCTION("SPLIT(A561,"","")"),"./src/main/java/org/jfree/data/time/TimePeriodValues.java")</f>
        <v>./src/main/java/org/jfree/data/time/TimePeriodValues.java</v>
      </c>
      <c r="H561" s="9">
        <f>IFERROR(__xludf.DUMMYFUNCTION("""COMPUTED_VALUE"""),12.0)</f>
        <v>12</v>
      </c>
      <c r="I561" s="9">
        <f>IFERROR(__xludf.DUMMYFUNCTION("""COMPUTED_VALUE"""),221.0)</f>
        <v>221</v>
      </c>
      <c r="J561" s="9">
        <f>IFERROR(__xludf.DUMMYFUNCTION("""COMPUTED_VALUE"""),48.0)</f>
        <v>48</v>
      </c>
      <c r="Q561" s="12" t="str">
        <f t="shared" ref="Q561:S561" si="565">IF(H561&gt;M$5, $G561, "")</f>
        <v/>
      </c>
      <c r="R561" s="13" t="str">
        <f t="shared" si="565"/>
        <v/>
      </c>
      <c r="S561" s="14" t="str">
        <f t="shared" si="565"/>
        <v/>
      </c>
    </row>
    <row r="562">
      <c r="A562" s="1" t="s">
        <v>575</v>
      </c>
      <c r="G562" s="9" t="str">
        <f>IFERROR(__xludf.DUMMYFUNCTION("SPLIT(A562,"","")"),"./src/main/java/org/jfree/data/time/TimePeriodValuesCollection.java")</f>
        <v>./src/main/java/org/jfree/data/time/TimePeriodValuesCollection.java</v>
      </c>
      <c r="H562" s="9">
        <f>IFERROR(__xludf.DUMMYFUNCTION("""COMPUTED_VALUE"""),12.0)</f>
        <v>12</v>
      </c>
      <c r="I562" s="9">
        <f>IFERROR(__xludf.DUMMYFUNCTION("""COMPUTED_VALUE"""),207.0)</f>
        <v>207</v>
      </c>
      <c r="J562" s="9">
        <f>IFERROR(__xludf.DUMMYFUNCTION("""COMPUTED_VALUE"""),49.64)</f>
        <v>49.64</v>
      </c>
      <c r="Q562" s="12" t="str">
        <f t="shared" ref="Q562:S562" si="566">IF(H562&gt;M$5, $G562, "")</f>
        <v/>
      </c>
      <c r="R562" s="13" t="str">
        <f t="shared" si="566"/>
        <v/>
      </c>
      <c r="S562" s="14" t="str">
        <f t="shared" si="566"/>
        <v/>
      </c>
    </row>
    <row r="563">
      <c r="A563" s="1" t="s">
        <v>576</v>
      </c>
      <c r="G563" s="9" t="str">
        <f>IFERROR(__xludf.DUMMYFUNCTION("SPLIT(A563,"","")"),"./src/main/java/org/jfree/data/time/TimeSeries.java")</f>
        <v>./src/main/java/org/jfree/data/time/TimeSeries.java</v>
      </c>
      <c r="H563" s="9">
        <f>IFERROR(__xludf.DUMMYFUNCTION("""COMPUTED_VALUE"""),19.0)</f>
        <v>19</v>
      </c>
      <c r="I563" s="9">
        <f>IFERROR(__xludf.DUMMYFUNCTION("""COMPUTED_VALUE"""),606.0)</f>
        <v>606</v>
      </c>
      <c r="J563" s="9">
        <f>IFERROR(__xludf.DUMMYFUNCTION("""COMPUTED_VALUE"""),48.29)</f>
        <v>48.29</v>
      </c>
      <c r="Q563" s="12" t="str">
        <f t="shared" ref="Q563:S563" si="567">IF(H563&gt;M$5, $G563, "")</f>
        <v>./src/main/java/org/jfree/data/time/TimeSeries.java</v>
      </c>
      <c r="R563" s="13" t="str">
        <f t="shared" si="567"/>
        <v>./src/main/java/org/jfree/data/time/TimeSeries.java</v>
      </c>
      <c r="S563" s="14" t="str">
        <f t="shared" si="567"/>
        <v/>
      </c>
    </row>
    <row r="564">
      <c r="A564" s="1" t="s">
        <v>577</v>
      </c>
      <c r="G564" s="9" t="str">
        <f>IFERROR(__xludf.DUMMYFUNCTION("SPLIT(A564,"","")"),"./src/main/java/org/jfree/data/time/TimeSeriesCollection.java")</f>
        <v>./src/main/java/org/jfree/data/time/TimeSeriesCollection.java</v>
      </c>
      <c r="H564" s="9">
        <f>IFERROR(__xludf.DUMMYFUNCTION("""COMPUTED_VALUE"""),18.0)</f>
        <v>18</v>
      </c>
      <c r="I564" s="9">
        <f>IFERROR(__xludf.DUMMYFUNCTION("""COMPUTED_VALUE"""),323.0)</f>
        <v>323</v>
      </c>
      <c r="J564" s="9">
        <f>IFERROR(__xludf.DUMMYFUNCTION("""COMPUTED_VALUE"""),51.28)</f>
        <v>51.28</v>
      </c>
      <c r="Q564" s="12" t="str">
        <f t="shared" ref="Q564:S564" si="568">IF(H564&gt;M$5, $G564, "")</f>
        <v/>
      </c>
      <c r="R564" s="13" t="str">
        <f t="shared" si="568"/>
        <v/>
      </c>
      <c r="S564" s="14" t="str">
        <f t="shared" si="568"/>
        <v/>
      </c>
    </row>
    <row r="565">
      <c r="A565" s="1" t="s">
        <v>578</v>
      </c>
      <c r="G565" s="9" t="str">
        <f>IFERROR(__xludf.DUMMYFUNCTION("SPLIT(A565,"","")"),"./src/main/java/org/jfree/data/time/TimeSeriesDataItem.java")</f>
        <v>./src/main/java/org/jfree/data/time/TimeSeriesDataItem.java</v>
      </c>
      <c r="H565" s="9">
        <f>IFERROR(__xludf.DUMMYFUNCTION("""COMPUTED_VALUE"""),10.0)</f>
        <v>10</v>
      </c>
      <c r="I565" s="9">
        <f>IFERROR(__xludf.DUMMYFUNCTION("""COMPUTED_VALUE"""),66.0)</f>
        <v>66</v>
      </c>
      <c r="J565" s="9">
        <f>IFERROR(__xludf.DUMMYFUNCTION("""COMPUTED_VALUE"""),65.26)</f>
        <v>65.26</v>
      </c>
      <c r="Q565" s="12" t="str">
        <f t="shared" ref="Q565:S565" si="569">IF(H565&gt;M$5, $G565, "")</f>
        <v/>
      </c>
      <c r="R565" s="13" t="str">
        <f t="shared" si="569"/>
        <v/>
      </c>
      <c r="S565" s="14" t="str">
        <f t="shared" si="569"/>
        <v/>
      </c>
    </row>
    <row r="566">
      <c r="A566" s="1" t="s">
        <v>579</v>
      </c>
      <c r="G566" s="9" t="str">
        <f>IFERROR(__xludf.DUMMYFUNCTION("SPLIT(A566,"","")"),"./src/main/java/org/jfree/data/time/TimeSeriesTableModel.java")</f>
        <v>./src/main/java/org/jfree/data/time/TimeSeriesTableModel.java</v>
      </c>
      <c r="H566" s="9">
        <f>IFERROR(__xludf.DUMMYFUNCTION("""COMPUTED_VALUE"""),4.0)</f>
        <v>4</v>
      </c>
      <c r="I566" s="9">
        <f>IFERROR(__xludf.DUMMYFUNCTION("""COMPUTED_VALUE"""),127.0)</f>
        <v>127</v>
      </c>
      <c r="J566" s="9">
        <f>IFERROR(__xludf.DUMMYFUNCTION("""COMPUTED_VALUE"""),47.08)</f>
        <v>47.08</v>
      </c>
      <c r="Q566" s="12" t="str">
        <f t="shared" ref="Q566:S566" si="570">IF(H566&gt;M$5, $G566, "")</f>
        <v/>
      </c>
      <c r="R566" s="13" t="str">
        <f t="shared" si="570"/>
        <v/>
      </c>
      <c r="S566" s="14" t="str">
        <f t="shared" si="570"/>
        <v/>
      </c>
    </row>
    <row r="567">
      <c r="A567" s="1" t="s">
        <v>580</v>
      </c>
      <c r="G567" s="9" t="str">
        <f>IFERROR(__xludf.DUMMYFUNCTION("SPLIT(A567,"","")"),"./src/main/java/org/jfree/data/time/TimeTableXYDataset.java")</f>
        <v>./src/main/java/org/jfree/data/time/TimeTableXYDataset.java</v>
      </c>
      <c r="H567" s="9">
        <f>IFERROR(__xludf.DUMMYFUNCTION("""COMPUTED_VALUE"""),11.0)</f>
        <v>11</v>
      </c>
      <c r="I567" s="9">
        <f>IFERROR(__xludf.DUMMYFUNCTION("""COMPUTED_VALUE"""),230.0)</f>
        <v>230</v>
      </c>
      <c r="J567" s="9">
        <f>IFERROR(__xludf.DUMMYFUNCTION("""COMPUTED_VALUE"""),59.0)</f>
        <v>59</v>
      </c>
      <c r="Q567" s="12" t="str">
        <f t="shared" ref="Q567:S567" si="571">IF(H567&gt;M$5, $G567, "")</f>
        <v/>
      </c>
      <c r="R567" s="13" t="str">
        <f t="shared" si="571"/>
        <v/>
      </c>
      <c r="S567" s="14" t="str">
        <f t="shared" si="571"/>
        <v/>
      </c>
    </row>
    <row r="568">
      <c r="A568" s="1" t="s">
        <v>581</v>
      </c>
      <c r="G568" s="9" t="str">
        <f>IFERROR(__xludf.DUMMYFUNCTION("SPLIT(A568,"","")"),"./src/main/java/org/jfree/data/time/Week.java")</f>
        <v>./src/main/java/org/jfree/data/time/Week.java</v>
      </c>
      <c r="H568" s="9">
        <f>IFERROR(__xludf.DUMMYFUNCTION("""COMPUTED_VALUE"""),9.0)</f>
        <v>9</v>
      </c>
      <c r="I568" s="9">
        <f>IFERROR(__xludf.DUMMYFUNCTION("""COMPUTED_VALUE"""),302.0)</f>
        <v>302</v>
      </c>
      <c r="J568" s="9">
        <f>IFERROR(__xludf.DUMMYFUNCTION("""COMPUTED_VALUE"""),49.24)</f>
        <v>49.24</v>
      </c>
      <c r="Q568" s="12" t="str">
        <f t="shared" ref="Q568:S568" si="572">IF(H568&gt;M$5, $G568, "")</f>
        <v/>
      </c>
      <c r="R568" s="13" t="str">
        <f t="shared" si="572"/>
        <v/>
      </c>
      <c r="S568" s="14" t="str">
        <f t="shared" si="572"/>
        <v/>
      </c>
    </row>
    <row r="569">
      <c r="A569" s="1" t="s">
        <v>582</v>
      </c>
      <c r="G569" s="9" t="str">
        <f>IFERROR(__xludf.DUMMYFUNCTION("SPLIT(A569,"","")"),"./src/main/java/org/jfree/data/time/Year.java")</f>
        <v>./src/main/java/org/jfree/data/time/Year.java</v>
      </c>
      <c r="H569" s="9">
        <f>IFERROR(__xludf.DUMMYFUNCTION("""COMPUTED_VALUE"""),10.0)</f>
        <v>10</v>
      </c>
      <c r="I569" s="9">
        <f>IFERROR(__xludf.DUMMYFUNCTION("""COMPUTED_VALUE"""),141.0)</f>
        <v>141</v>
      </c>
      <c r="J569" s="9">
        <f>IFERROR(__xludf.DUMMYFUNCTION("""COMPUTED_VALUE"""),61.68)</f>
        <v>61.68</v>
      </c>
      <c r="Q569" s="12" t="str">
        <f t="shared" ref="Q569:S569" si="573">IF(H569&gt;M$5, $G569, "")</f>
        <v/>
      </c>
      <c r="R569" s="13" t="str">
        <f t="shared" si="573"/>
        <v/>
      </c>
      <c r="S569" s="14" t="str">
        <f t="shared" si="573"/>
        <v/>
      </c>
    </row>
    <row r="570">
      <c r="A570" s="1" t="s">
        <v>583</v>
      </c>
      <c r="G570" s="9" t="str">
        <f>IFERROR(__xludf.DUMMYFUNCTION("SPLIT(A570,"","")"),"./src/main/java/org/jfree/data/UnknownKeyException.java")</f>
        <v>./src/main/java/org/jfree/data/UnknownKeyException.java</v>
      </c>
      <c r="H570" s="9">
        <f>IFERROR(__xludf.DUMMYFUNCTION("""COMPUTED_VALUE"""),2.0)</f>
        <v>2</v>
      </c>
      <c r="I570" s="9">
        <f>IFERROR(__xludf.DUMMYFUNCTION("""COMPUTED_VALUE"""),6.0)</f>
        <v>6</v>
      </c>
      <c r="J570" s="9">
        <f>IFERROR(__xludf.DUMMYFUNCTION("""COMPUTED_VALUE"""),88.68)</f>
        <v>88.68</v>
      </c>
      <c r="Q570" s="12" t="str">
        <f t="shared" ref="Q570:S570" si="574">IF(H570&gt;M$5, $G570, "")</f>
        <v/>
      </c>
      <c r="R570" s="13" t="str">
        <f t="shared" si="574"/>
        <v/>
      </c>
      <c r="S570" s="14" t="str">
        <f t="shared" si="574"/>
        <v/>
      </c>
    </row>
    <row r="571">
      <c r="A571" s="1" t="s">
        <v>584</v>
      </c>
      <c r="G571" s="9" t="str">
        <f>IFERROR(__xludf.DUMMYFUNCTION("SPLIT(A571,"","")"),"./src/main/java/org/jfree/data/Value.java")</f>
        <v>./src/main/java/org/jfree/data/Value.java</v>
      </c>
      <c r="H571" s="9">
        <f>IFERROR(__xludf.DUMMYFUNCTION("""COMPUTED_VALUE"""),3.0)</f>
        <v>3</v>
      </c>
      <c r="I571" s="9">
        <f>IFERROR(__xludf.DUMMYFUNCTION("""COMPUTED_VALUE"""),4.0)</f>
        <v>4</v>
      </c>
      <c r="J571" s="9">
        <f>IFERROR(__xludf.DUMMYFUNCTION("""COMPUTED_VALUE"""),92.31)</f>
        <v>92.31</v>
      </c>
      <c r="Q571" s="12" t="str">
        <f t="shared" ref="Q571:S571" si="575">IF(H571&gt;M$5, $G571, "")</f>
        <v/>
      </c>
      <c r="R571" s="13" t="str">
        <f t="shared" si="575"/>
        <v/>
      </c>
      <c r="S571" s="14" t="str">
        <f t="shared" si="575"/>
        <v/>
      </c>
    </row>
    <row r="572">
      <c r="A572" s="1" t="s">
        <v>585</v>
      </c>
      <c r="G572" s="9" t="str">
        <f>IFERROR(__xludf.DUMMYFUNCTION("SPLIT(A572,"","")"),"./src/main/java/org/jfree/data/Values.java")</f>
        <v>./src/main/java/org/jfree/data/Values.java</v>
      </c>
      <c r="H572" s="9">
        <f>IFERROR(__xludf.DUMMYFUNCTION("""COMPUTED_VALUE"""),5.0)</f>
        <v>5</v>
      </c>
      <c r="I572" s="9">
        <f>IFERROR(__xludf.DUMMYFUNCTION("""COMPUTED_VALUE"""),5.0)</f>
        <v>5</v>
      </c>
      <c r="J572" s="9">
        <f>IFERROR(__xludf.DUMMYFUNCTION("""COMPUTED_VALUE"""),91.53)</f>
        <v>91.53</v>
      </c>
      <c r="Q572" s="12" t="str">
        <f t="shared" ref="Q572:S572" si="576">IF(H572&gt;M$5, $G572, "")</f>
        <v/>
      </c>
      <c r="R572" s="13" t="str">
        <f t="shared" si="576"/>
        <v/>
      </c>
      <c r="S572" s="14" t="str">
        <f t="shared" si="576"/>
        <v/>
      </c>
    </row>
    <row r="573">
      <c r="A573" s="1" t="s">
        <v>586</v>
      </c>
      <c r="G573" s="9" t="str">
        <f>IFERROR(__xludf.DUMMYFUNCTION("SPLIT(A573,"","")"),"./src/main/java/org/jfree/data/Values2D.java")</f>
        <v>./src/main/java/org/jfree/data/Values2D.java</v>
      </c>
      <c r="H573" s="9">
        <f>IFERROR(__xludf.DUMMYFUNCTION("""COMPUTED_VALUE"""),4.0)</f>
        <v>4</v>
      </c>
      <c r="I573" s="9">
        <f>IFERROR(__xludf.DUMMYFUNCTION("""COMPUTED_VALUE"""),6.0)</f>
        <v>6</v>
      </c>
      <c r="J573" s="9">
        <f>IFERROR(__xludf.DUMMYFUNCTION("""COMPUTED_VALUE"""),91.3)</f>
        <v>91.3</v>
      </c>
      <c r="Q573" s="12" t="str">
        <f t="shared" ref="Q573:S573" si="577">IF(H573&gt;M$5, $G573, "")</f>
        <v/>
      </c>
      <c r="R573" s="13" t="str">
        <f t="shared" si="577"/>
        <v/>
      </c>
      <c r="S573" s="14" t="str">
        <f t="shared" si="577"/>
        <v/>
      </c>
    </row>
    <row r="574">
      <c r="A574" s="1" t="s">
        <v>587</v>
      </c>
      <c r="G574" s="9" t="str">
        <f>IFERROR(__xludf.DUMMYFUNCTION("SPLIT(A574,"","")"),"./src/main/java/org/jfree/data/xml/CategoryDatasetHandler.java")</f>
        <v>./src/main/java/org/jfree/data/xml/CategoryDatasetHandler.java</v>
      </c>
      <c r="H574" s="9">
        <f>IFERROR(__xludf.DUMMYFUNCTION("""COMPUTED_VALUE"""),3.0)</f>
        <v>3</v>
      </c>
      <c r="I574" s="9">
        <f>IFERROR(__xludf.DUMMYFUNCTION("""COMPUTED_VALUE"""),48.0)</f>
        <v>48</v>
      </c>
      <c r="J574" s="9">
        <f>IFERROR(__xludf.DUMMYFUNCTION("""COMPUTED_VALUE"""),60.33)</f>
        <v>60.33</v>
      </c>
      <c r="Q574" s="12" t="str">
        <f t="shared" ref="Q574:S574" si="578">IF(H574&gt;M$5, $G574, "")</f>
        <v/>
      </c>
      <c r="R574" s="13" t="str">
        <f t="shared" si="578"/>
        <v/>
      </c>
      <c r="S574" s="14" t="str">
        <f t="shared" si="578"/>
        <v/>
      </c>
    </row>
    <row r="575">
      <c r="A575" s="1" t="s">
        <v>588</v>
      </c>
      <c r="G575" s="9" t="str">
        <f>IFERROR(__xludf.DUMMYFUNCTION("SPLIT(A575,"","")"),"./src/main/java/org/jfree/data/xml/CategorySeriesHandler.java")</f>
        <v>./src/main/java/org/jfree/data/xml/CategorySeriesHandler.java</v>
      </c>
      <c r="H575" s="9">
        <f>IFERROR(__xludf.DUMMYFUNCTION("""COMPUTED_VALUE"""),5.0)</f>
        <v>5</v>
      </c>
      <c r="I575" s="9">
        <f>IFERROR(__xludf.DUMMYFUNCTION("""COMPUTED_VALUE"""),56.0)</f>
        <v>56</v>
      </c>
      <c r="J575" s="9">
        <f>IFERROR(__xludf.DUMMYFUNCTION("""COMPUTED_VALUE"""),58.21)</f>
        <v>58.21</v>
      </c>
      <c r="Q575" s="12" t="str">
        <f t="shared" ref="Q575:S575" si="579">IF(H575&gt;M$5, $G575, "")</f>
        <v/>
      </c>
      <c r="R575" s="13" t="str">
        <f t="shared" si="579"/>
        <v/>
      </c>
      <c r="S575" s="14" t="str">
        <f t="shared" si="579"/>
        <v/>
      </c>
    </row>
    <row r="576">
      <c r="A576" s="1" t="s">
        <v>589</v>
      </c>
      <c r="G576" s="9" t="str">
        <f>IFERROR(__xludf.DUMMYFUNCTION("SPLIT(A576,"","")"),"./src/main/java/org/jfree/data/xml/DatasetReader.java")</f>
        <v>./src/main/java/org/jfree/data/xml/DatasetReader.java</v>
      </c>
      <c r="H576" s="9">
        <f>IFERROR(__xludf.DUMMYFUNCTION("""COMPUTED_VALUE"""),5.0)</f>
        <v>5</v>
      </c>
      <c r="I576" s="9">
        <f>IFERROR(__xludf.DUMMYFUNCTION("""COMPUTED_VALUE"""),74.0)</f>
        <v>74</v>
      </c>
      <c r="J576" s="9">
        <f>IFERROR(__xludf.DUMMYFUNCTION("""COMPUTED_VALUE"""),54.04)</f>
        <v>54.04</v>
      </c>
      <c r="Q576" s="12" t="str">
        <f t="shared" ref="Q576:S576" si="580">IF(H576&gt;M$5, $G576, "")</f>
        <v/>
      </c>
      <c r="R576" s="13" t="str">
        <f t="shared" si="580"/>
        <v/>
      </c>
      <c r="S576" s="14" t="str">
        <f t="shared" si="580"/>
        <v/>
      </c>
    </row>
    <row r="577">
      <c r="A577" s="1" t="s">
        <v>590</v>
      </c>
      <c r="G577" s="9" t="str">
        <f>IFERROR(__xludf.DUMMYFUNCTION("SPLIT(A577,"","")"),"./src/main/java/org/jfree/data/xml/DatasetTags.java")</f>
        <v>./src/main/java/org/jfree/data/xml/DatasetTags.java</v>
      </c>
      <c r="H577" s="9">
        <f>IFERROR(__xludf.DUMMYFUNCTION("""COMPUTED_VALUE"""),3.0)</f>
        <v>3</v>
      </c>
      <c r="I577" s="9">
        <f>IFERROR(__xludf.DUMMYFUNCTION("""COMPUTED_VALUE"""),9.0)</f>
        <v>9</v>
      </c>
      <c r="J577" s="9">
        <f>IFERROR(__xludf.DUMMYFUNCTION("""COMPUTED_VALUE"""),84.21)</f>
        <v>84.21</v>
      </c>
      <c r="Q577" s="12" t="str">
        <f t="shared" ref="Q577:S577" si="581">IF(H577&gt;M$5, $G577, "")</f>
        <v/>
      </c>
      <c r="R577" s="13" t="str">
        <f t="shared" si="581"/>
        <v/>
      </c>
      <c r="S577" s="14" t="str">
        <f t="shared" si="581"/>
        <v/>
      </c>
    </row>
    <row r="578">
      <c r="A578" s="1" t="s">
        <v>591</v>
      </c>
      <c r="G578" s="9" t="str">
        <f>IFERROR(__xludf.DUMMYFUNCTION("SPLIT(A578,"","")"),"./src/main/java/org/jfree/data/xml/ItemHandler.java")</f>
        <v>./src/main/java/org/jfree/data/xml/ItemHandler.java</v>
      </c>
      <c r="H578" s="9">
        <f>IFERROR(__xludf.DUMMYFUNCTION("""COMPUTED_VALUE"""),2.0)</f>
        <v>2</v>
      </c>
      <c r="I578" s="9">
        <f>IFERROR(__xludf.DUMMYFUNCTION("""COMPUTED_VALUE"""),62.0)</f>
        <v>62</v>
      </c>
      <c r="J578" s="9">
        <f>IFERROR(__xludf.DUMMYFUNCTION("""COMPUTED_VALUE"""),58.94)</f>
        <v>58.94</v>
      </c>
      <c r="Q578" s="12" t="str">
        <f t="shared" ref="Q578:S578" si="582">IF(H578&gt;M$5, $G578, "")</f>
        <v/>
      </c>
      <c r="R578" s="13" t="str">
        <f t="shared" si="582"/>
        <v/>
      </c>
      <c r="S578" s="14" t="str">
        <f t="shared" si="582"/>
        <v/>
      </c>
    </row>
    <row r="579">
      <c r="A579" s="1" t="s">
        <v>592</v>
      </c>
      <c r="G579" s="9" t="str">
        <f>IFERROR(__xludf.DUMMYFUNCTION("SPLIT(A579,"","")"),"./src/main/java/org/jfree/data/xml/KeyHandler.java")</f>
        <v>./src/main/java/org/jfree/data/xml/KeyHandler.java</v>
      </c>
      <c r="H579" s="9">
        <f>IFERROR(__xludf.DUMMYFUNCTION("""COMPUTED_VALUE"""),2.0)</f>
        <v>2</v>
      </c>
      <c r="I579" s="9">
        <f>IFERROR(__xludf.DUMMYFUNCTION("""COMPUTED_VALUE"""),53.0)</f>
        <v>53</v>
      </c>
      <c r="J579" s="9">
        <f>IFERROR(__xludf.DUMMYFUNCTION("""COMPUTED_VALUE"""),62.41)</f>
        <v>62.41</v>
      </c>
      <c r="Q579" s="12" t="str">
        <f t="shared" ref="Q579:S579" si="583">IF(H579&gt;M$5, $G579, "")</f>
        <v/>
      </c>
      <c r="R579" s="13" t="str">
        <f t="shared" si="583"/>
        <v/>
      </c>
      <c r="S579" s="14" t="str">
        <f t="shared" si="583"/>
        <v/>
      </c>
    </row>
    <row r="580">
      <c r="A580" s="1" t="s">
        <v>593</v>
      </c>
      <c r="G580" s="9" t="str">
        <f>IFERROR(__xludf.DUMMYFUNCTION("SPLIT(A580,"","")"),"./src/main/java/org/jfree/data/xml/PieDatasetHandler.java")</f>
        <v>./src/main/java/org/jfree/data/xml/PieDatasetHandler.java</v>
      </c>
      <c r="H580" s="9">
        <f>IFERROR(__xludf.DUMMYFUNCTION("""COMPUTED_VALUE"""),2.0)</f>
        <v>2</v>
      </c>
      <c r="I580" s="9">
        <f>IFERROR(__xludf.DUMMYFUNCTION("""COMPUTED_VALUE"""),45.0)</f>
        <v>45</v>
      </c>
      <c r="J580" s="9">
        <f>IFERROR(__xludf.DUMMYFUNCTION("""COMPUTED_VALUE"""),62.81)</f>
        <v>62.81</v>
      </c>
      <c r="Q580" s="12" t="str">
        <f t="shared" ref="Q580:S580" si="584">IF(H580&gt;M$5, $G580, "")</f>
        <v/>
      </c>
      <c r="R580" s="13" t="str">
        <f t="shared" si="584"/>
        <v/>
      </c>
      <c r="S580" s="14" t="str">
        <f t="shared" si="584"/>
        <v/>
      </c>
    </row>
    <row r="581">
      <c r="A581" s="1" t="s">
        <v>594</v>
      </c>
      <c r="G581" s="9" t="str">
        <f>IFERROR(__xludf.DUMMYFUNCTION("SPLIT(A581,"","")"),"./src/main/java/org/jfree/data/xml/RootHandler.java")</f>
        <v>./src/main/java/org/jfree/data/xml/RootHandler.java</v>
      </c>
      <c r="H581" s="9">
        <f>IFERROR(__xludf.DUMMYFUNCTION("""COMPUTED_VALUE"""),2.0)</f>
        <v>2</v>
      </c>
      <c r="I581" s="9">
        <f>IFERROR(__xludf.DUMMYFUNCTION("""COMPUTED_VALUE"""),39.0)</f>
        <v>39</v>
      </c>
      <c r="J581" s="9">
        <f>IFERROR(__xludf.DUMMYFUNCTION("""COMPUTED_VALUE"""),65.79)</f>
        <v>65.79</v>
      </c>
      <c r="Q581" s="12" t="str">
        <f t="shared" ref="Q581:S581" si="585">IF(H581&gt;M$5, $G581, "")</f>
        <v/>
      </c>
      <c r="R581" s="13" t="str">
        <f t="shared" si="585"/>
        <v/>
      </c>
      <c r="S581" s="14" t="str">
        <f t="shared" si="585"/>
        <v/>
      </c>
    </row>
    <row r="582">
      <c r="A582" s="1" t="s">
        <v>595</v>
      </c>
      <c r="G582" s="9" t="str">
        <f>IFERROR(__xludf.DUMMYFUNCTION("SPLIT(A582,"","")"),"./src/main/java/org/jfree/data/xml/ValueHandler.java")</f>
        <v>./src/main/java/org/jfree/data/xml/ValueHandler.java</v>
      </c>
      <c r="H582" s="9">
        <f>IFERROR(__xludf.DUMMYFUNCTION("""COMPUTED_VALUE"""),2.0)</f>
        <v>2</v>
      </c>
      <c r="I582" s="9">
        <f>IFERROR(__xludf.DUMMYFUNCTION("""COMPUTED_VALUE"""),60.0)</f>
        <v>60</v>
      </c>
      <c r="J582" s="9">
        <f>IFERROR(__xludf.DUMMYFUNCTION("""COMPUTED_VALUE"""),59.18)</f>
        <v>59.18</v>
      </c>
      <c r="Q582" s="12" t="str">
        <f t="shared" ref="Q582:S582" si="586">IF(H582&gt;M$5, $G582, "")</f>
        <v/>
      </c>
      <c r="R582" s="13" t="str">
        <f t="shared" si="586"/>
        <v/>
      </c>
      <c r="S582" s="14" t="str">
        <f t="shared" si="586"/>
        <v/>
      </c>
    </row>
    <row r="583">
      <c r="A583" s="1" t="s">
        <v>596</v>
      </c>
      <c r="G583" s="9" t="str">
        <f>IFERROR(__xludf.DUMMYFUNCTION("SPLIT(A583,"","")"),"./src/main/java/org/jfree/data/xy/AbstractIntervalXYDataset.java")</f>
        <v>./src/main/java/org/jfree/data/xy/AbstractIntervalXYDataset.java</v>
      </c>
      <c r="H583" s="9">
        <f>IFERROR(__xludf.DUMMYFUNCTION("""COMPUTED_VALUE"""),3.0)</f>
        <v>3</v>
      </c>
      <c r="I583" s="9">
        <f>IFERROR(__xludf.DUMMYFUNCTION("""COMPUTED_VALUE"""),41.0)</f>
        <v>41</v>
      </c>
      <c r="J583" s="9">
        <f>IFERROR(__xludf.DUMMYFUNCTION("""COMPUTED_VALUE"""),64.66)</f>
        <v>64.66</v>
      </c>
      <c r="Q583" s="12" t="str">
        <f t="shared" ref="Q583:S583" si="587">IF(H583&gt;M$5, $G583, "")</f>
        <v/>
      </c>
      <c r="R583" s="13" t="str">
        <f t="shared" si="587"/>
        <v/>
      </c>
      <c r="S583" s="14" t="str">
        <f t="shared" si="587"/>
        <v/>
      </c>
    </row>
    <row r="584">
      <c r="A584" s="1" t="s">
        <v>597</v>
      </c>
      <c r="G584" s="9" t="str">
        <f>IFERROR(__xludf.DUMMYFUNCTION("SPLIT(A584,"","")"),"./src/main/java/org/jfree/data/xy/AbstractXYDataset.java")</f>
        <v>./src/main/java/org/jfree/data/xy/AbstractXYDataset.java</v>
      </c>
      <c r="H584" s="9">
        <f>IFERROR(__xludf.DUMMYFUNCTION("""COMPUTED_VALUE"""),4.0)</f>
        <v>4</v>
      </c>
      <c r="I584" s="9">
        <f>IFERROR(__xludf.DUMMYFUNCTION("""COMPUTED_VALUE"""),28.0)</f>
        <v>28</v>
      </c>
      <c r="J584" s="9">
        <f>IFERROR(__xludf.DUMMYFUNCTION("""COMPUTED_VALUE"""),68.89)</f>
        <v>68.89</v>
      </c>
      <c r="Q584" s="12" t="str">
        <f t="shared" ref="Q584:S584" si="588">IF(H584&gt;M$5, $G584, "")</f>
        <v/>
      </c>
      <c r="R584" s="13" t="str">
        <f t="shared" si="588"/>
        <v/>
      </c>
      <c r="S584" s="14" t="str">
        <f t="shared" si="588"/>
        <v/>
      </c>
    </row>
    <row r="585">
      <c r="A585" s="1" t="s">
        <v>598</v>
      </c>
      <c r="G585" s="9" t="str">
        <f>IFERROR(__xludf.DUMMYFUNCTION("SPLIT(A585,"","")"),"./src/main/java/org/jfree/data/xy/AbstractXYZDataset.java")</f>
        <v>./src/main/java/org/jfree/data/xy/AbstractXYZDataset.java</v>
      </c>
      <c r="H585" s="9">
        <f>IFERROR(__xludf.DUMMYFUNCTION("""COMPUTED_VALUE"""),3.0)</f>
        <v>3</v>
      </c>
      <c r="I585" s="9">
        <f>IFERROR(__xludf.DUMMYFUNCTION("""COMPUTED_VALUE"""),13.0)</f>
        <v>13</v>
      </c>
      <c r="J585" s="9">
        <f>IFERROR(__xludf.DUMMYFUNCTION("""COMPUTED_VALUE"""),78.33)</f>
        <v>78.33</v>
      </c>
      <c r="Q585" s="12" t="str">
        <f t="shared" ref="Q585:S585" si="589">IF(H585&gt;M$5, $G585, "")</f>
        <v/>
      </c>
      <c r="R585" s="13" t="str">
        <f t="shared" si="589"/>
        <v/>
      </c>
      <c r="S585" s="14" t="str">
        <f t="shared" si="589"/>
        <v/>
      </c>
    </row>
    <row r="586">
      <c r="A586" s="1" t="s">
        <v>599</v>
      </c>
      <c r="G586" s="9" t="str">
        <f>IFERROR(__xludf.DUMMYFUNCTION("SPLIT(A586,"","")"),"./src/main/java/org/jfree/data/xy/CategoryTableXYDataset.java")</f>
        <v>./src/main/java/org/jfree/data/xy/CategoryTableXYDataset.java</v>
      </c>
      <c r="H586" s="9">
        <f>IFERROR(__xludf.DUMMYFUNCTION("""COMPUTED_VALUE"""),7.0)</f>
        <v>7</v>
      </c>
      <c r="I586" s="9">
        <f>IFERROR(__xludf.DUMMYFUNCTION("""COMPUTED_VALUE"""),143.0)</f>
        <v>143</v>
      </c>
      <c r="J586" s="9">
        <f>IFERROR(__xludf.DUMMYFUNCTION("""COMPUTED_VALUE"""),62.66)</f>
        <v>62.66</v>
      </c>
      <c r="Q586" s="12" t="str">
        <f t="shared" ref="Q586:S586" si="590">IF(H586&gt;M$5, $G586, "")</f>
        <v/>
      </c>
      <c r="R586" s="13" t="str">
        <f t="shared" si="590"/>
        <v/>
      </c>
      <c r="S586" s="14" t="str">
        <f t="shared" si="590"/>
        <v/>
      </c>
    </row>
    <row r="587">
      <c r="A587" s="1" t="s">
        <v>600</v>
      </c>
      <c r="G587" s="9" t="str">
        <f>IFERROR(__xludf.DUMMYFUNCTION("SPLIT(A587,"","")"),"./src/main/java/org/jfree/data/xy/DefaultHighLowDataset.java")</f>
        <v>./src/main/java/org/jfree/data/xy/DefaultHighLowDataset.java</v>
      </c>
      <c r="H587" s="9">
        <f>IFERROR(__xludf.DUMMYFUNCTION("""COMPUTED_VALUE"""),9.0)</f>
        <v>9</v>
      </c>
      <c r="I587" s="9">
        <f>IFERROR(__xludf.DUMMYFUNCTION("""COMPUTED_VALUE"""),155.0)</f>
        <v>155</v>
      </c>
      <c r="J587" s="9">
        <f>IFERROR(__xludf.DUMMYFUNCTION("""COMPUTED_VALUE"""),61.06)</f>
        <v>61.06</v>
      </c>
      <c r="Q587" s="12" t="str">
        <f t="shared" ref="Q587:S587" si="591">IF(H587&gt;M$5, $G587, "")</f>
        <v/>
      </c>
      <c r="R587" s="13" t="str">
        <f t="shared" si="591"/>
        <v/>
      </c>
      <c r="S587" s="14" t="str">
        <f t="shared" si="591"/>
        <v/>
      </c>
    </row>
    <row r="588">
      <c r="A588" s="1" t="s">
        <v>601</v>
      </c>
      <c r="G588" s="9" t="str">
        <f>IFERROR(__xludf.DUMMYFUNCTION("SPLIT(A588,"","")"),"./src/main/java/org/jfree/data/xy/DefaultIntervalXYDataset.java")</f>
        <v>./src/main/java/org/jfree/data/xy/DefaultIntervalXYDataset.java</v>
      </c>
      <c r="H588" s="9">
        <f>IFERROR(__xludf.DUMMYFUNCTION("""COMPUTED_VALUE"""),8.0)</f>
        <v>8</v>
      </c>
      <c r="I588" s="9">
        <f>IFERROR(__xludf.DUMMYFUNCTION("""COMPUTED_VALUE"""),197.0)</f>
        <v>197</v>
      </c>
      <c r="J588" s="9">
        <f>IFERROR(__xludf.DUMMYFUNCTION("""COMPUTED_VALUE"""),62.48)</f>
        <v>62.48</v>
      </c>
      <c r="Q588" s="12" t="str">
        <f t="shared" ref="Q588:S588" si="592">IF(H588&gt;M$5, $G588, "")</f>
        <v/>
      </c>
      <c r="R588" s="13" t="str">
        <f t="shared" si="592"/>
        <v/>
      </c>
      <c r="S588" s="14" t="str">
        <f t="shared" si="592"/>
        <v/>
      </c>
    </row>
    <row r="589">
      <c r="A589" s="1" t="s">
        <v>602</v>
      </c>
      <c r="G589" s="9" t="str">
        <f>IFERROR(__xludf.DUMMYFUNCTION("SPLIT(A589,"","")"),"./src/main/java/org/jfree/data/xy/DefaultOHLCDataset.java")</f>
        <v>./src/main/java/org/jfree/data/xy/DefaultOHLCDataset.java</v>
      </c>
      <c r="H589" s="9">
        <f>IFERROR(__xludf.DUMMYFUNCTION("""COMPUTED_VALUE"""),6.0)</f>
        <v>6</v>
      </c>
      <c r="I589" s="9">
        <f>IFERROR(__xludf.DUMMYFUNCTION("""COMPUTED_VALUE"""),128.0)</f>
        <v>128</v>
      </c>
      <c r="J589" s="9">
        <f>IFERROR(__xludf.DUMMYFUNCTION("""COMPUTED_VALUE"""),60.0)</f>
        <v>60</v>
      </c>
      <c r="Q589" s="12" t="str">
        <f t="shared" ref="Q589:S589" si="593">IF(H589&gt;M$5, $G589, "")</f>
        <v/>
      </c>
      <c r="R589" s="13" t="str">
        <f t="shared" si="593"/>
        <v/>
      </c>
      <c r="S589" s="14" t="str">
        <f t="shared" si="593"/>
        <v/>
      </c>
    </row>
    <row r="590">
      <c r="A590" s="1" t="s">
        <v>603</v>
      </c>
      <c r="G590" s="9" t="str">
        <f>IFERROR(__xludf.DUMMYFUNCTION("SPLIT(A590,"","")"),"./src/main/java/org/jfree/data/xy/DefaultTableXYDataset.java")</f>
        <v>./src/main/java/org/jfree/data/xy/DefaultTableXYDataset.java</v>
      </c>
      <c r="H590" s="9">
        <f>IFERROR(__xludf.DUMMYFUNCTION("""COMPUTED_VALUE"""),12.0)</f>
        <v>12</v>
      </c>
      <c r="I590" s="9">
        <f>IFERROR(__xludf.DUMMYFUNCTION("""COMPUTED_VALUE"""),293.0)</f>
        <v>293</v>
      </c>
      <c r="J590" s="9">
        <f>IFERROR(__xludf.DUMMYFUNCTION("""COMPUTED_VALUE"""),49.66)</f>
        <v>49.66</v>
      </c>
      <c r="Q590" s="12" t="str">
        <f t="shared" ref="Q590:S590" si="594">IF(H590&gt;M$5, $G590, "")</f>
        <v/>
      </c>
      <c r="R590" s="13" t="str">
        <f t="shared" si="594"/>
        <v/>
      </c>
      <c r="S590" s="14" t="str">
        <f t="shared" si="594"/>
        <v/>
      </c>
    </row>
    <row r="591">
      <c r="A591" s="1" t="s">
        <v>604</v>
      </c>
      <c r="G591" s="9" t="str">
        <f>IFERROR(__xludf.DUMMYFUNCTION("SPLIT(A591,"","")"),"./src/main/java/org/jfree/data/xy/DefaultWindDataset.java")</f>
        <v>./src/main/java/org/jfree/data/xy/DefaultWindDataset.java</v>
      </c>
      <c r="H591" s="9">
        <f>IFERROR(__xludf.DUMMYFUNCTION("""COMPUTED_VALUE"""),7.0)</f>
        <v>7</v>
      </c>
      <c r="I591" s="9">
        <f>IFERROR(__xludf.DUMMYFUNCTION("""COMPUTED_VALUE"""),186.0)</f>
        <v>186</v>
      </c>
      <c r="J591" s="9">
        <f>IFERROR(__xludf.DUMMYFUNCTION("""COMPUTED_VALUE"""),52.79)</f>
        <v>52.79</v>
      </c>
      <c r="Q591" s="12" t="str">
        <f t="shared" ref="Q591:S591" si="595">IF(H591&gt;M$5, $G591, "")</f>
        <v/>
      </c>
      <c r="R591" s="13" t="str">
        <f t="shared" si="595"/>
        <v/>
      </c>
      <c r="S591" s="14" t="str">
        <f t="shared" si="595"/>
        <v/>
      </c>
    </row>
    <row r="592">
      <c r="A592" s="1" t="s">
        <v>605</v>
      </c>
      <c r="G592" s="9" t="str">
        <f>IFERROR(__xludf.DUMMYFUNCTION("SPLIT(A592,"","")"),"./src/main/java/org/jfree/data/xy/DefaultXYDataset.java")</f>
        <v>./src/main/java/org/jfree/data/xy/DefaultXYDataset.java</v>
      </c>
      <c r="H592" s="9">
        <f>IFERROR(__xludf.DUMMYFUNCTION("""COMPUTED_VALUE"""),8.0)</f>
        <v>8</v>
      </c>
      <c r="I592" s="9">
        <f>IFERROR(__xludf.DUMMYFUNCTION("""COMPUTED_VALUE"""),148.0)</f>
        <v>148</v>
      </c>
      <c r="J592" s="9">
        <f>IFERROR(__xludf.DUMMYFUNCTION("""COMPUTED_VALUE"""),58.77)</f>
        <v>58.77</v>
      </c>
      <c r="Q592" s="12" t="str">
        <f t="shared" ref="Q592:S592" si="596">IF(H592&gt;M$5, $G592, "")</f>
        <v/>
      </c>
      <c r="R592" s="13" t="str">
        <f t="shared" si="596"/>
        <v/>
      </c>
      <c r="S592" s="14" t="str">
        <f t="shared" si="596"/>
        <v/>
      </c>
    </row>
    <row r="593">
      <c r="A593" s="1" t="s">
        <v>606</v>
      </c>
      <c r="G593" s="9" t="str">
        <f>IFERROR(__xludf.DUMMYFUNCTION("SPLIT(A593,"","")"),"./src/main/java/org/jfree/data/xy/DefaultXYZDataset.java")</f>
        <v>./src/main/java/org/jfree/data/xy/DefaultXYZDataset.java</v>
      </c>
      <c r="H593" s="9">
        <f>IFERROR(__xludf.DUMMYFUNCTION("""COMPUTED_VALUE"""),7.0)</f>
        <v>7</v>
      </c>
      <c r="I593" s="9">
        <f>IFERROR(__xludf.DUMMYFUNCTION("""COMPUTED_VALUE"""),158.0)</f>
        <v>158</v>
      </c>
      <c r="J593" s="9">
        <f>IFERROR(__xludf.DUMMYFUNCTION("""COMPUTED_VALUE"""),60.7)</f>
        <v>60.7</v>
      </c>
      <c r="Q593" s="12" t="str">
        <f t="shared" ref="Q593:S593" si="597">IF(H593&gt;M$5, $G593, "")</f>
        <v/>
      </c>
      <c r="R593" s="13" t="str">
        <f t="shared" si="597"/>
        <v/>
      </c>
      <c r="S593" s="14" t="str">
        <f t="shared" si="597"/>
        <v/>
      </c>
    </row>
    <row r="594">
      <c r="A594" s="1" t="s">
        <v>607</v>
      </c>
      <c r="G594" s="9" t="str">
        <f>IFERROR(__xludf.DUMMYFUNCTION("SPLIT(A594,"","")"),"./src/main/java/org/jfree/data/xy/IntervalXYDataset.java")</f>
        <v>./src/main/java/org/jfree/data/xy/IntervalXYDataset.java</v>
      </c>
      <c r="H594" s="9">
        <f>IFERROR(__xludf.DUMMYFUNCTION("""COMPUTED_VALUE"""),4.0)</f>
        <v>4</v>
      </c>
      <c r="I594" s="9">
        <f>IFERROR(__xludf.DUMMYFUNCTION("""COMPUTED_VALUE"""),11.0)</f>
        <v>11</v>
      </c>
      <c r="J594" s="9">
        <f>IFERROR(__xludf.DUMMYFUNCTION("""COMPUTED_VALUE"""),91.97)</f>
        <v>91.97</v>
      </c>
      <c r="Q594" s="12" t="str">
        <f t="shared" ref="Q594:S594" si="598">IF(H594&gt;M$5, $G594, "")</f>
        <v/>
      </c>
      <c r="R594" s="13" t="str">
        <f t="shared" si="598"/>
        <v/>
      </c>
      <c r="S594" s="14" t="str">
        <f t="shared" si="598"/>
        <v/>
      </c>
    </row>
    <row r="595">
      <c r="A595" s="1" t="s">
        <v>608</v>
      </c>
      <c r="G595" s="9" t="str">
        <f>IFERROR(__xludf.DUMMYFUNCTION("SPLIT(A595,"","")"),"./src/main/java/org/jfree/data/xy/IntervalXYDelegate.java")</f>
        <v>./src/main/java/org/jfree/data/xy/IntervalXYDelegate.java</v>
      </c>
      <c r="H595" s="9">
        <f>IFERROR(__xludf.DUMMYFUNCTION("""COMPUTED_VALUE"""),9.0)</f>
        <v>9</v>
      </c>
      <c r="I595" s="9">
        <f>IFERROR(__xludf.DUMMYFUNCTION("""COMPUTED_VALUE"""),180.0)</f>
        <v>180</v>
      </c>
      <c r="J595" s="9">
        <f>IFERROR(__xludf.DUMMYFUNCTION("""COMPUTED_VALUE"""),58.72)</f>
        <v>58.72</v>
      </c>
      <c r="Q595" s="12" t="str">
        <f t="shared" ref="Q595:S595" si="599">IF(H595&gt;M$5, $G595, "")</f>
        <v/>
      </c>
      <c r="R595" s="13" t="str">
        <f t="shared" si="599"/>
        <v/>
      </c>
      <c r="S595" s="14" t="str">
        <f t="shared" si="599"/>
        <v/>
      </c>
    </row>
    <row r="596">
      <c r="A596" s="1" t="s">
        <v>609</v>
      </c>
      <c r="G596" s="9" t="str">
        <f>IFERROR(__xludf.DUMMYFUNCTION("SPLIT(A596,"","")"),"./src/main/java/org/jfree/data/xy/IntervalXYZDataset.java")</f>
        <v>./src/main/java/org/jfree/data/xy/IntervalXYZDataset.java</v>
      </c>
      <c r="H596" s="9">
        <f>IFERROR(__xludf.DUMMYFUNCTION("""COMPUTED_VALUE"""),4.0)</f>
        <v>4</v>
      </c>
      <c r="I596" s="9">
        <f>IFERROR(__xludf.DUMMYFUNCTION("""COMPUTED_VALUE"""),10.0)</f>
        <v>10</v>
      </c>
      <c r="J596" s="9">
        <f>IFERROR(__xludf.DUMMYFUNCTION("""COMPUTED_VALUE"""),89.69)</f>
        <v>89.69</v>
      </c>
      <c r="Q596" s="12" t="str">
        <f t="shared" ref="Q596:S596" si="600">IF(H596&gt;M$5, $G596, "")</f>
        <v/>
      </c>
      <c r="R596" s="13" t="str">
        <f t="shared" si="600"/>
        <v/>
      </c>
      <c r="S596" s="14" t="str">
        <f t="shared" si="600"/>
        <v/>
      </c>
    </row>
    <row r="597">
      <c r="A597" s="1" t="s">
        <v>610</v>
      </c>
      <c r="G597" s="9" t="str">
        <f>IFERROR(__xludf.DUMMYFUNCTION("SPLIT(A597,"","")"),"./src/main/java/org/jfree/data/xy/MatrixSeries.java")</f>
        <v>./src/main/java/org/jfree/data/xy/MatrixSeries.java</v>
      </c>
      <c r="H597" s="9">
        <f>IFERROR(__xludf.DUMMYFUNCTION("""COMPUTED_VALUE"""),4.0)</f>
        <v>4</v>
      </c>
      <c r="I597" s="9">
        <f>IFERROR(__xludf.DUMMYFUNCTION("""COMPUTED_VALUE"""),75.0)</f>
        <v>75</v>
      </c>
      <c r="J597" s="9">
        <f>IFERROR(__xludf.DUMMYFUNCTION("""COMPUTED_VALUE"""),62.5)</f>
        <v>62.5</v>
      </c>
      <c r="Q597" s="12" t="str">
        <f t="shared" ref="Q597:S597" si="601">IF(H597&gt;M$5, $G597, "")</f>
        <v/>
      </c>
      <c r="R597" s="13" t="str">
        <f t="shared" si="601"/>
        <v/>
      </c>
      <c r="S597" s="14" t="str">
        <f t="shared" si="601"/>
        <v/>
      </c>
    </row>
    <row r="598">
      <c r="A598" s="1" t="s">
        <v>611</v>
      </c>
      <c r="G598" s="9" t="str">
        <f>IFERROR(__xludf.DUMMYFUNCTION("SPLIT(A598,"","")"),"./src/main/java/org/jfree/data/xy/MatrixSeriesCollection.java")</f>
        <v>./src/main/java/org/jfree/data/xy/MatrixSeriesCollection.java</v>
      </c>
      <c r="H598" s="9">
        <f>IFERROR(__xludf.DUMMYFUNCTION("""COMPUTED_VALUE"""),8.0)</f>
        <v>8</v>
      </c>
      <c r="I598" s="9">
        <f>IFERROR(__xludf.DUMMYFUNCTION("""COMPUTED_VALUE"""),108.0)</f>
        <v>108</v>
      </c>
      <c r="J598" s="9">
        <f>IFERROR(__xludf.DUMMYFUNCTION("""COMPUTED_VALUE"""),60.29)</f>
        <v>60.29</v>
      </c>
      <c r="Q598" s="12" t="str">
        <f t="shared" ref="Q598:S598" si="602">IF(H598&gt;M$5, $G598, "")</f>
        <v/>
      </c>
      <c r="R598" s="13" t="str">
        <f t="shared" si="602"/>
        <v/>
      </c>
      <c r="S598" s="14" t="str">
        <f t="shared" si="602"/>
        <v/>
      </c>
    </row>
    <row r="599">
      <c r="A599" s="1" t="s">
        <v>612</v>
      </c>
      <c r="G599" s="9" t="str">
        <f>IFERROR(__xludf.DUMMYFUNCTION("SPLIT(A599,"","")"),"./src/main/java/org/jfree/data/xy/NormalizedMatrixSeries.java")</f>
        <v>./src/main/java/org/jfree/data/xy/NormalizedMatrixSeries.java</v>
      </c>
      <c r="H599" s="9">
        <f>IFERROR(__xludf.DUMMYFUNCTION("""COMPUTED_VALUE"""),4.0)</f>
        <v>4</v>
      </c>
      <c r="I599" s="9">
        <f>IFERROR(__xludf.DUMMYFUNCTION("""COMPUTED_VALUE"""),35.0)</f>
        <v>35</v>
      </c>
      <c r="J599" s="9">
        <f>IFERROR(__xludf.DUMMYFUNCTION("""COMPUTED_VALUE"""),73.28)</f>
        <v>73.28</v>
      </c>
      <c r="Q599" s="12" t="str">
        <f t="shared" ref="Q599:S599" si="603">IF(H599&gt;M$5, $G599, "")</f>
        <v/>
      </c>
      <c r="R599" s="13" t="str">
        <f t="shared" si="603"/>
        <v/>
      </c>
      <c r="S599" s="14" t="str">
        <f t="shared" si="603"/>
        <v/>
      </c>
    </row>
    <row r="600">
      <c r="A600" s="1" t="s">
        <v>613</v>
      </c>
      <c r="G600" s="9" t="str">
        <f>IFERROR(__xludf.DUMMYFUNCTION("SPLIT(A600,"","")"),"./src/main/java/org/jfree/data/xy/OHLCDataItem.java")</f>
        <v>./src/main/java/org/jfree/data/xy/OHLCDataItem.java</v>
      </c>
      <c r="H600" s="9">
        <f>IFERROR(__xludf.DUMMYFUNCTION("""COMPUTED_VALUE"""),5.0)</f>
        <v>5</v>
      </c>
      <c r="I600" s="9">
        <f>IFERROR(__xludf.DUMMYFUNCTION("""COMPUTED_VALUE"""),77.0)</f>
        <v>77</v>
      </c>
      <c r="J600" s="9">
        <f>IFERROR(__xludf.DUMMYFUNCTION("""COMPUTED_VALUE"""),57.69)</f>
        <v>57.69</v>
      </c>
      <c r="Q600" s="12" t="str">
        <f t="shared" ref="Q600:S600" si="604">IF(H600&gt;M$5, $G600, "")</f>
        <v/>
      </c>
      <c r="R600" s="13" t="str">
        <f t="shared" si="604"/>
        <v/>
      </c>
      <c r="S600" s="14" t="str">
        <f t="shared" si="604"/>
        <v/>
      </c>
    </row>
    <row r="601">
      <c r="A601" s="1" t="s">
        <v>614</v>
      </c>
      <c r="G601" s="9" t="str">
        <f>IFERROR(__xludf.DUMMYFUNCTION("SPLIT(A601,"","")"),"./src/main/java/org/jfree/data/xy/OHLCDataset.java")</f>
        <v>./src/main/java/org/jfree/data/xy/OHLCDataset.java</v>
      </c>
      <c r="H601" s="9">
        <f>IFERROR(__xludf.DUMMYFUNCTION("""COMPUTED_VALUE"""),3.0)</f>
        <v>3</v>
      </c>
      <c r="I601" s="9">
        <f>IFERROR(__xludf.DUMMYFUNCTION("""COMPUTED_VALUE"""),13.0)</f>
        <v>13</v>
      </c>
      <c r="J601" s="9">
        <f>IFERROR(__xludf.DUMMYFUNCTION("""COMPUTED_VALUE"""),91.28)</f>
        <v>91.28</v>
      </c>
      <c r="Q601" s="12" t="str">
        <f t="shared" ref="Q601:S601" si="605">IF(H601&gt;M$5, $G601, "")</f>
        <v/>
      </c>
      <c r="R601" s="13" t="str">
        <f t="shared" si="605"/>
        <v/>
      </c>
      <c r="S601" s="14" t="str">
        <f t="shared" si="605"/>
        <v/>
      </c>
    </row>
    <row r="602">
      <c r="A602" s="1" t="s">
        <v>615</v>
      </c>
      <c r="G602" s="9" t="str">
        <f>IFERROR(__xludf.DUMMYFUNCTION("SPLIT(A602,"","")"),"./src/main/java/org/jfree/data/xy/TableXYDataset.java")</f>
        <v>./src/main/java/org/jfree/data/xy/TableXYDataset.java</v>
      </c>
      <c r="H602" s="9">
        <f>IFERROR(__xludf.DUMMYFUNCTION("""COMPUTED_VALUE"""),4.0)</f>
        <v>4</v>
      </c>
      <c r="I602" s="9">
        <f>IFERROR(__xludf.DUMMYFUNCTION("""COMPUTED_VALUE"""),4.0)</f>
        <v>4</v>
      </c>
      <c r="J602" s="9">
        <f>IFERROR(__xludf.DUMMYFUNCTION("""COMPUTED_VALUE"""),92.98)</f>
        <v>92.98</v>
      </c>
      <c r="Q602" s="12" t="str">
        <f t="shared" ref="Q602:S602" si="606">IF(H602&gt;M$5, $G602, "")</f>
        <v/>
      </c>
      <c r="R602" s="13" t="str">
        <f t="shared" si="606"/>
        <v/>
      </c>
      <c r="S602" s="14" t="str">
        <f t="shared" si="606"/>
        <v/>
      </c>
    </row>
    <row r="603">
      <c r="A603" s="1" t="s">
        <v>616</v>
      </c>
      <c r="G603" s="9" t="str">
        <f>IFERROR(__xludf.DUMMYFUNCTION("SPLIT(A603,"","")"),"./src/main/java/org/jfree/data/xy/Vector.java")</f>
        <v>./src/main/java/org/jfree/data/xy/Vector.java</v>
      </c>
      <c r="H603" s="9">
        <f>IFERROR(__xludf.DUMMYFUNCTION("""COMPUTED_VALUE"""),3.0)</f>
        <v>3</v>
      </c>
      <c r="I603" s="9">
        <f>IFERROR(__xludf.DUMMYFUNCTION("""COMPUTED_VALUE"""),48.0)</f>
        <v>48</v>
      </c>
      <c r="J603" s="9">
        <f>IFERROR(__xludf.DUMMYFUNCTION("""COMPUTED_VALUE"""),64.44)</f>
        <v>64.44</v>
      </c>
      <c r="Q603" s="12" t="str">
        <f t="shared" ref="Q603:S603" si="607">IF(H603&gt;M$5, $G603, "")</f>
        <v/>
      </c>
      <c r="R603" s="13" t="str">
        <f t="shared" si="607"/>
        <v/>
      </c>
      <c r="S603" s="14" t="str">
        <f t="shared" si="607"/>
        <v/>
      </c>
    </row>
    <row r="604">
      <c r="A604" s="1" t="s">
        <v>617</v>
      </c>
      <c r="G604" s="9" t="str">
        <f>IFERROR(__xludf.DUMMYFUNCTION("SPLIT(A604,"","")"),"./src/main/java/org/jfree/data/xy/VectorDataItem.java")</f>
        <v>./src/main/java/org/jfree/data/xy/VectorDataItem.java</v>
      </c>
      <c r="H604" s="9">
        <f>IFERROR(__xludf.DUMMYFUNCTION("""COMPUTED_VALUE"""),3.0)</f>
        <v>3</v>
      </c>
      <c r="I604" s="9">
        <f>IFERROR(__xludf.DUMMYFUNCTION("""COMPUTED_VALUE"""),36.0)</f>
        <v>36</v>
      </c>
      <c r="J604" s="9">
        <f>IFERROR(__xludf.DUMMYFUNCTION("""COMPUTED_VALUE"""),69.23)</f>
        <v>69.23</v>
      </c>
      <c r="Q604" s="12" t="str">
        <f t="shared" ref="Q604:S604" si="608">IF(H604&gt;M$5, $G604, "")</f>
        <v/>
      </c>
      <c r="R604" s="13" t="str">
        <f t="shared" si="608"/>
        <v/>
      </c>
      <c r="S604" s="14" t="str">
        <f t="shared" si="608"/>
        <v/>
      </c>
    </row>
    <row r="605">
      <c r="A605" s="1" t="s">
        <v>618</v>
      </c>
      <c r="G605" s="9" t="str">
        <f>IFERROR(__xludf.DUMMYFUNCTION("SPLIT(A605,"","")"),"./src/main/java/org/jfree/data/xy/VectorSeries.java")</f>
        <v>./src/main/java/org/jfree/data/xy/VectorSeries.java</v>
      </c>
      <c r="H605" s="9">
        <f>IFERROR(__xludf.DUMMYFUNCTION("""COMPUTED_VALUE"""),3.0)</f>
        <v>3</v>
      </c>
      <c r="I605" s="9">
        <f>IFERROR(__xludf.DUMMYFUNCTION("""COMPUTED_VALUE"""),44.0)</f>
        <v>44</v>
      </c>
      <c r="J605" s="9">
        <f>IFERROR(__xludf.DUMMYFUNCTION("""COMPUTED_VALUE"""),72.84)</f>
        <v>72.84</v>
      </c>
      <c r="Q605" s="12" t="str">
        <f t="shared" ref="Q605:S605" si="609">IF(H605&gt;M$5, $G605, "")</f>
        <v/>
      </c>
      <c r="R605" s="13" t="str">
        <f t="shared" si="609"/>
        <v/>
      </c>
      <c r="S605" s="14" t="str">
        <f t="shared" si="609"/>
        <v/>
      </c>
    </row>
    <row r="606">
      <c r="A606" s="1" t="s">
        <v>619</v>
      </c>
      <c r="G606" s="9" t="str">
        <f>IFERROR(__xludf.DUMMYFUNCTION("SPLIT(A606,"","")"),"./src/main/java/org/jfree/data/xy/VectorSeriesCollection.java")</f>
        <v>./src/main/java/org/jfree/data/xy/VectorSeriesCollection.java</v>
      </c>
      <c r="H606" s="9">
        <f>IFERROR(__xludf.DUMMYFUNCTION("""COMPUTED_VALUE"""),10.0)</f>
        <v>10</v>
      </c>
      <c r="I606" s="9">
        <f>IFERROR(__xludf.DUMMYFUNCTION("""COMPUTED_VALUE"""),115.0)</f>
        <v>115</v>
      </c>
      <c r="J606" s="9">
        <f>IFERROR(__xludf.DUMMYFUNCTION("""COMPUTED_VALUE"""),62.05)</f>
        <v>62.05</v>
      </c>
      <c r="Q606" s="12" t="str">
        <f t="shared" ref="Q606:S606" si="610">IF(H606&gt;M$5, $G606, "")</f>
        <v/>
      </c>
      <c r="R606" s="13" t="str">
        <f t="shared" si="610"/>
        <v/>
      </c>
      <c r="S606" s="14" t="str">
        <f t="shared" si="610"/>
        <v/>
      </c>
    </row>
    <row r="607">
      <c r="A607" s="1" t="s">
        <v>620</v>
      </c>
      <c r="G607" s="9" t="str">
        <f>IFERROR(__xludf.DUMMYFUNCTION("SPLIT(A607,"","")"),"./src/main/java/org/jfree/data/xy/VectorXYDataset.java")</f>
        <v>./src/main/java/org/jfree/data/xy/VectorXYDataset.java</v>
      </c>
      <c r="H607" s="9">
        <f>IFERROR(__xludf.DUMMYFUNCTION("""COMPUTED_VALUE"""),5.0)</f>
        <v>5</v>
      </c>
      <c r="I607" s="9">
        <f>IFERROR(__xludf.DUMMYFUNCTION("""COMPUTED_VALUE"""),6.0)</f>
        <v>6</v>
      </c>
      <c r="J607" s="9">
        <f>IFERROR(__xludf.DUMMYFUNCTION("""COMPUTED_VALUE"""),91.78)</f>
        <v>91.78</v>
      </c>
      <c r="Q607" s="12" t="str">
        <f t="shared" ref="Q607:S607" si="611">IF(H607&gt;M$5, $G607, "")</f>
        <v/>
      </c>
      <c r="R607" s="13" t="str">
        <f t="shared" si="611"/>
        <v/>
      </c>
      <c r="S607" s="14" t="str">
        <f t="shared" si="611"/>
        <v/>
      </c>
    </row>
    <row r="608">
      <c r="A608" s="1" t="s">
        <v>621</v>
      </c>
      <c r="G608" s="9" t="str">
        <f>IFERROR(__xludf.DUMMYFUNCTION("SPLIT(A608,"","")"),"./src/main/java/org/jfree/data/xy/WindDataset.java")</f>
        <v>./src/main/java/org/jfree/data/xy/WindDataset.java</v>
      </c>
      <c r="H608" s="9">
        <f>IFERROR(__xludf.DUMMYFUNCTION("""COMPUTED_VALUE"""),5.0)</f>
        <v>5</v>
      </c>
      <c r="I608" s="9">
        <f>IFERROR(__xludf.DUMMYFUNCTION("""COMPUTED_VALUE"""),5.0)</f>
        <v>5</v>
      </c>
      <c r="J608" s="9">
        <f>IFERROR(__xludf.DUMMYFUNCTION("""COMPUTED_VALUE"""),92.54)</f>
        <v>92.54</v>
      </c>
      <c r="Q608" s="12" t="str">
        <f t="shared" ref="Q608:S608" si="612">IF(H608&gt;M$5, $G608, "")</f>
        <v/>
      </c>
      <c r="R608" s="13" t="str">
        <f t="shared" si="612"/>
        <v/>
      </c>
      <c r="S608" s="14" t="str">
        <f t="shared" si="612"/>
        <v/>
      </c>
    </row>
    <row r="609">
      <c r="A609" s="1" t="s">
        <v>622</v>
      </c>
      <c r="G609" s="9" t="str">
        <f>IFERROR(__xludf.DUMMYFUNCTION("SPLIT(A609,"","")"),"./src/main/java/org/jfree/data/xy/XIntervalDataItem.java")</f>
        <v>./src/main/java/org/jfree/data/xy/XIntervalDataItem.java</v>
      </c>
      <c r="H609" s="9">
        <f>IFERROR(__xludf.DUMMYFUNCTION("""COMPUTED_VALUE"""),6.0)</f>
        <v>6</v>
      </c>
      <c r="I609" s="9">
        <f>IFERROR(__xludf.DUMMYFUNCTION("""COMPUTED_VALUE"""),34.0)</f>
        <v>34</v>
      </c>
      <c r="J609" s="9">
        <f>IFERROR(__xludf.DUMMYFUNCTION("""COMPUTED_VALUE"""),67.31)</f>
        <v>67.31</v>
      </c>
      <c r="Q609" s="12" t="str">
        <f t="shared" ref="Q609:S609" si="613">IF(H609&gt;M$5, $G609, "")</f>
        <v/>
      </c>
      <c r="R609" s="13" t="str">
        <f t="shared" si="613"/>
        <v/>
      </c>
      <c r="S609" s="14" t="str">
        <f t="shared" si="613"/>
        <v/>
      </c>
    </row>
    <row r="610">
      <c r="A610" s="1" t="s">
        <v>623</v>
      </c>
      <c r="G610" s="9" t="str">
        <f>IFERROR(__xludf.DUMMYFUNCTION("SPLIT(A610,"","")"),"./src/main/java/org/jfree/data/xy/XIntervalSeries.java")</f>
        <v>./src/main/java/org/jfree/data/xy/XIntervalSeries.java</v>
      </c>
      <c r="H610" s="9">
        <f>IFERROR(__xludf.DUMMYFUNCTION("""COMPUTED_VALUE"""),3.0)</f>
        <v>3</v>
      </c>
      <c r="I610" s="9">
        <f>IFERROR(__xludf.DUMMYFUNCTION("""COMPUTED_VALUE"""),40.0)</f>
        <v>40</v>
      </c>
      <c r="J610" s="9">
        <f>IFERROR(__xludf.DUMMYFUNCTION("""COMPUTED_VALUE"""),75.31)</f>
        <v>75.31</v>
      </c>
      <c r="Q610" s="12" t="str">
        <f t="shared" ref="Q610:S610" si="614">IF(H610&gt;M$5, $G610, "")</f>
        <v/>
      </c>
      <c r="R610" s="13" t="str">
        <f t="shared" si="614"/>
        <v/>
      </c>
      <c r="S610" s="14" t="str">
        <f t="shared" si="614"/>
        <v/>
      </c>
    </row>
    <row r="611">
      <c r="A611" s="1" t="s">
        <v>624</v>
      </c>
      <c r="G611" s="9" t="str">
        <f>IFERROR(__xludf.DUMMYFUNCTION("SPLIT(A611,"","")"),"./src/main/java/org/jfree/data/xy/XIntervalSeriesCollection.java")</f>
        <v>./src/main/java/org/jfree/data/xy/XIntervalSeriesCollection.java</v>
      </c>
      <c r="H611" s="9">
        <f>IFERROR(__xludf.DUMMYFUNCTION("""COMPUTED_VALUE"""),11.0)</f>
        <v>11</v>
      </c>
      <c r="I611" s="9">
        <f>IFERROR(__xludf.DUMMYFUNCTION("""COMPUTED_VALUE"""),140.0)</f>
        <v>140</v>
      </c>
      <c r="J611" s="9">
        <f>IFERROR(__xludf.DUMMYFUNCTION("""COMPUTED_VALUE"""),61.11)</f>
        <v>61.11</v>
      </c>
      <c r="Q611" s="12" t="str">
        <f t="shared" ref="Q611:S611" si="615">IF(H611&gt;M$5, $G611, "")</f>
        <v/>
      </c>
      <c r="R611" s="13" t="str">
        <f t="shared" si="615"/>
        <v/>
      </c>
      <c r="S611" s="14" t="str">
        <f t="shared" si="615"/>
        <v/>
      </c>
    </row>
    <row r="612">
      <c r="A612" s="1" t="s">
        <v>625</v>
      </c>
      <c r="G612" s="9" t="str">
        <f>IFERROR(__xludf.DUMMYFUNCTION("SPLIT(A612,"","")"),"./src/main/java/org/jfree/data/xy/XisSymbolic.java")</f>
        <v>./src/main/java/org/jfree/data/xy/XisSymbolic.java</v>
      </c>
      <c r="H612" s="9">
        <f>IFERROR(__xludf.DUMMYFUNCTION("""COMPUTED_VALUE"""),4.0)</f>
        <v>4</v>
      </c>
      <c r="I612" s="9">
        <f>IFERROR(__xludf.DUMMYFUNCTION("""COMPUTED_VALUE"""),6.0)</f>
        <v>6</v>
      </c>
      <c r="J612" s="9">
        <f>IFERROR(__xludf.DUMMYFUNCTION("""COMPUTED_VALUE"""),91.67)</f>
        <v>91.67</v>
      </c>
      <c r="Q612" s="12" t="str">
        <f t="shared" ref="Q612:S612" si="616">IF(H612&gt;M$5, $G612, "")</f>
        <v/>
      </c>
      <c r="R612" s="13" t="str">
        <f t="shared" si="616"/>
        <v/>
      </c>
      <c r="S612" s="14" t="str">
        <f t="shared" si="616"/>
        <v/>
      </c>
    </row>
    <row r="613">
      <c r="A613" s="1" t="s">
        <v>626</v>
      </c>
      <c r="G613" s="9" t="str">
        <f>IFERROR(__xludf.DUMMYFUNCTION("SPLIT(A613,"","")"),"./src/main/java/org/jfree/data/xy/XYBarDataset.java")</f>
        <v>./src/main/java/org/jfree/data/xy/XYBarDataset.java</v>
      </c>
      <c r="H613" s="9">
        <f>IFERROR(__xludf.DUMMYFUNCTION("""COMPUTED_VALUE"""),6.0)</f>
        <v>6</v>
      </c>
      <c r="I613" s="9">
        <f>IFERROR(__xludf.DUMMYFUNCTION("""COMPUTED_VALUE"""),125.0)</f>
        <v>125</v>
      </c>
      <c r="J613" s="9">
        <f>IFERROR(__xludf.DUMMYFUNCTION("""COMPUTED_VALUE"""),64.79)</f>
        <v>64.79</v>
      </c>
      <c r="Q613" s="12" t="str">
        <f t="shared" ref="Q613:S613" si="617">IF(H613&gt;M$5, $G613, "")</f>
        <v/>
      </c>
      <c r="R613" s="13" t="str">
        <f t="shared" si="617"/>
        <v/>
      </c>
      <c r="S613" s="14" t="str">
        <f t="shared" si="617"/>
        <v/>
      </c>
    </row>
    <row r="614">
      <c r="A614" s="1" t="s">
        <v>627</v>
      </c>
      <c r="G614" s="9" t="str">
        <f>IFERROR(__xludf.DUMMYFUNCTION("SPLIT(A614,"","")"),"./src/main/java/org/jfree/data/xy/XYCoordinate.java")</f>
        <v>./src/main/java/org/jfree/data/xy/XYCoordinate.java</v>
      </c>
      <c r="H614" s="9">
        <f>IFERROR(__xludf.DUMMYFUNCTION("""COMPUTED_VALUE"""),3.0)</f>
        <v>3</v>
      </c>
      <c r="I614" s="9">
        <f>IFERROR(__xludf.DUMMYFUNCTION("""COMPUTED_VALUE"""),71.0)</f>
        <v>71</v>
      </c>
      <c r="J614" s="9">
        <f>IFERROR(__xludf.DUMMYFUNCTION("""COMPUTED_VALUE"""),54.19)</f>
        <v>54.19</v>
      </c>
      <c r="Q614" s="12" t="str">
        <f t="shared" ref="Q614:S614" si="618">IF(H614&gt;M$5, $G614, "")</f>
        <v/>
      </c>
      <c r="R614" s="13" t="str">
        <f t="shared" si="618"/>
        <v/>
      </c>
      <c r="S614" s="14" t="str">
        <f t="shared" si="618"/>
        <v/>
      </c>
    </row>
    <row r="615">
      <c r="A615" s="1" t="s">
        <v>628</v>
      </c>
      <c r="G615" s="9" t="str">
        <f>IFERROR(__xludf.DUMMYFUNCTION("SPLIT(A615,"","")"),"./src/main/java/org/jfree/data/xy/XYDataItem.java")</f>
        <v>./src/main/java/org/jfree/data/xy/XYDataItem.java</v>
      </c>
      <c r="H615" s="9">
        <f>IFERROR(__xludf.DUMMYFUNCTION("""COMPUTED_VALUE"""),9.0)</f>
        <v>9</v>
      </c>
      <c r="I615" s="9">
        <f>IFERROR(__xludf.DUMMYFUNCTION("""COMPUTED_VALUE"""),93.0)</f>
        <v>93</v>
      </c>
      <c r="J615" s="9">
        <f>IFERROR(__xludf.DUMMYFUNCTION("""COMPUTED_VALUE"""),58.11)</f>
        <v>58.11</v>
      </c>
      <c r="Q615" s="12" t="str">
        <f t="shared" ref="Q615:S615" si="619">IF(H615&gt;M$5, $G615, "")</f>
        <v/>
      </c>
      <c r="R615" s="13" t="str">
        <f t="shared" si="619"/>
        <v/>
      </c>
      <c r="S615" s="14" t="str">
        <f t="shared" si="619"/>
        <v/>
      </c>
    </row>
    <row r="616">
      <c r="A616" s="1" t="s">
        <v>629</v>
      </c>
      <c r="G616" s="9" t="str">
        <f>IFERROR(__xludf.DUMMYFUNCTION("SPLIT(A616,"","")"),"./src/main/java/org/jfree/data/xy/XYDataset.java")</f>
        <v>./src/main/java/org/jfree/data/xy/XYDataset.java</v>
      </c>
      <c r="H616" s="9">
        <f>IFERROR(__xludf.DUMMYFUNCTION("""COMPUTED_VALUE"""),5.0)</f>
        <v>5</v>
      </c>
      <c r="I616" s="9">
        <f>IFERROR(__xludf.DUMMYFUNCTION("""COMPUTED_VALUE"""),11.0)</f>
        <v>11</v>
      </c>
      <c r="J616" s="9">
        <f>IFERROR(__xludf.DUMMYFUNCTION("""COMPUTED_VALUE"""),89.81)</f>
        <v>89.81</v>
      </c>
      <c r="Q616" s="12" t="str">
        <f t="shared" ref="Q616:S616" si="620">IF(H616&gt;M$5, $G616, "")</f>
        <v/>
      </c>
      <c r="R616" s="13" t="str">
        <f t="shared" si="620"/>
        <v/>
      </c>
      <c r="S616" s="14" t="str">
        <f t="shared" si="620"/>
        <v/>
      </c>
    </row>
    <row r="617">
      <c r="A617" s="1" t="s">
        <v>630</v>
      </c>
      <c r="G617" s="9" t="str">
        <f>IFERROR(__xludf.DUMMYFUNCTION("SPLIT(A617,"","")"),"./src/main/java/org/jfree/data/xy/XYDatasetTableModel.java")</f>
        <v>./src/main/java/org/jfree/data/xy/XYDatasetTableModel.java</v>
      </c>
      <c r="H617" s="9">
        <f>IFERROR(__xludf.DUMMYFUNCTION("""COMPUTED_VALUE"""),2.0)</f>
        <v>2</v>
      </c>
      <c r="I617" s="9">
        <f>IFERROR(__xludf.DUMMYFUNCTION("""COMPUTED_VALUE"""),73.0)</f>
        <v>73</v>
      </c>
      <c r="J617" s="9">
        <f>IFERROR(__xludf.DUMMYFUNCTION("""COMPUTED_VALUE"""),69.71)</f>
        <v>69.71</v>
      </c>
      <c r="Q617" s="12" t="str">
        <f t="shared" ref="Q617:S617" si="621">IF(H617&gt;M$5, $G617, "")</f>
        <v/>
      </c>
      <c r="R617" s="13" t="str">
        <f t="shared" si="621"/>
        <v/>
      </c>
      <c r="S617" s="14" t="str">
        <f t="shared" si="621"/>
        <v/>
      </c>
    </row>
    <row r="618">
      <c r="A618" s="1" t="s">
        <v>631</v>
      </c>
      <c r="G618" s="9" t="str">
        <f>IFERROR(__xludf.DUMMYFUNCTION("SPLIT(A618,"","")"),"./src/main/java/org/jfree/data/xy/XYDomainInfo.java")</f>
        <v>./src/main/java/org/jfree/data/xy/XYDomainInfo.java</v>
      </c>
      <c r="H618" s="9">
        <f>IFERROR(__xludf.DUMMYFUNCTION("""COMPUTED_VALUE"""),5.0)</f>
        <v>5</v>
      </c>
      <c r="I618" s="9">
        <f>IFERROR(__xludf.DUMMYFUNCTION("""COMPUTED_VALUE"""),6.0)</f>
        <v>6</v>
      </c>
      <c r="J618" s="9">
        <f>IFERROR(__xludf.DUMMYFUNCTION("""COMPUTED_VALUE"""),89.09)</f>
        <v>89.09</v>
      </c>
      <c r="Q618" s="12" t="str">
        <f t="shared" ref="Q618:S618" si="622">IF(H618&gt;M$5, $G618, "")</f>
        <v/>
      </c>
      <c r="R618" s="13" t="str">
        <f t="shared" si="622"/>
        <v/>
      </c>
      <c r="S618" s="14" t="str">
        <f t="shared" si="622"/>
        <v/>
      </c>
    </row>
    <row r="619">
      <c r="A619" s="1" t="s">
        <v>632</v>
      </c>
      <c r="G619" s="9" t="str">
        <f>IFERROR(__xludf.DUMMYFUNCTION("SPLIT(A619,"","")"),"./src/main/java/org/jfree/data/xy/XYInterval.java")</f>
        <v>./src/main/java/org/jfree/data/xy/XYInterval.java</v>
      </c>
      <c r="H619" s="9">
        <f>IFERROR(__xludf.DUMMYFUNCTION("""COMPUTED_VALUE"""),4.0)</f>
        <v>4</v>
      </c>
      <c r="I619" s="9">
        <f>IFERROR(__xludf.DUMMYFUNCTION("""COMPUTED_VALUE"""),58.0)</f>
        <v>58</v>
      </c>
      <c r="J619" s="9">
        <f>IFERROR(__xludf.DUMMYFUNCTION("""COMPUTED_VALUE"""),59.44)</f>
        <v>59.44</v>
      </c>
      <c r="Q619" s="12" t="str">
        <f t="shared" ref="Q619:S619" si="623">IF(H619&gt;M$5, $G619, "")</f>
        <v/>
      </c>
      <c r="R619" s="13" t="str">
        <f t="shared" si="623"/>
        <v/>
      </c>
      <c r="S619" s="14" t="str">
        <f t="shared" si="623"/>
        <v/>
      </c>
    </row>
    <row r="620">
      <c r="A620" s="1" t="s">
        <v>633</v>
      </c>
      <c r="G620" s="9" t="str">
        <f>IFERROR(__xludf.DUMMYFUNCTION("SPLIT(A620,"","")"),"./src/main/java/org/jfree/data/xy/XYIntervalDataItem.java")</f>
        <v>./src/main/java/org/jfree/data/xy/XYIntervalDataItem.java</v>
      </c>
      <c r="H620" s="9">
        <f>IFERROR(__xludf.DUMMYFUNCTION("""COMPUTED_VALUE"""),5.0)</f>
        <v>5</v>
      </c>
      <c r="I620" s="9">
        <f>IFERROR(__xludf.DUMMYFUNCTION("""COMPUTED_VALUE"""),56.0)</f>
        <v>56</v>
      </c>
      <c r="J620" s="9">
        <f>IFERROR(__xludf.DUMMYFUNCTION("""COMPUTED_VALUE"""),58.21)</f>
        <v>58.21</v>
      </c>
      <c r="Q620" s="12" t="str">
        <f t="shared" ref="Q620:S620" si="624">IF(H620&gt;M$5, $G620, "")</f>
        <v/>
      </c>
      <c r="R620" s="13" t="str">
        <f t="shared" si="624"/>
        <v/>
      </c>
      <c r="S620" s="14" t="str">
        <f t="shared" si="624"/>
        <v/>
      </c>
    </row>
    <row r="621">
      <c r="A621" s="1" t="s">
        <v>634</v>
      </c>
      <c r="G621" s="9" t="str">
        <f>IFERROR(__xludf.DUMMYFUNCTION("SPLIT(A621,"","")"),"./src/main/java/org/jfree/data/xy/XYIntervalSeries.java")</f>
        <v>./src/main/java/org/jfree/data/xy/XYIntervalSeries.java</v>
      </c>
      <c r="H621" s="9">
        <f>IFERROR(__xludf.DUMMYFUNCTION("""COMPUTED_VALUE"""),3.0)</f>
        <v>3</v>
      </c>
      <c r="I621" s="9">
        <f>IFERROR(__xludf.DUMMYFUNCTION("""COMPUTED_VALUE"""),49.0)</f>
        <v>49</v>
      </c>
      <c r="J621" s="9">
        <f>IFERROR(__xludf.DUMMYFUNCTION("""COMPUTED_VALUE"""),74.07)</f>
        <v>74.07</v>
      </c>
      <c r="Q621" s="12" t="str">
        <f t="shared" ref="Q621:S621" si="625">IF(H621&gt;M$5, $G621, "")</f>
        <v/>
      </c>
      <c r="R621" s="13" t="str">
        <f t="shared" si="625"/>
        <v/>
      </c>
      <c r="S621" s="14" t="str">
        <f t="shared" si="625"/>
        <v/>
      </c>
    </row>
    <row r="622">
      <c r="A622" s="1" t="s">
        <v>635</v>
      </c>
      <c r="G622" s="9" t="str">
        <f>IFERROR(__xludf.DUMMYFUNCTION("SPLIT(A622,"","")"),"./src/main/java/org/jfree/data/xy/XYIntervalSeriesCollection.java")</f>
        <v>./src/main/java/org/jfree/data/xy/XYIntervalSeriesCollection.java</v>
      </c>
      <c r="H622" s="9">
        <f>IFERROR(__xludf.DUMMYFUNCTION("""COMPUTED_VALUE"""),10.0)</f>
        <v>10</v>
      </c>
      <c r="I622" s="9">
        <f>IFERROR(__xludf.DUMMYFUNCTION("""COMPUTED_VALUE"""),132.0)</f>
        <v>132</v>
      </c>
      <c r="J622" s="9">
        <f>IFERROR(__xludf.DUMMYFUNCTION("""COMPUTED_VALUE"""),63.03)</f>
        <v>63.03</v>
      </c>
      <c r="Q622" s="12" t="str">
        <f t="shared" ref="Q622:S622" si="626">IF(H622&gt;M$5, $G622, "")</f>
        <v/>
      </c>
      <c r="R622" s="13" t="str">
        <f t="shared" si="626"/>
        <v/>
      </c>
      <c r="S622" s="14" t="str">
        <f t="shared" si="626"/>
        <v/>
      </c>
    </row>
    <row r="623">
      <c r="A623" s="1" t="s">
        <v>636</v>
      </c>
      <c r="G623" s="9" t="str">
        <f>IFERROR(__xludf.DUMMYFUNCTION("SPLIT(A623,"","")"),"./src/main/java/org/jfree/data/xy/XYItemKey.java")</f>
        <v>./src/main/java/org/jfree/data/xy/XYItemKey.java</v>
      </c>
      <c r="H623" s="9">
        <f>IFERROR(__xludf.DUMMYFUNCTION("""COMPUTED_VALUE"""),8.0)</f>
        <v>8</v>
      </c>
      <c r="I623" s="9">
        <f>IFERROR(__xludf.DUMMYFUNCTION("""COMPUTED_VALUE"""),70.0)</f>
        <v>70</v>
      </c>
      <c r="J623" s="9">
        <f>IFERROR(__xludf.DUMMYFUNCTION("""COMPUTED_VALUE"""),49.28)</f>
        <v>49.28</v>
      </c>
      <c r="Q623" s="12" t="str">
        <f t="shared" ref="Q623:S623" si="627">IF(H623&gt;M$5, $G623, "")</f>
        <v/>
      </c>
      <c r="R623" s="13" t="str">
        <f t="shared" si="627"/>
        <v/>
      </c>
      <c r="S623" s="14" t="str">
        <f t="shared" si="627"/>
        <v/>
      </c>
    </row>
    <row r="624">
      <c r="A624" s="1" t="s">
        <v>637</v>
      </c>
      <c r="G624" s="9" t="str">
        <f>IFERROR(__xludf.DUMMYFUNCTION("SPLIT(A624,"","")"),"./src/main/java/org/jfree/data/xy/XYRangeInfo.java")</f>
        <v>./src/main/java/org/jfree/data/xy/XYRangeInfo.java</v>
      </c>
      <c r="H624" s="9">
        <f>IFERROR(__xludf.DUMMYFUNCTION("""COMPUTED_VALUE"""),4.0)</f>
        <v>4</v>
      </c>
      <c r="I624" s="9">
        <f>IFERROR(__xludf.DUMMYFUNCTION("""COMPUTED_VALUE"""),6.0)</f>
        <v>6</v>
      </c>
      <c r="J624" s="9">
        <f>IFERROR(__xludf.DUMMYFUNCTION("""COMPUTED_VALUE"""),89.29)</f>
        <v>89.29</v>
      </c>
      <c r="Q624" s="12" t="str">
        <f t="shared" ref="Q624:S624" si="628">IF(H624&gt;M$5, $G624, "")</f>
        <v/>
      </c>
      <c r="R624" s="13" t="str">
        <f t="shared" si="628"/>
        <v/>
      </c>
      <c r="S624" s="14" t="str">
        <f t="shared" si="628"/>
        <v/>
      </c>
    </row>
    <row r="625">
      <c r="A625" s="1" t="s">
        <v>638</v>
      </c>
      <c r="G625" s="9" t="str">
        <f>IFERROR(__xludf.DUMMYFUNCTION("SPLIT(A625,"","")"),"./src/main/java/org/jfree/data/xy/XYSeries.java")</f>
        <v>./src/main/java/org/jfree/data/xy/XYSeries.java</v>
      </c>
      <c r="H625" s="9">
        <f>IFERROR(__xludf.DUMMYFUNCTION("""COMPUTED_VALUE"""),15.0)</f>
        <v>15</v>
      </c>
      <c r="I625" s="9">
        <f>IFERROR(__xludf.DUMMYFUNCTION("""COMPUTED_VALUE"""),425.0)</f>
        <v>425</v>
      </c>
      <c r="J625" s="9">
        <f>IFERROR(__xludf.DUMMYFUNCTION("""COMPUTED_VALUE"""),52.35)</f>
        <v>52.35</v>
      </c>
      <c r="Q625" s="12" t="str">
        <f t="shared" ref="Q625:S625" si="629">IF(H625&gt;M$5, $G625, "")</f>
        <v/>
      </c>
      <c r="R625" s="13" t="str">
        <f t="shared" si="629"/>
        <v/>
      </c>
      <c r="S625" s="14" t="str">
        <f t="shared" si="629"/>
        <v/>
      </c>
    </row>
    <row r="626">
      <c r="A626" s="1" t="s">
        <v>639</v>
      </c>
      <c r="G626" s="9" t="str">
        <f>IFERROR(__xludf.DUMMYFUNCTION("SPLIT(A626,"","")"),"./src/main/java/org/jfree/data/xy/XYSeriesCollection.java")</f>
        <v>./src/main/java/org/jfree/data/xy/XYSeriesCollection.java</v>
      </c>
      <c r="H626" s="9">
        <f>IFERROR(__xludf.DUMMYFUNCTION("""COMPUTED_VALUE"""),14.0)</f>
        <v>14</v>
      </c>
      <c r="I626" s="9">
        <f>IFERROR(__xludf.DUMMYFUNCTION("""COMPUTED_VALUE"""),371.0)</f>
        <v>371</v>
      </c>
      <c r="J626" s="9">
        <f>IFERROR(__xludf.DUMMYFUNCTION("""COMPUTED_VALUE"""),47.6)</f>
        <v>47.6</v>
      </c>
      <c r="Q626" s="12" t="str">
        <f t="shared" ref="Q626:S626" si="630">IF(H626&gt;M$5, $G626, "")</f>
        <v/>
      </c>
      <c r="R626" s="13" t="str">
        <f t="shared" si="630"/>
        <v/>
      </c>
      <c r="S626" s="14" t="str">
        <f t="shared" si="630"/>
        <v/>
      </c>
    </row>
    <row r="627">
      <c r="A627" s="1" t="s">
        <v>640</v>
      </c>
      <c r="G627" s="9" t="str">
        <f>IFERROR(__xludf.DUMMYFUNCTION("SPLIT(A627,"","")"),"./src/main/java/org/jfree/data/xy/XYZDataset.java")</f>
        <v>./src/main/java/org/jfree/data/xy/XYZDataset.java</v>
      </c>
      <c r="H627" s="9">
        <f>IFERROR(__xludf.DUMMYFUNCTION("""COMPUTED_VALUE"""),4.0)</f>
        <v>4</v>
      </c>
      <c r="I627" s="9">
        <f>IFERROR(__xludf.DUMMYFUNCTION("""COMPUTED_VALUE"""),5.0)</f>
        <v>5</v>
      </c>
      <c r="J627" s="9">
        <f>IFERROR(__xludf.DUMMYFUNCTION("""COMPUTED_VALUE"""),91.67)</f>
        <v>91.67</v>
      </c>
      <c r="Q627" s="12" t="str">
        <f t="shared" ref="Q627:S627" si="631">IF(H627&gt;M$5, $G627, "")</f>
        <v/>
      </c>
      <c r="R627" s="13" t="str">
        <f t="shared" si="631"/>
        <v/>
      </c>
      <c r="S627" s="14" t="str">
        <f t="shared" si="631"/>
        <v/>
      </c>
    </row>
    <row r="628">
      <c r="A628" s="1" t="s">
        <v>641</v>
      </c>
      <c r="G628" s="9" t="str">
        <f>IFERROR(__xludf.DUMMYFUNCTION("SPLIT(A628,"","")"),"./src/main/java/org/jfree/data/xy/YInterval.java")</f>
        <v>./src/main/java/org/jfree/data/xy/YInterval.java</v>
      </c>
      <c r="H628" s="9">
        <f>IFERROR(__xludf.DUMMYFUNCTION("""COMPUTED_VALUE"""),4.0)</f>
        <v>4</v>
      </c>
      <c r="I628" s="9">
        <f>IFERROR(__xludf.DUMMYFUNCTION("""COMPUTED_VALUE"""),41.0)</f>
        <v>41</v>
      </c>
      <c r="J628" s="9">
        <f>IFERROR(__xludf.DUMMYFUNCTION("""COMPUTED_VALUE"""),63.39)</f>
        <v>63.39</v>
      </c>
      <c r="Q628" s="12" t="str">
        <f t="shared" ref="Q628:S628" si="632">IF(H628&gt;M$5, $G628, "")</f>
        <v/>
      </c>
      <c r="R628" s="13" t="str">
        <f t="shared" si="632"/>
        <v/>
      </c>
      <c r="S628" s="14" t="str">
        <f t="shared" si="632"/>
        <v/>
      </c>
    </row>
    <row r="629">
      <c r="A629" s="1" t="s">
        <v>642</v>
      </c>
      <c r="G629" s="9" t="str">
        <f>IFERROR(__xludf.DUMMYFUNCTION("SPLIT(A629,"","")"),"./src/main/java/org/jfree/data/xy/YIntervalDataItem.java")</f>
        <v>./src/main/java/org/jfree/data/xy/YIntervalDataItem.java</v>
      </c>
      <c r="H629" s="9">
        <f>IFERROR(__xludf.DUMMYFUNCTION("""COMPUTED_VALUE"""),5.0)</f>
        <v>5</v>
      </c>
      <c r="I629" s="9">
        <f>IFERROR(__xludf.DUMMYFUNCTION("""COMPUTED_VALUE"""),37.0)</f>
        <v>37</v>
      </c>
      <c r="J629" s="9">
        <f>IFERROR(__xludf.DUMMYFUNCTION("""COMPUTED_VALUE"""),64.08)</f>
        <v>64.08</v>
      </c>
      <c r="Q629" s="12" t="str">
        <f t="shared" ref="Q629:S629" si="633">IF(H629&gt;M$5, $G629, "")</f>
        <v/>
      </c>
      <c r="R629" s="13" t="str">
        <f t="shared" si="633"/>
        <v/>
      </c>
      <c r="S629" s="14" t="str">
        <f t="shared" si="633"/>
        <v/>
      </c>
    </row>
    <row r="630">
      <c r="A630" s="1" t="s">
        <v>643</v>
      </c>
      <c r="G630" s="9" t="str">
        <f>IFERROR(__xludf.DUMMYFUNCTION("SPLIT(A630,"","")"),"./src/main/java/org/jfree/data/xy/YIntervalSeries.java")</f>
        <v>./src/main/java/org/jfree/data/xy/YIntervalSeries.java</v>
      </c>
      <c r="H630" s="9">
        <f>IFERROR(__xludf.DUMMYFUNCTION("""COMPUTED_VALUE"""),3.0)</f>
        <v>3</v>
      </c>
      <c r="I630" s="9">
        <f>IFERROR(__xludf.DUMMYFUNCTION("""COMPUTED_VALUE"""),39.0)</f>
        <v>39</v>
      </c>
      <c r="J630" s="9">
        <f>IFERROR(__xludf.DUMMYFUNCTION("""COMPUTED_VALUE"""),76.07)</f>
        <v>76.07</v>
      </c>
      <c r="Q630" s="12" t="str">
        <f t="shared" ref="Q630:S630" si="634">IF(H630&gt;M$5, $G630, "")</f>
        <v/>
      </c>
      <c r="R630" s="13" t="str">
        <f t="shared" si="634"/>
        <v/>
      </c>
      <c r="S630" s="14" t="str">
        <f t="shared" si="634"/>
        <v/>
      </c>
    </row>
    <row r="631">
      <c r="A631" s="1" t="s">
        <v>644</v>
      </c>
      <c r="G631" s="9" t="str">
        <f>IFERROR(__xludf.DUMMYFUNCTION("SPLIT(A631,"","")"),"./src/main/java/org/jfree/data/xy/YIntervalSeriesCollection.java")</f>
        <v>./src/main/java/org/jfree/data/xy/YIntervalSeriesCollection.java</v>
      </c>
      <c r="H631" s="9">
        <f>IFERROR(__xludf.DUMMYFUNCTION("""COMPUTED_VALUE"""),12.0)</f>
        <v>12</v>
      </c>
      <c r="I631" s="9">
        <f>IFERROR(__xludf.DUMMYFUNCTION("""COMPUTED_VALUE"""),122.0)</f>
        <v>122</v>
      </c>
      <c r="J631" s="9">
        <f>IFERROR(__xludf.DUMMYFUNCTION("""COMPUTED_VALUE"""),61.99)</f>
        <v>61.99</v>
      </c>
      <c r="Q631" s="12" t="str">
        <f t="shared" ref="Q631:S631" si="635">IF(H631&gt;M$5, $G631, "")</f>
        <v/>
      </c>
      <c r="R631" s="13" t="str">
        <f t="shared" si="635"/>
        <v/>
      </c>
      <c r="S631" s="14" t="str">
        <f t="shared" si="635"/>
        <v/>
      </c>
    </row>
    <row r="632">
      <c r="A632" s="1" t="s">
        <v>645</v>
      </c>
      <c r="G632" s="9" t="str">
        <f>IFERROR(__xludf.DUMMYFUNCTION("SPLIT(A632,"","")"),"./src/main/java/org/jfree/data/xy/YisSymbolic.java")</f>
        <v>./src/main/java/org/jfree/data/xy/YisSymbolic.java</v>
      </c>
      <c r="H632" s="9">
        <f>IFERROR(__xludf.DUMMYFUNCTION("""COMPUTED_VALUE"""),4.0)</f>
        <v>4</v>
      </c>
      <c r="I632" s="9">
        <f>IFERROR(__xludf.DUMMYFUNCTION("""COMPUTED_VALUE"""),6.0)</f>
        <v>6</v>
      </c>
      <c r="J632" s="9">
        <f>IFERROR(__xludf.DUMMYFUNCTION("""COMPUTED_VALUE"""),91.78)</f>
        <v>91.78</v>
      </c>
      <c r="Q632" s="12" t="str">
        <f t="shared" ref="Q632:S632" si="636">IF(H632&gt;M$5, $G632, "")</f>
        <v/>
      </c>
      <c r="R632" s="13" t="str">
        <f t="shared" si="636"/>
        <v/>
      </c>
      <c r="S632" s="14" t="str">
        <f t="shared" si="636"/>
        <v/>
      </c>
    </row>
    <row r="633">
      <c r="A633" s="1" t="s">
        <v>646</v>
      </c>
      <c r="G633" s="9" t="str">
        <f>IFERROR(__xludf.DUMMYFUNCTION("SPLIT(A633,"","")"),"./src/main/java/org/jfree/data/xy/YWithXInterval.java")</f>
        <v>./src/main/java/org/jfree/data/xy/YWithXInterval.java</v>
      </c>
      <c r="H633" s="9">
        <f>IFERROR(__xludf.DUMMYFUNCTION("""COMPUTED_VALUE"""),4.0)</f>
        <v>4</v>
      </c>
      <c r="I633" s="9">
        <f>IFERROR(__xludf.DUMMYFUNCTION("""COMPUTED_VALUE"""),41.0)</f>
        <v>41</v>
      </c>
      <c r="J633" s="9">
        <f>IFERROR(__xludf.DUMMYFUNCTION("""COMPUTED_VALUE"""),64.66)</f>
        <v>64.66</v>
      </c>
      <c r="Q633" s="12" t="str">
        <f t="shared" ref="Q633:S633" si="637">IF(H633&gt;M$5, $G633, "")</f>
        <v/>
      </c>
      <c r="R633" s="13" t="str">
        <f t="shared" si="637"/>
        <v/>
      </c>
      <c r="S633" s="14" t="str">
        <f t="shared" si="637"/>
        <v/>
      </c>
    </row>
    <row r="634">
      <c r="G634" s="9" t="str">
        <f>IFERROR(__xludf.DUMMYFUNCTION("SPLIT(A634,"","")"),"#VALUE!")</f>
        <v>#VALUE!</v>
      </c>
      <c r="Q634" s="12" t="str">
        <f t="shared" ref="Q634:S634" si="638">IF(H634&gt;M$5, $G634, "")</f>
        <v/>
      </c>
      <c r="R634" s="13" t="str">
        <f t="shared" si="638"/>
        <v/>
      </c>
      <c r="S634" s="14" t="str">
        <f t="shared" si="638"/>
        <v/>
      </c>
    </row>
    <row r="635">
      <c r="G635" s="9" t="str">
        <f>IFERROR(__xludf.DUMMYFUNCTION("SPLIT(A635,"","")"),"#VALUE!")</f>
        <v>#VALUE!</v>
      </c>
      <c r="Q635" s="12" t="str">
        <f t="shared" ref="Q635:S635" si="639">IF(H635&gt;M$5, $G635, "")</f>
        <v/>
      </c>
      <c r="R635" s="13" t="str">
        <f t="shared" si="639"/>
        <v/>
      </c>
      <c r="S635" s="14" t="str">
        <f t="shared" si="639"/>
        <v/>
      </c>
    </row>
    <row r="636">
      <c r="G636" s="9" t="str">
        <f>IFERROR(__xludf.DUMMYFUNCTION("SPLIT(A636,"","")"),"#VALUE!")</f>
        <v>#VALUE!</v>
      </c>
      <c r="Q636" s="12" t="str">
        <f t="shared" ref="Q636:S636" si="640">IF(H636&gt;M$5, $G636, "")</f>
        <v/>
      </c>
      <c r="R636" s="13" t="str">
        <f t="shared" si="640"/>
        <v/>
      </c>
      <c r="S636" s="14" t="str">
        <f t="shared" si="640"/>
        <v/>
      </c>
    </row>
    <row r="637">
      <c r="G637" s="9" t="str">
        <f>IFERROR(__xludf.DUMMYFUNCTION("SPLIT(A637,"","")"),"#VALUE!")</f>
        <v>#VALUE!</v>
      </c>
      <c r="Q637" s="12" t="str">
        <f t="shared" ref="Q637:S637" si="641">IF(H637&gt;M$5, $G637, "")</f>
        <v/>
      </c>
      <c r="R637" s="13" t="str">
        <f t="shared" si="641"/>
        <v/>
      </c>
      <c r="S637" s="14" t="str">
        <f t="shared" si="641"/>
        <v/>
      </c>
    </row>
    <row r="638">
      <c r="G638" s="9" t="str">
        <f>IFERROR(__xludf.DUMMYFUNCTION("SPLIT(A638,"","")"),"#VALUE!")</f>
        <v>#VALUE!</v>
      </c>
      <c r="Q638" s="12" t="str">
        <f t="shared" ref="Q638:S638" si="642">IF(H638&gt;M$5, $G638, "")</f>
        <v/>
      </c>
      <c r="R638" s="13" t="str">
        <f t="shared" si="642"/>
        <v/>
      </c>
      <c r="S638" s="14" t="str">
        <f t="shared" si="642"/>
        <v/>
      </c>
    </row>
    <row r="639">
      <c r="G639" s="9" t="str">
        <f>IFERROR(__xludf.DUMMYFUNCTION("SPLIT(A639,"","")"),"#VALUE!")</f>
        <v>#VALUE!</v>
      </c>
      <c r="Q639" s="12" t="str">
        <f t="shared" ref="Q639:S639" si="643">IF(H639&gt;M$5, $G639, "")</f>
        <v/>
      </c>
      <c r="R639" s="13" t="str">
        <f t="shared" si="643"/>
        <v/>
      </c>
      <c r="S639" s="14" t="str">
        <f t="shared" si="643"/>
        <v/>
      </c>
    </row>
    <row r="640">
      <c r="G640" s="9" t="str">
        <f>IFERROR(__xludf.DUMMYFUNCTION("SPLIT(A640,"","")"),"#VALUE!")</f>
        <v>#VALUE!</v>
      </c>
      <c r="Q640" s="12" t="str">
        <f t="shared" ref="Q640:S640" si="644">IF(H640&gt;M$5, $G640, "")</f>
        <v/>
      </c>
      <c r="R640" s="13" t="str">
        <f t="shared" si="644"/>
        <v/>
      </c>
      <c r="S640" s="14" t="str">
        <f t="shared" si="644"/>
        <v/>
      </c>
    </row>
    <row r="641">
      <c r="G641" s="9" t="str">
        <f>IFERROR(__xludf.DUMMYFUNCTION("SPLIT(A641,"","")"),"#VALUE!")</f>
        <v>#VALUE!</v>
      </c>
      <c r="Q641" s="12" t="str">
        <f t="shared" ref="Q641:S641" si="645">IF(H641&gt;M$5, $G641, "")</f>
        <v/>
      </c>
      <c r="R641" s="13" t="str">
        <f t="shared" si="645"/>
        <v/>
      </c>
      <c r="S641" s="14" t="str">
        <f t="shared" si="645"/>
        <v/>
      </c>
    </row>
    <row r="642">
      <c r="G642" s="9" t="str">
        <f>IFERROR(__xludf.DUMMYFUNCTION("SPLIT(A642,"","")"),"#VALUE!")</f>
        <v>#VALUE!</v>
      </c>
      <c r="Q642" s="12" t="str">
        <f t="shared" ref="Q642:S642" si="646">IF(H642&gt;M$5, $G642, "")</f>
        <v/>
      </c>
      <c r="R642" s="13" t="str">
        <f t="shared" si="646"/>
        <v/>
      </c>
      <c r="S642" s="14" t="str">
        <f t="shared" si="646"/>
        <v/>
      </c>
    </row>
    <row r="643">
      <c r="G643" s="9" t="str">
        <f>IFERROR(__xludf.DUMMYFUNCTION("SPLIT(A643,"","")"),"#VALUE!")</f>
        <v>#VALUE!</v>
      </c>
      <c r="Q643" s="12" t="str">
        <f t="shared" ref="Q643:S643" si="647">IF(H643&gt;M$5, $G643, "")</f>
        <v/>
      </c>
      <c r="R643" s="13" t="str">
        <f t="shared" si="647"/>
        <v/>
      </c>
      <c r="S643" s="14" t="str">
        <f t="shared" si="647"/>
        <v/>
      </c>
    </row>
    <row r="644">
      <c r="G644" s="9" t="str">
        <f>IFERROR(__xludf.DUMMYFUNCTION("SPLIT(A644,"","")"),"#VALUE!")</f>
        <v>#VALUE!</v>
      </c>
      <c r="Q644" s="12" t="str">
        <f t="shared" ref="Q644:S644" si="648">IF(H644&gt;M$5, $G644, "")</f>
        <v/>
      </c>
      <c r="R644" s="13" t="str">
        <f t="shared" si="648"/>
        <v/>
      </c>
      <c r="S644" s="14" t="str">
        <f t="shared" si="648"/>
        <v/>
      </c>
    </row>
    <row r="645">
      <c r="G645" s="9" t="str">
        <f>IFERROR(__xludf.DUMMYFUNCTION("SPLIT(A645,"","")"),"#VALUE!")</f>
        <v>#VALUE!</v>
      </c>
      <c r="Q645" s="12" t="str">
        <f t="shared" ref="Q645:S645" si="649">IF(H645&gt;M$5, $G645, "")</f>
        <v/>
      </c>
      <c r="R645" s="13" t="str">
        <f t="shared" si="649"/>
        <v/>
      </c>
      <c r="S645" s="14" t="str">
        <f t="shared" si="649"/>
        <v/>
      </c>
    </row>
    <row r="646">
      <c r="G646" s="9" t="str">
        <f>IFERROR(__xludf.DUMMYFUNCTION("SPLIT(A646,"","")"),"#VALUE!")</f>
        <v>#VALUE!</v>
      </c>
      <c r="Q646" s="12" t="str">
        <f t="shared" ref="Q646:S646" si="650">IF(H646&gt;M$5, $G646, "")</f>
        <v/>
      </c>
      <c r="R646" s="13" t="str">
        <f t="shared" si="650"/>
        <v/>
      </c>
      <c r="S646" s="14" t="str">
        <f t="shared" si="650"/>
        <v/>
      </c>
    </row>
    <row r="647">
      <c r="G647" s="9" t="str">
        <f>IFERROR(__xludf.DUMMYFUNCTION("SPLIT(A647,"","")"),"#VALUE!")</f>
        <v>#VALUE!</v>
      </c>
      <c r="Q647" s="12" t="str">
        <f t="shared" ref="Q647:S647" si="651">IF(H647&gt;M$5, $G647, "")</f>
        <v/>
      </c>
      <c r="R647" s="13" t="str">
        <f t="shared" si="651"/>
        <v/>
      </c>
      <c r="S647" s="14" t="str">
        <f t="shared" si="651"/>
        <v/>
      </c>
    </row>
    <row r="648">
      <c r="G648" s="9" t="str">
        <f>IFERROR(__xludf.DUMMYFUNCTION("SPLIT(A648,"","")"),"#VALUE!")</f>
        <v>#VALUE!</v>
      </c>
      <c r="Q648" s="12" t="str">
        <f t="shared" ref="Q648:S648" si="652">IF(H648&gt;M$5, $G648, "")</f>
        <v/>
      </c>
      <c r="R648" s="13" t="str">
        <f t="shared" si="652"/>
        <v/>
      </c>
      <c r="S648" s="14" t="str">
        <f t="shared" si="652"/>
        <v/>
      </c>
    </row>
    <row r="649">
      <c r="G649" s="9" t="str">
        <f>IFERROR(__xludf.DUMMYFUNCTION("SPLIT(A649,"","")"),"#VALUE!")</f>
        <v>#VALUE!</v>
      </c>
      <c r="Q649" s="12" t="str">
        <f t="shared" ref="Q649:S649" si="653">IF(H649&gt;M$5, $G649, "")</f>
        <v/>
      </c>
      <c r="R649" s="13" t="str">
        <f t="shared" si="653"/>
        <v/>
      </c>
      <c r="S649" s="14" t="str">
        <f t="shared" si="653"/>
        <v/>
      </c>
    </row>
    <row r="650">
      <c r="G650" s="9" t="str">
        <f>IFERROR(__xludf.DUMMYFUNCTION("SPLIT(A650,"","")"),"#VALUE!")</f>
        <v>#VALUE!</v>
      </c>
      <c r="Q650" s="12" t="str">
        <f t="shared" ref="Q650:S650" si="654">IF(H650&gt;M$5, $G650, "")</f>
        <v/>
      </c>
      <c r="R650" s="13" t="str">
        <f t="shared" si="654"/>
        <v/>
      </c>
      <c r="S650" s="14" t="str">
        <f t="shared" si="654"/>
        <v/>
      </c>
    </row>
    <row r="651">
      <c r="G651" s="9" t="str">
        <f>IFERROR(__xludf.DUMMYFUNCTION("SPLIT(A651,"","")"),"#VALUE!")</f>
        <v>#VALUE!</v>
      </c>
      <c r="Q651" s="12" t="str">
        <f t="shared" ref="Q651:S651" si="655">IF(H651&gt;M$5, $G651, "")</f>
        <v/>
      </c>
      <c r="R651" s="13" t="str">
        <f t="shared" si="655"/>
        <v/>
      </c>
      <c r="S651" s="14" t="str">
        <f t="shared" si="655"/>
        <v/>
      </c>
    </row>
    <row r="652">
      <c r="G652" s="9" t="str">
        <f>IFERROR(__xludf.DUMMYFUNCTION("SPLIT(A652,"","")"),"#VALUE!")</f>
        <v>#VALUE!</v>
      </c>
      <c r="Q652" s="12" t="str">
        <f t="shared" ref="Q652:S652" si="656">IF(H652&gt;M$5, $G652, "")</f>
        <v/>
      </c>
      <c r="R652" s="13" t="str">
        <f t="shared" si="656"/>
        <v/>
      </c>
      <c r="S652" s="14" t="str">
        <f t="shared" si="656"/>
        <v/>
      </c>
    </row>
    <row r="653">
      <c r="G653" s="9" t="str">
        <f>IFERROR(__xludf.DUMMYFUNCTION("SPLIT(A653,"","")"),"#VALUE!")</f>
        <v>#VALUE!</v>
      </c>
      <c r="Q653" s="12" t="str">
        <f t="shared" ref="Q653:S653" si="657">IF(H653&gt;M$5, $G653, "")</f>
        <v/>
      </c>
      <c r="R653" s="13" t="str">
        <f t="shared" si="657"/>
        <v/>
      </c>
      <c r="S653" s="14" t="str">
        <f t="shared" si="657"/>
        <v/>
      </c>
    </row>
    <row r="654">
      <c r="G654" s="9" t="str">
        <f>IFERROR(__xludf.DUMMYFUNCTION("SPLIT(A654,"","")"),"#VALUE!")</f>
        <v>#VALUE!</v>
      </c>
      <c r="Q654" s="12" t="str">
        <f t="shared" ref="Q654:S654" si="658">IF(H654&gt;M$5, $G654, "")</f>
        <v/>
      </c>
      <c r="R654" s="13" t="str">
        <f t="shared" si="658"/>
        <v/>
      </c>
      <c r="S654" s="14" t="str">
        <f t="shared" si="658"/>
        <v/>
      </c>
    </row>
    <row r="655">
      <c r="G655" s="9" t="str">
        <f>IFERROR(__xludf.DUMMYFUNCTION("SPLIT(A655,"","")"),"#VALUE!")</f>
        <v>#VALUE!</v>
      </c>
      <c r="Q655" s="12" t="str">
        <f t="shared" ref="Q655:S655" si="659">IF(H655&gt;M$5, $G655, "")</f>
        <v/>
      </c>
      <c r="R655" s="13" t="str">
        <f t="shared" si="659"/>
        <v/>
      </c>
      <c r="S655" s="14" t="str">
        <f t="shared" si="659"/>
        <v/>
      </c>
    </row>
    <row r="656">
      <c r="G656" s="9" t="str">
        <f>IFERROR(__xludf.DUMMYFUNCTION("SPLIT(A656,"","")"),"#VALUE!")</f>
        <v>#VALUE!</v>
      </c>
      <c r="Q656" s="12" t="str">
        <f t="shared" ref="Q656:S656" si="660">IF(H656&gt;M$5, $G656, "")</f>
        <v/>
      </c>
      <c r="R656" s="13" t="str">
        <f t="shared" si="660"/>
        <v/>
      </c>
      <c r="S656" s="14" t="str">
        <f t="shared" si="660"/>
        <v/>
      </c>
    </row>
    <row r="657">
      <c r="G657" s="9" t="str">
        <f>IFERROR(__xludf.DUMMYFUNCTION("SPLIT(A657,"","")"),"#VALUE!")</f>
        <v>#VALUE!</v>
      </c>
      <c r="Q657" s="12" t="str">
        <f t="shared" ref="Q657:S657" si="661">IF(H657&gt;M$5, $G657, "")</f>
        <v/>
      </c>
      <c r="R657" s="13" t="str">
        <f t="shared" si="661"/>
        <v/>
      </c>
      <c r="S657" s="14" t="str">
        <f t="shared" si="661"/>
        <v/>
      </c>
    </row>
    <row r="658">
      <c r="G658" s="9" t="str">
        <f>IFERROR(__xludf.DUMMYFUNCTION("SPLIT(A658,"","")"),"#VALUE!")</f>
        <v>#VALUE!</v>
      </c>
      <c r="Q658" s="12" t="str">
        <f t="shared" ref="Q658:S658" si="662">IF(H658&gt;M$5, $G658, "")</f>
        <v/>
      </c>
      <c r="R658" s="13" t="str">
        <f t="shared" si="662"/>
        <v/>
      </c>
      <c r="S658" s="14" t="str">
        <f t="shared" si="662"/>
        <v/>
      </c>
    </row>
    <row r="659">
      <c r="G659" s="9" t="str">
        <f>IFERROR(__xludf.DUMMYFUNCTION("SPLIT(A659,"","")"),"#VALUE!")</f>
        <v>#VALUE!</v>
      </c>
      <c r="Q659" s="12" t="str">
        <f t="shared" ref="Q659:S659" si="663">IF(H659&gt;M$5, $G659, "")</f>
        <v/>
      </c>
      <c r="R659" s="13" t="str">
        <f t="shared" si="663"/>
        <v/>
      </c>
      <c r="S659" s="14" t="str">
        <f t="shared" si="663"/>
        <v/>
      </c>
    </row>
    <row r="660">
      <c r="G660" s="9" t="str">
        <f>IFERROR(__xludf.DUMMYFUNCTION("SPLIT(A660,"","")"),"#VALUE!")</f>
        <v>#VALUE!</v>
      </c>
      <c r="Q660" s="12" t="str">
        <f t="shared" ref="Q660:S660" si="664">IF(H660&gt;M$5, $G660, "")</f>
        <v/>
      </c>
      <c r="R660" s="13" t="str">
        <f t="shared" si="664"/>
        <v/>
      </c>
      <c r="S660" s="14" t="str">
        <f t="shared" si="664"/>
        <v/>
      </c>
    </row>
    <row r="661">
      <c r="G661" s="9" t="str">
        <f>IFERROR(__xludf.DUMMYFUNCTION("SPLIT(A661,"","")"),"#VALUE!")</f>
        <v>#VALUE!</v>
      </c>
      <c r="Q661" s="12" t="str">
        <f t="shared" ref="Q661:S661" si="665">IF(H661&gt;M$5, $G661, "")</f>
        <v/>
      </c>
      <c r="R661" s="13" t="str">
        <f t="shared" si="665"/>
        <v/>
      </c>
      <c r="S661" s="14" t="str">
        <f t="shared" si="665"/>
        <v/>
      </c>
    </row>
    <row r="662">
      <c r="G662" s="9" t="str">
        <f>IFERROR(__xludf.DUMMYFUNCTION("SPLIT(A662,"","")"),"#VALUE!")</f>
        <v>#VALUE!</v>
      </c>
      <c r="Q662" s="12" t="str">
        <f t="shared" ref="Q662:S662" si="666">IF(H662&gt;M$5, $G662, "")</f>
        <v/>
      </c>
      <c r="R662" s="13" t="str">
        <f t="shared" si="666"/>
        <v/>
      </c>
      <c r="S662" s="14" t="str">
        <f t="shared" si="666"/>
        <v/>
      </c>
    </row>
    <row r="663">
      <c r="G663" s="9" t="str">
        <f>IFERROR(__xludf.DUMMYFUNCTION("SPLIT(A663,"","")"),"#VALUE!")</f>
        <v>#VALUE!</v>
      </c>
      <c r="Q663" s="12" t="str">
        <f t="shared" ref="Q663:S663" si="667">IF(H663&gt;M$5, $G663, "")</f>
        <v/>
      </c>
      <c r="R663" s="13" t="str">
        <f t="shared" si="667"/>
        <v/>
      </c>
      <c r="S663" s="14" t="str">
        <f t="shared" si="667"/>
        <v/>
      </c>
    </row>
    <row r="664">
      <c r="G664" s="9" t="str">
        <f>IFERROR(__xludf.DUMMYFUNCTION("SPLIT(A664,"","")"),"#VALUE!")</f>
        <v>#VALUE!</v>
      </c>
      <c r="Q664" s="12" t="str">
        <f t="shared" ref="Q664:S664" si="668">IF(H664&gt;M$5, $G664, "")</f>
        <v/>
      </c>
      <c r="R664" s="13" t="str">
        <f t="shared" si="668"/>
        <v/>
      </c>
      <c r="S664" s="14" t="str">
        <f t="shared" si="668"/>
        <v/>
      </c>
    </row>
    <row r="665">
      <c r="G665" s="9" t="str">
        <f>IFERROR(__xludf.DUMMYFUNCTION("SPLIT(A665,"","")"),"#VALUE!")</f>
        <v>#VALUE!</v>
      </c>
      <c r="Q665" s="12" t="str">
        <f t="shared" ref="Q665:S665" si="669">IF(H665&gt;M$5, $G665, "")</f>
        <v/>
      </c>
      <c r="R665" s="13" t="str">
        <f t="shared" si="669"/>
        <v/>
      </c>
      <c r="S665" s="14" t="str">
        <f t="shared" si="669"/>
        <v/>
      </c>
    </row>
    <row r="666">
      <c r="G666" s="9" t="str">
        <f>IFERROR(__xludf.DUMMYFUNCTION("SPLIT(A666,"","")"),"#VALUE!")</f>
        <v>#VALUE!</v>
      </c>
      <c r="Q666" s="12" t="str">
        <f t="shared" ref="Q666:S666" si="670">IF(H666&gt;M$5, $G666, "")</f>
        <v/>
      </c>
      <c r="R666" s="13" t="str">
        <f t="shared" si="670"/>
        <v/>
      </c>
      <c r="S666" s="14" t="str">
        <f t="shared" si="670"/>
        <v/>
      </c>
    </row>
    <row r="667">
      <c r="G667" s="9" t="str">
        <f>IFERROR(__xludf.DUMMYFUNCTION("SPLIT(A667,"","")"),"#VALUE!")</f>
        <v>#VALUE!</v>
      </c>
      <c r="Q667" s="12" t="str">
        <f t="shared" ref="Q667:S667" si="671">IF(H667&gt;M$5, $G667, "")</f>
        <v/>
      </c>
      <c r="R667" s="13" t="str">
        <f t="shared" si="671"/>
        <v/>
      </c>
      <c r="S667" s="14" t="str">
        <f t="shared" si="671"/>
        <v/>
      </c>
    </row>
    <row r="668">
      <c r="G668" s="9" t="str">
        <f>IFERROR(__xludf.DUMMYFUNCTION("SPLIT(A668,"","")"),"#VALUE!")</f>
        <v>#VALUE!</v>
      </c>
      <c r="Q668" s="12" t="str">
        <f t="shared" ref="Q668:S668" si="672">IF(H668&gt;M$5, $G668, "")</f>
        <v/>
      </c>
      <c r="R668" s="13" t="str">
        <f t="shared" si="672"/>
        <v/>
      </c>
      <c r="S668" s="14" t="str">
        <f t="shared" si="672"/>
        <v/>
      </c>
    </row>
    <row r="669">
      <c r="G669" s="9" t="str">
        <f>IFERROR(__xludf.DUMMYFUNCTION("SPLIT(A669,"","")"),"#VALUE!")</f>
        <v>#VALUE!</v>
      </c>
      <c r="Q669" s="12" t="str">
        <f t="shared" ref="Q669:S669" si="673">IF(H669&gt;M$5, $G669, "")</f>
        <v/>
      </c>
      <c r="R669" s="13" t="str">
        <f t="shared" si="673"/>
        <v/>
      </c>
      <c r="S669" s="14" t="str">
        <f t="shared" si="673"/>
        <v/>
      </c>
    </row>
    <row r="670">
      <c r="G670" s="9" t="str">
        <f>IFERROR(__xludf.DUMMYFUNCTION("SPLIT(A670,"","")"),"#VALUE!")</f>
        <v>#VALUE!</v>
      </c>
      <c r="Q670" s="12" t="str">
        <f t="shared" ref="Q670:S670" si="674">IF(H670&gt;M$5, $G670, "")</f>
        <v/>
      </c>
      <c r="R670" s="13" t="str">
        <f t="shared" si="674"/>
        <v/>
      </c>
      <c r="S670" s="14" t="str">
        <f t="shared" si="674"/>
        <v/>
      </c>
    </row>
    <row r="671">
      <c r="G671" s="9" t="str">
        <f>IFERROR(__xludf.DUMMYFUNCTION("SPLIT(A671,"","")"),"#VALUE!")</f>
        <v>#VALUE!</v>
      </c>
      <c r="Q671" s="12" t="str">
        <f t="shared" ref="Q671:S671" si="675">IF(H671&gt;M$5, $G671, "")</f>
        <v/>
      </c>
      <c r="R671" s="13" t="str">
        <f t="shared" si="675"/>
        <v/>
      </c>
      <c r="S671" s="14" t="str">
        <f t="shared" si="675"/>
        <v/>
      </c>
    </row>
    <row r="672">
      <c r="G672" s="9" t="str">
        <f>IFERROR(__xludf.DUMMYFUNCTION("SPLIT(A672,"","")"),"#VALUE!")</f>
        <v>#VALUE!</v>
      </c>
      <c r="Q672" s="12" t="str">
        <f t="shared" ref="Q672:S672" si="676">IF(H672&gt;M$5, $G672, "")</f>
        <v/>
      </c>
      <c r="R672" s="13" t="str">
        <f t="shared" si="676"/>
        <v/>
      </c>
      <c r="S672" s="14" t="str">
        <f t="shared" si="676"/>
        <v/>
      </c>
    </row>
    <row r="673">
      <c r="G673" s="9" t="str">
        <f>IFERROR(__xludf.DUMMYFUNCTION("SPLIT(A673,"","")"),"#VALUE!")</f>
        <v>#VALUE!</v>
      </c>
      <c r="Q673" s="12" t="str">
        <f t="shared" ref="Q673:S673" si="677">IF(H673&gt;M$5, $G673, "")</f>
        <v/>
      </c>
      <c r="R673" s="13" t="str">
        <f t="shared" si="677"/>
        <v/>
      </c>
      <c r="S673" s="14" t="str">
        <f t="shared" si="677"/>
        <v/>
      </c>
    </row>
    <row r="674">
      <c r="G674" s="9" t="str">
        <f>IFERROR(__xludf.DUMMYFUNCTION("SPLIT(A674,"","")"),"#VALUE!")</f>
        <v>#VALUE!</v>
      </c>
      <c r="Q674" s="12" t="str">
        <f t="shared" ref="Q674:S674" si="678">IF(H674&gt;M$5, $G674, "")</f>
        <v/>
      </c>
      <c r="R674" s="13" t="str">
        <f t="shared" si="678"/>
        <v/>
      </c>
      <c r="S674" s="14" t="str">
        <f t="shared" si="678"/>
        <v/>
      </c>
    </row>
    <row r="675">
      <c r="G675" s="9" t="str">
        <f>IFERROR(__xludf.DUMMYFUNCTION("SPLIT(A675,"","")"),"#VALUE!")</f>
        <v>#VALUE!</v>
      </c>
      <c r="Q675" s="12" t="str">
        <f t="shared" ref="Q675:S675" si="679">IF(H675&gt;M$5, $G675, "")</f>
        <v/>
      </c>
      <c r="R675" s="13" t="str">
        <f t="shared" si="679"/>
        <v/>
      </c>
      <c r="S675" s="14" t="str">
        <f t="shared" si="679"/>
        <v/>
      </c>
    </row>
    <row r="676">
      <c r="G676" s="9" t="str">
        <f>IFERROR(__xludf.DUMMYFUNCTION("SPLIT(A676,"","")"),"#VALUE!")</f>
        <v>#VALUE!</v>
      </c>
      <c r="Q676" s="12" t="str">
        <f t="shared" ref="Q676:S676" si="680">IF(H676&gt;M$5, $G676, "")</f>
        <v/>
      </c>
      <c r="R676" s="13" t="str">
        <f t="shared" si="680"/>
        <v/>
      </c>
      <c r="S676" s="14" t="str">
        <f t="shared" si="680"/>
        <v/>
      </c>
    </row>
    <row r="677">
      <c r="G677" s="9" t="str">
        <f>IFERROR(__xludf.DUMMYFUNCTION("SPLIT(A677,"","")"),"#VALUE!")</f>
        <v>#VALUE!</v>
      </c>
      <c r="Q677" s="12" t="str">
        <f t="shared" ref="Q677:S677" si="681">IF(H677&gt;M$5, $G677, "")</f>
        <v/>
      </c>
      <c r="R677" s="13" t="str">
        <f t="shared" si="681"/>
        <v/>
      </c>
      <c r="S677" s="14" t="str">
        <f t="shared" si="681"/>
        <v/>
      </c>
    </row>
    <row r="678">
      <c r="G678" s="9" t="str">
        <f>IFERROR(__xludf.DUMMYFUNCTION("SPLIT(A678,"","")"),"#VALUE!")</f>
        <v>#VALUE!</v>
      </c>
      <c r="Q678" s="12" t="str">
        <f t="shared" ref="Q678:S678" si="682">IF(H678&gt;M$5, $G678, "")</f>
        <v/>
      </c>
      <c r="R678" s="13" t="str">
        <f t="shared" si="682"/>
        <v/>
      </c>
      <c r="S678" s="14" t="str">
        <f t="shared" si="682"/>
        <v/>
      </c>
    </row>
    <row r="679">
      <c r="G679" s="9" t="str">
        <f>IFERROR(__xludf.DUMMYFUNCTION("SPLIT(A679,"","")"),"#VALUE!")</f>
        <v>#VALUE!</v>
      </c>
      <c r="Q679" s="12" t="str">
        <f t="shared" ref="Q679:S679" si="683">IF(H679&gt;M$5, $G679, "")</f>
        <v/>
      </c>
      <c r="R679" s="13" t="str">
        <f t="shared" si="683"/>
        <v/>
      </c>
      <c r="S679" s="14" t="str">
        <f t="shared" si="683"/>
        <v/>
      </c>
    </row>
    <row r="680">
      <c r="G680" s="9" t="str">
        <f>IFERROR(__xludf.DUMMYFUNCTION("SPLIT(A680,"","")"),"#VALUE!")</f>
        <v>#VALUE!</v>
      </c>
      <c r="Q680" s="12" t="str">
        <f t="shared" ref="Q680:S680" si="684">IF(H680&gt;M$5, $G680, "")</f>
        <v/>
      </c>
      <c r="R680" s="13" t="str">
        <f t="shared" si="684"/>
        <v/>
      </c>
      <c r="S680" s="14" t="str">
        <f t="shared" si="684"/>
        <v/>
      </c>
    </row>
    <row r="681">
      <c r="G681" s="9" t="str">
        <f>IFERROR(__xludf.DUMMYFUNCTION("SPLIT(A681,"","")"),"#VALUE!")</f>
        <v>#VALUE!</v>
      </c>
      <c r="Q681" s="12" t="str">
        <f t="shared" ref="Q681:S681" si="685">IF(H681&gt;M$5, $G681, "")</f>
        <v/>
      </c>
      <c r="R681" s="13" t="str">
        <f t="shared" si="685"/>
        <v/>
      </c>
      <c r="S681" s="14" t="str">
        <f t="shared" si="685"/>
        <v/>
      </c>
    </row>
    <row r="682">
      <c r="G682" s="9" t="str">
        <f>IFERROR(__xludf.DUMMYFUNCTION("SPLIT(A682,"","")"),"#VALUE!")</f>
        <v>#VALUE!</v>
      </c>
      <c r="Q682" s="12" t="str">
        <f t="shared" ref="Q682:S682" si="686">IF(H682&gt;M$5, $G682, "")</f>
        <v/>
      </c>
      <c r="R682" s="13" t="str">
        <f t="shared" si="686"/>
        <v/>
      </c>
      <c r="S682" s="14" t="str">
        <f t="shared" si="686"/>
        <v/>
      </c>
    </row>
    <row r="683">
      <c r="G683" s="9" t="str">
        <f>IFERROR(__xludf.DUMMYFUNCTION("SPLIT(A683,"","")"),"#VALUE!")</f>
        <v>#VALUE!</v>
      </c>
      <c r="Q683" s="12" t="str">
        <f t="shared" ref="Q683:S683" si="687">IF(H683&gt;M$5, $G683, "")</f>
        <v/>
      </c>
      <c r="R683" s="13" t="str">
        <f t="shared" si="687"/>
        <v/>
      </c>
      <c r="S683" s="14" t="str">
        <f t="shared" si="687"/>
        <v/>
      </c>
    </row>
    <row r="684">
      <c r="G684" s="9" t="str">
        <f>IFERROR(__xludf.DUMMYFUNCTION("SPLIT(A684,"","")"),"#VALUE!")</f>
        <v>#VALUE!</v>
      </c>
      <c r="Q684" s="12" t="str">
        <f t="shared" ref="Q684:S684" si="688">IF(H684&gt;M$5, $G684, "")</f>
        <v/>
      </c>
      <c r="R684" s="13" t="str">
        <f t="shared" si="688"/>
        <v/>
      </c>
      <c r="S684" s="14" t="str">
        <f t="shared" si="688"/>
        <v/>
      </c>
    </row>
    <row r="685">
      <c r="G685" s="9" t="str">
        <f>IFERROR(__xludf.DUMMYFUNCTION("SPLIT(A685,"","")"),"#VALUE!")</f>
        <v>#VALUE!</v>
      </c>
      <c r="Q685" s="12" t="str">
        <f t="shared" ref="Q685:S685" si="689">IF(H685&gt;M$5, $G685, "")</f>
        <v/>
      </c>
      <c r="R685" s="13" t="str">
        <f t="shared" si="689"/>
        <v/>
      </c>
      <c r="S685" s="14" t="str">
        <f t="shared" si="689"/>
        <v/>
      </c>
    </row>
    <row r="686">
      <c r="G686" s="9" t="str">
        <f>IFERROR(__xludf.DUMMYFUNCTION("SPLIT(A686,"","")"),"#VALUE!")</f>
        <v>#VALUE!</v>
      </c>
      <c r="Q686" s="12" t="str">
        <f t="shared" ref="Q686:S686" si="690">IF(H686&gt;M$5, $G686, "")</f>
        <v/>
      </c>
      <c r="R686" s="13" t="str">
        <f t="shared" si="690"/>
        <v/>
      </c>
      <c r="S686" s="14" t="str">
        <f t="shared" si="690"/>
        <v/>
      </c>
    </row>
    <row r="687">
      <c r="G687" s="9" t="str">
        <f>IFERROR(__xludf.DUMMYFUNCTION("SPLIT(A687,"","")"),"#VALUE!")</f>
        <v>#VALUE!</v>
      </c>
      <c r="Q687" s="12" t="str">
        <f t="shared" ref="Q687:S687" si="691">IF(H687&gt;M$5, $G687, "")</f>
        <v/>
      </c>
      <c r="R687" s="13" t="str">
        <f t="shared" si="691"/>
        <v/>
      </c>
      <c r="S687" s="14" t="str">
        <f t="shared" si="691"/>
        <v/>
      </c>
    </row>
    <row r="688">
      <c r="G688" s="9" t="str">
        <f>IFERROR(__xludf.DUMMYFUNCTION("SPLIT(A688,"","")"),"#VALUE!")</f>
        <v>#VALUE!</v>
      </c>
      <c r="Q688" s="12" t="str">
        <f t="shared" ref="Q688:S688" si="692">IF(H688&gt;M$5, $G688, "")</f>
        <v/>
      </c>
      <c r="R688" s="13" t="str">
        <f t="shared" si="692"/>
        <v/>
      </c>
      <c r="S688" s="14" t="str">
        <f t="shared" si="692"/>
        <v/>
      </c>
    </row>
    <row r="689">
      <c r="G689" s="9" t="str">
        <f>IFERROR(__xludf.DUMMYFUNCTION("SPLIT(A689,"","")"),"#VALUE!")</f>
        <v>#VALUE!</v>
      </c>
      <c r="Q689" s="12" t="str">
        <f t="shared" ref="Q689:S689" si="693">IF(H689&gt;M$5, $G689, "")</f>
        <v/>
      </c>
      <c r="R689" s="13" t="str">
        <f t="shared" si="693"/>
        <v/>
      </c>
      <c r="S689" s="14" t="str">
        <f t="shared" si="693"/>
        <v/>
      </c>
    </row>
    <row r="690">
      <c r="G690" s="9" t="str">
        <f>IFERROR(__xludf.DUMMYFUNCTION("SPLIT(A690,"","")"),"#VALUE!")</f>
        <v>#VALUE!</v>
      </c>
      <c r="Q690" s="12" t="str">
        <f t="shared" ref="Q690:S690" si="694">IF(H690&gt;M$5, $G690, "")</f>
        <v/>
      </c>
      <c r="R690" s="13" t="str">
        <f t="shared" si="694"/>
        <v/>
      </c>
      <c r="S690" s="14" t="str">
        <f t="shared" si="694"/>
        <v/>
      </c>
    </row>
    <row r="691">
      <c r="G691" s="9" t="str">
        <f>IFERROR(__xludf.DUMMYFUNCTION("SPLIT(A691,"","")"),"#VALUE!")</f>
        <v>#VALUE!</v>
      </c>
      <c r="Q691" s="12" t="str">
        <f t="shared" ref="Q691:S691" si="695">IF(H691&gt;M$5, $G691, "")</f>
        <v/>
      </c>
      <c r="R691" s="13" t="str">
        <f t="shared" si="695"/>
        <v/>
      </c>
      <c r="S691" s="14" t="str">
        <f t="shared" si="695"/>
        <v/>
      </c>
    </row>
    <row r="692">
      <c r="G692" s="9" t="str">
        <f>IFERROR(__xludf.DUMMYFUNCTION("SPLIT(A692,"","")"),"#VALUE!")</f>
        <v>#VALUE!</v>
      </c>
      <c r="Q692" s="12" t="str">
        <f t="shared" ref="Q692:S692" si="696">IF(H692&gt;M$5, $G692, "")</f>
        <v/>
      </c>
      <c r="R692" s="13" t="str">
        <f t="shared" si="696"/>
        <v/>
      </c>
      <c r="S692" s="14" t="str">
        <f t="shared" si="696"/>
        <v/>
      </c>
    </row>
    <row r="693">
      <c r="G693" s="9" t="str">
        <f>IFERROR(__xludf.DUMMYFUNCTION("SPLIT(A693,"","")"),"#VALUE!")</f>
        <v>#VALUE!</v>
      </c>
      <c r="Q693" s="12" t="str">
        <f t="shared" ref="Q693:S693" si="697">IF(H693&gt;M$5, $G693, "")</f>
        <v/>
      </c>
      <c r="R693" s="13" t="str">
        <f t="shared" si="697"/>
        <v/>
      </c>
      <c r="S693" s="14" t="str">
        <f t="shared" si="697"/>
        <v/>
      </c>
    </row>
    <row r="694">
      <c r="G694" s="9" t="str">
        <f>IFERROR(__xludf.DUMMYFUNCTION("SPLIT(A694,"","")"),"#VALUE!")</f>
        <v>#VALUE!</v>
      </c>
      <c r="Q694" s="12" t="str">
        <f t="shared" ref="Q694:S694" si="698">IF(H694&gt;M$5, $G694, "")</f>
        <v/>
      </c>
      <c r="R694" s="13" t="str">
        <f t="shared" si="698"/>
        <v/>
      </c>
      <c r="S694" s="14" t="str">
        <f t="shared" si="698"/>
        <v/>
      </c>
    </row>
    <row r="695">
      <c r="G695" s="9" t="str">
        <f>IFERROR(__xludf.DUMMYFUNCTION("SPLIT(A695,"","")"),"#VALUE!")</f>
        <v>#VALUE!</v>
      </c>
      <c r="Q695" s="12" t="str">
        <f t="shared" ref="Q695:S695" si="699">IF(H695&gt;M$5, $G695, "")</f>
        <v/>
      </c>
      <c r="R695" s="13" t="str">
        <f t="shared" si="699"/>
        <v/>
      </c>
      <c r="S695" s="14" t="str">
        <f t="shared" si="699"/>
        <v/>
      </c>
    </row>
    <row r="696">
      <c r="G696" s="9" t="str">
        <f>IFERROR(__xludf.DUMMYFUNCTION("SPLIT(A696,"","")"),"#VALUE!")</f>
        <v>#VALUE!</v>
      </c>
      <c r="Q696" s="12" t="str">
        <f t="shared" ref="Q696:S696" si="700">IF(H696&gt;M$5, $G696, "")</f>
        <v/>
      </c>
      <c r="R696" s="13" t="str">
        <f t="shared" si="700"/>
        <v/>
      </c>
      <c r="S696" s="14" t="str">
        <f t="shared" si="700"/>
        <v/>
      </c>
    </row>
    <row r="697">
      <c r="G697" s="9" t="str">
        <f>IFERROR(__xludf.DUMMYFUNCTION("SPLIT(A697,"","")"),"#VALUE!")</f>
        <v>#VALUE!</v>
      </c>
      <c r="Q697" s="12" t="str">
        <f t="shared" ref="Q697:S697" si="701">IF(H697&gt;M$5, $G697, "")</f>
        <v/>
      </c>
      <c r="R697" s="13" t="str">
        <f t="shared" si="701"/>
        <v/>
      </c>
      <c r="S697" s="14" t="str">
        <f t="shared" si="701"/>
        <v/>
      </c>
    </row>
    <row r="698">
      <c r="G698" s="9" t="str">
        <f>IFERROR(__xludf.DUMMYFUNCTION("SPLIT(A698,"","")"),"#VALUE!")</f>
        <v>#VALUE!</v>
      </c>
      <c r="Q698" s="12" t="str">
        <f t="shared" ref="Q698:S698" si="702">IF(H698&gt;M$5, $G698, "")</f>
        <v/>
      </c>
      <c r="R698" s="13" t="str">
        <f t="shared" si="702"/>
        <v/>
      </c>
      <c r="S698" s="14" t="str">
        <f t="shared" si="702"/>
        <v/>
      </c>
    </row>
    <row r="699">
      <c r="G699" s="9" t="str">
        <f>IFERROR(__xludf.DUMMYFUNCTION("SPLIT(A699,"","")"),"#VALUE!")</f>
        <v>#VALUE!</v>
      </c>
      <c r="Q699" s="12" t="str">
        <f t="shared" ref="Q699:S699" si="703">IF(H699&gt;M$5, $G699, "")</f>
        <v/>
      </c>
      <c r="R699" s="13" t="str">
        <f t="shared" si="703"/>
        <v/>
      </c>
      <c r="S699" s="14" t="str">
        <f t="shared" si="703"/>
        <v/>
      </c>
    </row>
    <row r="700">
      <c r="G700" s="9" t="str">
        <f>IFERROR(__xludf.DUMMYFUNCTION("SPLIT(A700,"","")"),"#VALUE!")</f>
        <v>#VALUE!</v>
      </c>
      <c r="Q700" s="12" t="str">
        <f t="shared" ref="Q700:S700" si="704">IF(H700&gt;M$5, $G700, "")</f>
        <v/>
      </c>
      <c r="R700" s="13" t="str">
        <f t="shared" si="704"/>
        <v/>
      </c>
      <c r="S700" s="14" t="str">
        <f t="shared" si="704"/>
        <v/>
      </c>
    </row>
    <row r="701">
      <c r="G701" s="9" t="str">
        <f>IFERROR(__xludf.DUMMYFUNCTION("SPLIT(A701,"","")"),"#VALUE!")</f>
        <v>#VALUE!</v>
      </c>
      <c r="Q701" s="12" t="str">
        <f t="shared" ref="Q701:S701" si="705">IF(H701&gt;M$5, $G701, "")</f>
        <v/>
      </c>
      <c r="R701" s="13" t="str">
        <f t="shared" si="705"/>
        <v/>
      </c>
      <c r="S701" s="14" t="str">
        <f t="shared" si="705"/>
        <v/>
      </c>
    </row>
    <row r="702">
      <c r="G702" s="9" t="str">
        <f>IFERROR(__xludf.DUMMYFUNCTION("SPLIT(A702,"","")"),"#VALUE!")</f>
        <v>#VALUE!</v>
      </c>
      <c r="Q702" s="12" t="str">
        <f t="shared" ref="Q702:S702" si="706">IF(H702&gt;M$5, $G702, "")</f>
        <v/>
      </c>
      <c r="R702" s="13" t="str">
        <f t="shared" si="706"/>
        <v/>
      </c>
      <c r="S702" s="14" t="str">
        <f t="shared" si="706"/>
        <v/>
      </c>
    </row>
    <row r="703">
      <c r="G703" s="9" t="str">
        <f>IFERROR(__xludf.DUMMYFUNCTION("SPLIT(A703,"","")"),"#VALUE!")</f>
        <v>#VALUE!</v>
      </c>
      <c r="Q703" s="12" t="str">
        <f t="shared" ref="Q703:S703" si="707">IF(H703&gt;M$5, $G703, "")</f>
        <v/>
      </c>
      <c r="R703" s="13" t="str">
        <f t="shared" si="707"/>
        <v/>
      </c>
      <c r="S703" s="14" t="str">
        <f t="shared" si="707"/>
        <v/>
      </c>
    </row>
    <row r="704">
      <c r="G704" s="9" t="str">
        <f>IFERROR(__xludf.DUMMYFUNCTION("SPLIT(A704,"","")"),"#VALUE!")</f>
        <v>#VALUE!</v>
      </c>
      <c r="Q704" s="12" t="str">
        <f t="shared" ref="Q704:S704" si="708">IF(H704&gt;M$5, $G704, "")</f>
        <v/>
      </c>
      <c r="R704" s="13" t="str">
        <f t="shared" si="708"/>
        <v/>
      </c>
      <c r="S704" s="14" t="str">
        <f t="shared" si="708"/>
        <v/>
      </c>
    </row>
    <row r="705">
      <c r="G705" s="9" t="str">
        <f>IFERROR(__xludf.DUMMYFUNCTION("SPLIT(A705,"","")"),"#VALUE!")</f>
        <v>#VALUE!</v>
      </c>
      <c r="Q705" s="12" t="str">
        <f t="shared" ref="Q705:S705" si="709">IF(H705&gt;M$5, $G705, "")</f>
        <v/>
      </c>
      <c r="R705" s="13" t="str">
        <f t="shared" si="709"/>
        <v/>
      </c>
      <c r="S705" s="14" t="str">
        <f t="shared" si="709"/>
        <v/>
      </c>
    </row>
    <row r="706">
      <c r="G706" s="9" t="str">
        <f>IFERROR(__xludf.DUMMYFUNCTION("SPLIT(A706,"","")"),"#VALUE!")</f>
        <v>#VALUE!</v>
      </c>
      <c r="Q706" s="12" t="str">
        <f t="shared" ref="Q706:S706" si="710">IF(H706&gt;M$5, $G706, "")</f>
        <v/>
      </c>
      <c r="R706" s="13" t="str">
        <f t="shared" si="710"/>
        <v/>
      </c>
      <c r="S706" s="14" t="str">
        <f t="shared" si="710"/>
        <v/>
      </c>
    </row>
    <row r="707">
      <c r="G707" s="9" t="str">
        <f>IFERROR(__xludf.DUMMYFUNCTION("SPLIT(A707,"","")"),"#VALUE!")</f>
        <v>#VALUE!</v>
      </c>
      <c r="Q707" s="12" t="str">
        <f t="shared" ref="Q707:S707" si="711">IF(H707&gt;M$5, $G707, "")</f>
        <v/>
      </c>
      <c r="R707" s="13" t="str">
        <f t="shared" si="711"/>
        <v/>
      </c>
      <c r="S707" s="14" t="str">
        <f t="shared" si="711"/>
        <v/>
      </c>
    </row>
    <row r="708">
      <c r="G708" s="9" t="str">
        <f>IFERROR(__xludf.DUMMYFUNCTION("SPLIT(A708,"","")"),"#VALUE!")</f>
        <v>#VALUE!</v>
      </c>
      <c r="Q708" s="12" t="str">
        <f t="shared" ref="Q708:S708" si="712">IF(H708&gt;M$5, $G708, "")</f>
        <v/>
      </c>
      <c r="R708" s="13" t="str">
        <f t="shared" si="712"/>
        <v/>
      </c>
      <c r="S708" s="14" t="str">
        <f t="shared" si="712"/>
        <v/>
      </c>
    </row>
    <row r="709">
      <c r="G709" s="9" t="str">
        <f>IFERROR(__xludf.DUMMYFUNCTION("SPLIT(A709,"","")"),"#VALUE!")</f>
        <v>#VALUE!</v>
      </c>
      <c r="Q709" s="12" t="str">
        <f t="shared" ref="Q709:S709" si="713">IF(H709&gt;M$5, $G709, "")</f>
        <v/>
      </c>
      <c r="R709" s="13" t="str">
        <f t="shared" si="713"/>
        <v/>
      </c>
      <c r="S709" s="14" t="str">
        <f t="shared" si="713"/>
        <v/>
      </c>
    </row>
    <row r="710">
      <c r="G710" s="9" t="str">
        <f>IFERROR(__xludf.DUMMYFUNCTION("SPLIT(A710,"","")"),"#VALUE!")</f>
        <v>#VALUE!</v>
      </c>
      <c r="Q710" s="12" t="str">
        <f t="shared" ref="Q710:S710" si="714">IF(H710&gt;M$5, $G710, "")</f>
        <v/>
      </c>
      <c r="R710" s="13" t="str">
        <f t="shared" si="714"/>
        <v/>
      </c>
      <c r="S710" s="14" t="str">
        <f t="shared" si="714"/>
        <v/>
      </c>
    </row>
    <row r="711">
      <c r="G711" s="9" t="str">
        <f>IFERROR(__xludf.DUMMYFUNCTION("SPLIT(A711,"","")"),"#VALUE!")</f>
        <v>#VALUE!</v>
      </c>
      <c r="Q711" s="12" t="str">
        <f t="shared" ref="Q711:S711" si="715">IF(H711&gt;M$5, $G711, "")</f>
        <v/>
      </c>
      <c r="R711" s="13" t="str">
        <f t="shared" si="715"/>
        <v/>
      </c>
      <c r="S711" s="14" t="str">
        <f t="shared" si="715"/>
        <v/>
      </c>
    </row>
    <row r="712">
      <c r="G712" s="9" t="str">
        <f>IFERROR(__xludf.DUMMYFUNCTION("SPLIT(A712,"","")"),"#VALUE!")</f>
        <v>#VALUE!</v>
      </c>
      <c r="Q712" s="12" t="str">
        <f t="shared" ref="Q712:S712" si="716">IF(H712&gt;M$5, $G712, "")</f>
        <v/>
      </c>
      <c r="R712" s="13" t="str">
        <f t="shared" si="716"/>
        <v/>
      </c>
      <c r="S712" s="14" t="str">
        <f t="shared" si="716"/>
        <v/>
      </c>
    </row>
    <row r="713">
      <c r="G713" s="9" t="str">
        <f>IFERROR(__xludf.DUMMYFUNCTION("SPLIT(A713,"","")"),"#VALUE!")</f>
        <v>#VALUE!</v>
      </c>
      <c r="Q713" s="12" t="str">
        <f t="shared" ref="Q713:S713" si="717">IF(H713&gt;M$5, $G713, "")</f>
        <v/>
      </c>
      <c r="R713" s="13" t="str">
        <f t="shared" si="717"/>
        <v/>
      </c>
      <c r="S713" s="14" t="str">
        <f t="shared" si="717"/>
        <v/>
      </c>
    </row>
    <row r="714">
      <c r="G714" s="9" t="str">
        <f>IFERROR(__xludf.DUMMYFUNCTION("SPLIT(A714,"","")"),"#VALUE!")</f>
        <v>#VALUE!</v>
      </c>
      <c r="Q714" s="12" t="str">
        <f t="shared" ref="Q714:S714" si="718">IF(H714&gt;M$5, $G714, "")</f>
        <v/>
      </c>
      <c r="R714" s="13" t="str">
        <f t="shared" si="718"/>
        <v/>
      </c>
      <c r="S714" s="14" t="str">
        <f t="shared" si="718"/>
        <v/>
      </c>
    </row>
    <row r="715">
      <c r="G715" s="9" t="str">
        <f>IFERROR(__xludf.DUMMYFUNCTION("SPLIT(A715,"","")"),"#VALUE!")</f>
        <v>#VALUE!</v>
      </c>
      <c r="Q715" s="12" t="str">
        <f t="shared" ref="Q715:S715" si="719">IF(H715&gt;M$5, $G715, "")</f>
        <v/>
      </c>
      <c r="R715" s="13" t="str">
        <f t="shared" si="719"/>
        <v/>
      </c>
      <c r="S715" s="14" t="str">
        <f t="shared" si="719"/>
        <v/>
      </c>
    </row>
    <row r="716">
      <c r="G716" s="9" t="str">
        <f>IFERROR(__xludf.DUMMYFUNCTION("SPLIT(A716,"","")"),"#VALUE!")</f>
        <v>#VALUE!</v>
      </c>
      <c r="Q716" s="12" t="str">
        <f t="shared" ref="Q716:S716" si="720">IF(H716&gt;M$5, $G716, "")</f>
        <v/>
      </c>
      <c r="R716" s="13" t="str">
        <f t="shared" si="720"/>
        <v/>
      </c>
      <c r="S716" s="14" t="str">
        <f t="shared" si="720"/>
        <v/>
      </c>
    </row>
    <row r="717">
      <c r="G717" s="9" t="str">
        <f>IFERROR(__xludf.DUMMYFUNCTION("SPLIT(A717,"","")"),"#VALUE!")</f>
        <v>#VALUE!</v>
      </c>
      <c r="Q717" s="12" t="str">
        <f t="shared" ref="Q717:S717" si="721">IF(H717&gt;M$5, $G717, "")</f>
        <v/>
      </c>
      <c r="R717" s="13" t="str">
        <f t="shared" si="721"/>
        <v/>
      </c>
      <c r="S717" s="14" t="str">
        <f t="shared" si="721"/>
        <v/>
      </c>
    </row>
    <row r="718">
      <c r="G718" s="9" t="str">
        <f>IFERROR(__xludf.DUMMYFUNCTION("SPLIT(A718,"","")"),"#VALUE!")</f>
        <v>#VALUE!</v>
      </c>
      <c r="Q718" s="12" t="str">
        <f t="shared" ref="Q718:S718" si="722">IF(H718&gt;M$5, $G718, "")</f>
        <v/>
      </c>
      <c r="R718" s="13" t="str">
        <f t="shared" si="722"/>
        <v/>
      </c>
      <c r="S718" s="14" t="str">
        <f t="shared" si="722"/>
        <v/>
      </c>
    </row>
    <row r="719">
      <c r="G719" s="9" t="str">
        <f>IFERROR(__xludf.DUMMYFUNCTION("SPLIT(A719,"","")"),"#VALUE!")</f>
        <v>#VALUE!</v>
      </c>
      <c r="Q719" s="12" t="str">
        <f t="shared" ref="Q719:S719" si="723">IF(H719&gt;M$5, $G719, "")</f>
        <v/>
      </c>
      <c r="R719" s="13" t="str">
        <f t="shared" si="723"/>
        <v/>
      </c>
      <c r="S719" s="14" t="str">
        <f t="shared" si="723"/>
        <v/>
      </c>
    </row>
    <row r="720">
      <c r="G720" s="9" t="str">
        <f>IFERROR(__xludf.DUMMYFUNCTION("SPLIT(A720,"","")"),"#VALUE!")</f>
        <v>#VALUE!</v>
      </c>
      <c r="Q720" s="12" t="str">
        <f t="shared" ref="Q720:S720" si="724">IF(H720&gt;M$5, $G720, "")</f>
        <v/>
      </c>
      <c r="R720" s="13" t="str">
        <f t="shared" si="724"/>
        <v/>
      </c>
      <c r="S720" s="14" t="str">
        <f t="shared" si="724"/>
        <v/>
      </c>
    </row>
    <row r="721">
      <c r="G721" s="9" t="str">
        <f>IFERROR(__xludf.DUMMYFUNCTION("SPLIT(A721,"","")"),"#VALUE!")</f>
        <v>#VALUE!</v>
      </c>
      <c r="Q721" s="12" t="str">
        <f t="shared" ref="Q721:S721" si="725">IF(H721&gt;M$5, $G721, "")</f>
        <v/>
      </c>
      <c r="R721" s="13" t="str">
        <f t="shared" si="725"/>
        <v/>
      </c>
      <c r="S721" s="14" t="str">
        <f t="shared" si="725"/>
        <v/>
      </c>
    </row>
    <row r="722">
      <c r="G722" s="9" t="str">
        <f>IFERROR(__xludf.DUMMYFUNCTION("SPLIT(A722,"","")"),"#VALUE!")</f>
        <v>#VALUE!</v>
      </c>
      <c r="Q722" s="12" t="str">
        <f t="shared" ref="Q722:S722" si="726">IF(H722&gt;M$5, $G722, "")</f>
        <v/>
      </c>
      <c r="R722" s="13" t="str">
        <f t="shared" si="726"/>
        <v/>
      </c>
      <c r="S722" s="14" t="str">
        <f t="shared" si="726"/>
        <v/>
      </c>
    </row>
    <row r="723">
      <c r="G723" s="9" t="str">
        <f>IFERROR(__xludf.DUMMYFUNCTION("SPLIT(A723,"","")"),"#VALUE!")</f>
        <v>#VALUE!</v>
      </c>
      <c r="Q723" s="12" t="str">
        <f t="shared" ref="Q723:S723" si="727">IF(H723&gt;M$5, $G723, "")</f>
        <v/>
      </c>
      <c r="R723" s="13" t="str">
        <f t="shared" si="727"/>
        <v/>
      </c>
      <c r="S723" s="14" t="str">
        <f t="shared" si="727"/>
        <v/>
      </c>
    </row>
    <row r="724">
      <c r="G724" s="9" t="str">
        <f>IFERROR(__xludf.DUMMYFUNCTION("SPLIT(A724,"","")"),"#VALUE!")</f>
        <v>#VALUE!</v>
      </c>
      <c r="Q724" s="12" t="str">
        <f t="shared" ref="Q724:S724" si="728">IF(H724&gt;M$5, $G724, "")</f>
        <v/>
      </c>
      <c r="R724" s="13" t="str">
        <f t="shared" si="728"/>
        <v/>
      </c>
      <c r="S724" s="14" t="str">
        <f t="shared" si="728"/>
        <v/>
      </c>
    </row>
    <row r="725">
      <c r="G725" s="9" t="str">
        <f>IFERROR(__xludf.DUMMYFUNCTION("SPLIT(A725,"","")"),"#VALUE!")</f>
        <v>#VALUE!</v>
      </c>
      <c r="Q725" s="12" t="str">
        <f t="shared" ref="Q725:S725" si="729">IF(H725&gt;M$5, $G725, "")</f>
        <v/>
      </c>
      <c r="R725" s="13" t="str">
        <f t="shared" si="729"/>
        <v/>
      </c>
      <c r="S725" s="14" t="str">
        <f t="shared" si="729"/>
        <v/>
      </c>
    </row>
    <row r="726">
      <c r="G726" s="9" t="str">
        <f>IFERROR(__xludf.DUMMYFUNCTION("SPLIT(A726,"","")"),"#VALUE!")</f>
        <v>#VALUE!</v>
      </c>
      <c r="Q726" s="12" t="str">
        <f t="shared" ref="Q726:S726" si="730">IF(H726&gt;M$5, $G726, "")</f>
        <v/>
      </c>
      <c r="R726" s="13" t="str">
        <f t="shared" si="730"/>
        <v/>
      </c>
      <c r="S726" s="14" t="str">
        <f t="shared" si="730"/>
        <v/>
      </c>
    </row>
    <row r="727">
      <c r="G727" s="9" t="str">
        <f>IFERROR(__xludf.DUMMYFUNCTION("SPLIT(A727,"","")"),"#VALUE!")</f>
        <v>#VALUE!</v>
      </c>
      <c r="Q727" s="12" t="str">
        <f t="shared" ref="Q727:S727" si="731">IF(H727&gt;M$5, $G727, "")</f>
        <v/>
      </c>
      <c r="R727" s="13" t="str">
        <f t="shared" si="731"/>
        <v/>
      </c>
      <c r="S727" s="14" t="str">
        <f t="shared" si="731"/>
        <v/>
      </c>
    </row>
    <row r="728">
      <c r="G728" s="9" t="str">
        <f>IFERROR(__xludf.DUMMYFUNCTION("SPLIT(A728,"","")"),"#VALUE!")</f>
        <v>#VALUE!</v>
      </c>
      <c r="Q728" s="12" t="str">
        <f t="shared" ref="Q728:S728" si="732">IF(H728&gt;M$5, $G728, "")</f>
        <v/>
      </c>
      <c r="R728" s="13" t="str">
        <f t="shared" si="732"/>
        <v/>
      </c>
      <c r="S728" s="14" t="str">
        <f t="shared" si="732"/>
        <v/>
      </c>
    </row>
    <row r="729">
      <c r="G729" s="9" t="str">
        <f>IFERROR(__xludf.DUMMYFUNCTION("SPLIT(A729,"","")"),"#VALUE!")</f>
        <v>#VALUE!</v>
      </c>
      <c r="Q729" s="12" t="str">
        <f t="shared" ref="Q729:S729" si="733">IF(H729&gt;M$5, $G729, "")</f>
        <v/>
      </c>
      <c r="R729" s="13" t="str">
        <f t="shared" si="733"/>
        <v/>
      </c>
      <c r="S729" s="14" t="str">
        <f t="shared" si="733"/>
        <v/>
      </c>
    </row>
    <row r="730">
      <c r="G730" s="9" t="str">
        <f>IFERROR(__xludf.DUMMYFUNCTION("SPLIT(A730,"","")"),"#VALUE!")</f>
        <v>#VALUE!</v>
      </c>
      <c r="Q730" s="12" t="str">
        <f t="shared" ref="Q730:S730" si="734">IF(H730&gt;M$5, $G730, "")</f>
        <v/>
      </c>
      <c r="R730" s="13" t="str">
        <f t="shared" si="734"/>
        <v/>
      </c>
      <c r="S730" s="14" t="str">
        <f t="shared" si="734"/>
        <v/>
      </c>
    </row>
    <row r="731">
      <c r="G731" s="9" t="str">
        <f>IFERROR(__xludf.DUMMYFUNCTION("SPLIT(A731,"","")"),"#VALUE!")</f>
        <v>#VALUE!</v>
      </c>
      <c r="Q731" s="12" t="str">
        <f t="shared" ref="Q731:S731" si="735">IF(H731&gt;M$5, $G731, "")</f>
        <v/>
      </c>
      <c r="R731" s="13" t="str">
        <f t="shared" si="735"/>
        <v/>
      </c>
      <c r="S731" s="14" t="str">
        <f t="shared" si="735"/>
        <v/>
      </c>
    </row>
    <row r="732">
      <c r="G732" s="9" t="str">
        <f>IFERROR(__xludf.DUMMYFUNCTION("SPLIT(A732,"","")"),"#VALUE!")</f>
        <v>#VALUE!</v>
      </c>
      <c r="Q732" s="12" t="str">
        <f t="shared" ref="Q732:S732" si="736">IF(H732&gt;M$5, $G732, "")</f>
        <v/>
      </c>
      <c r="R732" s="13" t="str">
        <f t="shared" si="736"/>
        <v/>
      </c>
      <c r="S732" s="14" t="str">
        <f t="shared" si="736"/>
        <v/>
      </c>
    </row>
    <row r="733">
      <c r="G733" s="9" t="str">
        <f>IFERROR(__xludf.DUMMYFUNCTION("SPLIT(A733,"","")"),"#VALUE!")</f>
        <v>#VALUE!</v>
      </c>
      <c r="Q733" s="12" t="str">
        <f t="shared" ref="Q733:S733" si="737">IF(H733&gt;M$5, $G733, "")</f>
        <v/>
      </c>
      <c r="R733" s="13" t="str">
        <f t="shared" si="737"/>
        <v/>
      </c>
      <c r="S733" s="14" t="str">
        <f t="shared" si="737"/>
        <v/>
      </c>
    </row>
    <row r="734">
      <c r="G734" s="9" t="str">
        <f>IFERROR(__xludf.DUMMYFUNCTION("SPLIT(A734,"","")"),"#VALUE!")</f>
        <v>#VALUE!</v>
      </c>
      <c r="Q734" s="12" t="str">
        <f t="shared" ref="Q734:S734" si="738">IF(H734&gt;M$5, $G734, "")</f>
        <v/>
      </c>
      <c r="R734" s="13" t="str">
        <f t="shared" si="738"/>
        <v/>
      </c>
      <c r="S734" s="14" t="str">
        <f t="shared" si="738"/>
        <v/>
      </c>
    </row>
    <row r="735">
      <c r="G735" s="9" t="str">
        <f>IFERROR(__xludf.DUMMYFUNCTION("SPLIT(A735,"","")"),"#VALUE!")</f>
        <v>#VALUE!</v>
      </c>
      <c r="Q735" s="12" t="str">
        <f t="shared" ref="Q735:S735" si="739">IF(H735&gt;M$5, $G735, "")</f>
        <v/>
      </c>
      <c r="R735" s="13" t="str">
        <f t="shared" si="739"/>
        <v/>
      </c>
      <c r="S735" s="14" t="str">
        <f t="shared" si="739"/>
        <v/>
      </c>
    </row>
    <row r="736">
      <c r="G736" s="9" t="str">
        <f>IFERROR(__xludf.DUMMYFUNCTION("SPLIT(A736,"","")"),"#VALUE!")</f>
        <v>#VALUE!</v>
      </c>
      <c r="Q736" s="12" t="str">
        <f t="shared" ref="Q736:S736" si="740">IF(H736&gt;M$5, $G736, "")</f>
        <v/>
      </c>
      <c r="R736" s="13" t="str">
        <f t="shared" si="740"/>
        <v/>
      </c>
      <c r="S736" s="14" t="str">
        <f t="shared" si="740"/>
        <v/>
      </c>
    </row>
    <row r="737">
      <c r="G737" s="9" t="str">
        <f>IFERROR(__xludf.DUMMYFUNCTION("SPLIT(A737,"","")"),"#VALUE!")</f>
        <v>#VALUE!</v>
      </c>
      <c r="Q737" s="12" t="str">
        <f t="shared" ref="Q737:S737" si="741">IF(H737&gt;M$5, $G737, "")</f>
        <v/>
      </c>
      <c r="R737" s="13" t="str">
        <f t="shared" si="741"/>
        <v/>
      </c>
      <c r="S737" s="14" t="str">
        <f t="shared" si="741"/>
        <v/>
      </c>
    </row>
    <row r="738">
      <c r="G738" s="9" t="str">
        <f>IFERROR(__xludf.DUMMYFUNCTION("SPLIT(A738,"","")"),"#VALUE!")</f>
        <v>#VALUE!</v>
      </c>
      <c r="Q738" s="12" t="str">
        <f t="shared" ref="Q738:S738" si="742">IF(H738&gt;M$5, $G738, "")</f>
        <v/>
      </c>
      <c r="R738" s="13" t="str">
        <f t="shared" si="742"/>
        <v/>
      </c>
      <c r="S738" s="14" t="str">
        <f t="shared" si="742"/>
        <v/>
      </c>
    </row>
    <row r="739">
      <c r="G739" s="9" t="str">
        <f>IFERROR(__xludf.DUMMYFUNCTION("SPLIT(A739,"","")"),"#VALUE!")</f>
        <v>#VALUE!</v>
      </c>
      <c r="Q739" s="12" t="str">
        <f t="shared" ref="Q739:S739" si="743">IF(H739&gt;M$5, $G739, "")</f>
        <v/>
      </c>
      <c r="R739" s="13" t="str">
        <f t="shared" si="743"/>
        <v/>
      </c>
      <c r="S739" s="14" t="str">
        <f t="shared" si="743"/>
        <v/>
      </c>
    </row>
    <row r="740">
      <c r="G740" s="9" t="str">
        <f>IFERROR(__xludf.DUMMYFUNCTION("SPLIT(A740,"","")"),"#VALUE!")</f>
        <v>#VALUE!</v>
      </c>
      <c r="Q740" s="12" t="str">
        <f t="shared" ref="Q740:S740" si="744">IF(H740&gt;M$5, $G740, "")</f>
        <v/>
      </c>
      <c r="R740" s="13" t="str">
        <f t="shared" si="744"/>
        <v/>
      </c>
      <c r="S740" s="14" t="str">
        <f t="shared" si="744"/>
        <v/>
      </c>
    </row>
    <row r="741">
      <c r="G741" s="9" t="str">
        <f>IFERROR(__xludf.DUMMYFUNCTION("SPLIT(A741,"","")"),"#VALUE!")</f>
        <v>#VALUE!</v>
      </c>
      <c r="Q741" s="12" t="str">
        <f t="shared" ref="Q741:S741" si="745">IF(H741&gt;M$5, $G741, "")</f>
        <v/>
      </c>
      <c r="R741" s="13" t="str">
        <f t="shared" si="745"/>
        <v/>
      </c>
      <c r="S741" s="14" t="str">
        <f t="shared" si="745"/>
        <v/>
      </c>
    </row>
    <row r="742">
      <c r="G742" s="9" t="str">
        <f>IFERROR(__xludf.DUMMYFUNCTION("SPLIT(A742,"","")"),"#VALUE!")</f>
        <v>#VALUE!</v>
      </c>
      <c r="Q742" s="12" t="str">
        <f t="shared" ref="Q742:S742" si="746">IF(H742&gt;M$5, $G742, "")</f>
        <v/>
      </c>
      <c r="R742" s="13" t="str">
        <f t="shared" si="746"/>
        <v/>
      </c>
      <c r="S742" s="14" t="str">
        <f t="shared" si="746"/>
        <v/>
      </c>
    </row>
    <row r="743">
      <c r="G743" s="9" t="str">
        <f>IFERROR(__xludf.DUMMYFUNCTION("SPLIT(A743,"","")"),"#VALUE!")</f>
        <v>#VALUE!</v>
      </c>
      <c r="Q743" s="12" t="str">
        <f t="shared" ref="Q743:S743" si="747">IF(H743&gt;M$5, $G743, "")</f>
        <v/>
      </c>
      <c r="R743" s="13" t="str">
        <f t="shared" si="747"/>
        <v/>
      </c>
      <c r="S743" s="14" t="str">
        <f t="shared" si="747"/>
        <v/>
      </c>
    </row>
    <row r="744">
      <c r="G744" s="9" t="str">
        <f>IFERROR(__xludf.DUMMYFUNCTION("SPLIT(A744,"","")"),"#VALUE!")</f>
        <v>#VALUE!</v>
      </c>
      <c r="Q744" s="12" t="str">
        <f t="shared" ref="Q744:S744" si="748">IF(H744&gt;M$5, $G744, "")</f>
        <v/>
      </c>
      <c r="R744" s="13" t="str">
        <f t="shared" si="748"/>
        <v/>
      </c>
      <c r="S744" s="14" t="str">
        <f t="shared" si="748"/>
        <v/>
      </c>
    </row>
    <row r="745">
      <c r="G745" s="9" t="str">
        <f>IFERROR(__xludf.DUMMYFUNCTION("SPLIT(A745,"","")"),"#VALUE!")</f>
        <v>#VALUE!</v>
      </c>
      <c r="Q745" s="12" t="str">
        <f t="shared" ref="Q745:S745" si="749">IF(H745&gt;M$5, $G745, "")</f>
        <v/>
      </c>
      <c r="R745" s="13" t="str">
        <f t="shared" si="749"/>
        <v/>
      </c>
      <c r="S745" s="14" t="str">
        <f t="shared" si="749"/>
        <v/>
      </c>
    </row>
    <row r="746">
      <c r="G746" s="9" t="str">
        <f>IFERROR(__xludf.DUMMYFUNCTION("SPLIT(A746,"","")"),"#VALUE!")</f>
        <v>#VALUE!</v>
      </c>
      <c r="Q746" s="12" t="str">
        <f t="shared" ref="Q746:S746" si="750">IF(H746&gt;M$5, $G746, "")</f>
        <v/>
      </c>
      <c r="R746" s="13" t="str">
        <f t="shared" si="750"/>
        <v/>
      </c>
      <c r="S746" s="14" t="str">
        <f t="shared" si="750"/>
        <v/>
      </c>
    </row>
    <row r="747">
      <c r="G747" s="9" t="str">
        <f>IFERROR(__xludf.DUMMYFUNCTION("SPLIT(A747,"","")"),"#VALUE!")</f>
        <v>#VALUE!</v>
      </c>
      <c r="Q747" s="12" t="str">
        <f t="shared" ref="Q747:S747" si="751">IF(H747&gt;M$5, $G747, "")</f>
        <v/>
      </c>
      <c r="R747" s="13" t="str">
        <f t="shared" si="751"/>
        <v/>
      </c>
      <c r="S747" s="14" t="str">
        <f t="shared" si="751"/>
        <v/>
      </c>
    </row>
    <row r="748">
      <c r="G748" s="9" t="str">
        <f>IFERROR(__xludf.DUMMYFUNCTION("SPLIT(A748,"","")"),"#VALUE!")</f>
        <v>#VALUE!</v>
      </c>
      <c r="Q748" s="12" t="str">
        <f t="shared" ref="Q748:S748" si="752">IF(H748&gt;M$5, $G748, "")</f>
        <v/>
      </c>
      <c r="R748" s="13" t="str">
        <f t="shared" si="752"/>
        <v/>
      </c>
      <c r="S748" s="14" t="str">
        <f t="shared" si="752"/>
        <v/>
      </c>
    </row>
    <row r="749">
      <c r="G749" s="9" t="str">
        <f>IFERROR(__xludf.DUMMYFUNCTION("SPLIT(A749,"","")"),"#VALUE!")</f>
        <v>#VALUE!</v>
      </c>
      <c r="Q749" s="12" t="str">
        <f t="shared" ref="Q749:S749" si="753">IF(H749&gt;M$5, $G749, "")</f>
        <v/>
      </c>
      <c r="R749" s="13" t="str">
        <f t="shared" si="753"/>
        <v/>
      </c>
      <c r="S749" s="14" t="str">
        <f t="shared" si="753"/>
        <v/>
      </c>
    </row>
    <row r="750">
      <c r="G750" s="9" t="str">
        <f>IFERROR(__xludf.DUMMYFUNCTION("SPLIT(A750,"","")"),"#VALUE!")</f>
        <v>#VALUE!</v>
      </c>
      <c r="Q750" s="12" t="str">
        <f t="shared" ref="Q750:S750" si="754">IF(H750&gt;M$5, $G750, "")</f>
        <v/>
      </c>
      <c r="R750" s="13" t="str">
        <f t="shared" si="754"/>
        <v/>
      </c>
      <c r="S750" s="14" t="str">
        <f t="shared" si="754"/>
        <v/>
      </c>
    </row>
    <row r="751">
      <c r="G751" s="9" t="str">
        <f>IFERROR(__xludf.DUMMYFUNCTION("SPLIT(A751,"","")"),"#VALUE!")</f>
        <v>#VALUE!</v>
      </c>
      <c r="Q751" s="12" t="str">
        <f t="shared" ref="Q751:S751" si="755">IF(H751&gt;M$5, $G751, "")</f>
        <v/>
      </c>
      <c r="R751" s="13" t="str">
        <f t="shared" si="755"/>
        <v/>
      </c>
      <c r="S751" s="14" t="str">
        <f t="shared" si="755"/>
        <v/>
      </c>
    </row>
    <row r="752">
      <c r="G752" s="9" t="str">
        <f>IFERROR(__xludf.DUMMYFUNCTION("SPLIT(A752,"","")"),"#VALUE!")</f>
        <v>#VALUE!</v>
      </c>
      <c r="Q752" s="12" t="str">
        <f t="shared" ref="Q752:S752" si="756">IF(H752&gt;M$5, $G752, "")</f>
        <v/>
      </c>
      <c r="R752" s="13" t="str">
        <f t="shared" si="756"/>
        <v/>
      </c>
      <c r="S752" s="14" t="str">
        <f t="shared" si="756"/>
        <v/>
      </c>
    </row>
    <row r="753">
      <c r="G753" s="9" t="str">
        <f>IFERROR(__xludf.DUMMYFUNCTION("SPLIT(A753,"","")"),"#VALUE!")</f>
        <v>#VALUE!</v>
      </c>
      <c r="Q753" s="12" t="str">
        <f t="shared" ref="Q753:S753" si="757">IF(H753&gt;M$5, $G753, "")</f>
        <v/>
      </c>
      <c r="R753" s="13" t="str">
        <f t="shared" si="757"/>
        <v/>
      </c>
      <c r="S753" s="14" t="str">
        <f t="shared" si="757"/>
        <v/>
      </c>
    </row>
    <row r="754">
      <c r="G754" s="9" t="str">
        <f>IFERROR(__xludf.DUMMYFUNCTION("SPLIT(A754,"","")"),"#VALUE!")</f>
        <v>#VALUE!</v>
      </c>
      <c r="Q754" s="12" t="str">
        <f t="shared" ref="Q754:S754" si="758">IF(H754&gt;M$5, $G754, "")</f>
        <v/>
      </c>
      <c r="R754" s="13" t="str">
        <f t="shared" si="758"/>
        <v/>
      </c>
      <c r="S754" s="14" t="str">
        <f t="shared" si="758"/>
        <v/>
      </c>
    </row>
    <row r="755">
      <c r="G755" s="9" t="str">
        <f>IFERROR(__xludf.DUMMYFUNCTION("SPLIT(A755,"","")"),"#VALUE!")</f>
        <v>#VALUE!</v>
      </c>
      <c r="Q755" s="12" t="str">
        <f t="shared" ref="Q755:S755" si="759">IF(H755&gt;M$5, $G755, "")</f>
        <v/>
      </c>
      <c r="R755" s="13" t="str">
        <f t="shared" si="759"/>
        <v/>
      </c>
      <c r="S755" s="14" t="str">
        <f t="shared" si="759"/>
        <v/>
      </c>
    </row>
    <row r="756">
      <c r="G756" s="9" t="str">
        <f>IFERROR(__xludf.DUMMYFUNCTION("SPLIT(A756,"","")"),"#VALUE!")</f>
        <v>#VALUE!</v>
      </c>
      <c r="Q756" s="12" t="str">
        <f t="shared" ref="Q756:S756" si="760">IF(H756&gt;M$5, $G756, "")</f>
        <v/>
      </c>
      <c r="R756" s="13" t="str">
        <f t="shared" si="760"/>
        <v/>
      </c>
      <c r="S756" s="14" t="str">
        <f t="shared" si="760"/>
        <v/>
      </c>
    </row>
    <row r="757">
      <c r="G757" s="9" t="str">
        <f>IFERROR(__xludf.DUMMYFUNCTION("SPLIT(A757,"","")"),"#VALUE!")</f>
        <v>#VALUE!</v>
      </c>
      <c r="Q757" s="12" t="str">
        <f t="shared" ref="Q757:S757" si="761">IF(H757&gt;M$5, $G757, "")</f>
        <v/>
      </c>
      <c r="R757" s="13" t="str">
        <f t="shared" si="761"/>
        <v/>
      </c>
      <c r="S757" s="14" t="str">
        <f t="shared" si="761"/>
        <v/>
      </c>
    </row>
    <row r="758">
      <c r="G758" s="9" t="str">
        <f>IFERROR(__xludf.DUMMYFUNCTION("SPLIT(A758,"","")"),"#VALUE!")</f>
        <v>#VALUE!</v>
      </c>
      <c r="Q758" s="12" t="str">
        <f t="shared" ref="Q758:S758" si="762">IF(H758&gt;M$5, $G758, "")</f>
        <v/>
      </c>
      <c r="R758" s="13" t="str">
        <f t="shared" si="762"/>
        <v/>
      </c>
      <c r="S758" s="14" t="str">
        <f t="shared" si="762"/>
        <v/>
      </c>
    </row>
    <row r="759">
      <c r="G759" s="9" t="str">
        <f>IFERROR(__xludf.DUMMYFUNCTION("SPLIT(A759,"","")"),"#VALUE!")</f>
        <v>#VALUE!</v>
      </c>
      <c r="Q759" s="12" t="str">
        <f t="shared" ref="Q759:S759" si="763">IF(H759&gt;M$5, $G759, "")</f>
        <v/>
      </c>
      <c r="R759" s="13" t="str">
        <f t="shared" si="763"/>
        <v/>
      </c>
      <c r="S759" s="14" t="str">
        <f t="shared" si="763"/>
        <v/>
      </c>
    </row>
    <row r="760">
      <c r="G760" s="9" t="str">
        <f>IFERROR(__xludf.DUMMYFUNCTION("SPLIT(A760,"","")"),"#VALUE!")</f>
        <v>#VALUE!</v>
      </c>
      <c r="Q760" s="12" t="str">
        <f t="shared" ref="Q760:S760" si="764">IF(H760&gt;M$5, $G760, "")</f>
        <v/>
      </c>
      <c r="R760" s="13" t="str">
        <f t="shared" si="764"/>
        <v/>
      </c>
      <c r="S760" s="14" t="str">
        <f t="shared" si="764"/>
        <v/>
      </c>
    </row>
    <row r="761">
      <c r="G761" s="9" t="str">
        <f>IFERROR(__xludf.DUMMYFUNCTION("SPLIT(A761,"","")"),"#VALUE!")</f>
        <v>#VALUE!</v>
      </c>
      <c r="Q761" s="12" t="str">
        <f t="shared" ref="Q761:S761" si="765">IF(H761&gt;M$5, $G761, "")</f>
        <v/>
      </c>
      <c r="R761" s="13" t="str">
        <f t="shared" si="765"/>
        <v/>
      </c>
      <c r="S761" s="14" t="str">
        <f t="shared" si="765"/>
        <v/>
      </c>
    </row>
    <row r="762">
      <c r="G762" s="9" t="str">
        <f>IFERROR(__xludf.DUMMYFUNCTION("SPLIT(A762,"","")"),"#VALUE!")</f>
        <v>#VALUE!</v>
      </c>
      <c r="Q762" s="12" t="str">
        <f t="shared" ref="Q762:S762" si="766">IF(H762&gt;M$5, $G762, "")</f>
        <v/>
      </c>
      <c r="R762" s="13" t="str">
        <f t="shared" si="766"/>
        <v/>
      </c>
      <c r="S762" s="14" t="str">
        <f t="shared" si="766"/>
        <v/>
      </c>
    </row>
    <row r="763">
      <c r="G763" s="9" t="str">
        <f>IFERROR(__xludf.DUMMYFUNCTION("SPLIT(A763,"","")"),"#VALUE!")</f>
        <v>#VALUE!</v>
      </c>
      <c r="Q763" s="12" t="str">
        <f t="shared" ref="Q763:S763" si="767">IF(H763&gt;M$5, $G763, "")</f>
        <v/>
      </c>
      <c r="R763" s="13" t="str">
        <f t="shared" si="767"/>
        <v/>
      </c>
      <c r="S763" s="14" t="str">
        <f t="shared" si="767"/>
        <v/>
      </c>
    </row>
    <row r="764">
      <c r="G764" s="9" t="str">
        <f>IFERROR(__xludf.DUMMYFUNCTION("SPLIT(A764,"","")"),"#VALUE!")</f>
        <v>#VALUE!</v>
      </c>
      <c r="Q764" s="12" t="str">
        <f t="shared" ref="Q764:S764" si="768">IF(H764&gt;M$5, $G764, "")</f>
        <v/>
      </c>
      <c r="R764" s="13" t="str">
        <f t="shared" si="768"/>
        <v/>
      </c>
      <c r="S764" s="14" t="str">
        <f t="shared" si="768"/>
        <v/>
      </c>
    </row>
    <row r="765">
      <c r="G765" s="9" t="str">
        <f>IFERROR(__xludf.DUMMYFUNCTION("SPLIT(A765,"","")"),"#VALUE!")</f>
        <v>#VALUE!</v>
      </c>
      <c r="Q765" s="12" t="str">
        <f t="shared" ref="Q765:S765" si="769">IF(H765&gt;M$5, $G765, "")</f>
        <v/>
      </c>
      <c r="R765" s="13" t="str">
        <f t="shared" si="769"/>
        <v/>
      </c>
      <c r="S765" s="14" t="str">
        <f t="shared" si="769"/>
        <v/>
      </c>
    </row>
    <row r="766">
      <c r="G766" s="9" t="str">
        <f>IFERROR(__xludf.DUMMYFUNCTION("SPLIT(A766,"","")"),"#VALUE!")</f>
        <v>#VALUE!</v>
      </c>
      <c r="Q766" s="12" t="str">
        <f t="shared" ref="Q766:S766" si="770">IF(H766&gt;M$5, $G766, "")</f>
        <v/>
      </c>
      <c r="R766" s="13" t="str">
        <f t="shared" si="770"/>
        <v/>
      </c>
      <c r="S766" s="14" t="str">
        <f t="shared" si="770"/>
        <v/>
      </c>
    </row>
    <row r="767">
      <c r="G767" s="9" t="str">
        <f>IFERROR(__xludf.DUMMYFUNCTION("SPLIT(A767,"","")"),"#VALUE!")</f>
        <v>#VALUE!</v>
      </c>
      <c r="Q767" s="12" t="str">
        <f t="shared" ref="Q767:S767" si="771">IF(H767&gt;M$5, $G767, "")</f>
        <v/>
      </c>
      <c r="R767" s="13" t="str">
        <f t="shared" si="771"/>
        <v/>
      </c>
      <c r="S767" s="14" t="str">
        <f t="shared" si="771"/>
        <v/>
      </c>
    </row>
    <row r="768">
      <c r="G768" s="9" t="str">
        <f>IFERROR(__xludf.DUMMYFUNCTION("SPLIT(A768,"","")"),"#VALUE!")</f>
        <v>#VALUE!</v>
      </c>
      <c r="Q768" s="12" t="str">
        <f t="shared" ref="Q768:S768" si="772">IF(H768&gt;M$5, $G768, "")</f>
        <v/>
      </c>
      <c r="R768" s="13" t="str">
        <f t="shared" si="772"/>
        <v/>
      </c>
      <c r="S768" s="14" t="str">
        <f t="shared" si="772"/>
        <v/>
      </c>
    </row>
    <row r="769">
      <c r="G769" s="9" t="str">
        <f>IFERROR(__xludf.DUMMYFUNCTION("SPLIT(A769,"","")"),"#VALUE!")</f>
        <v>#VALUE!</v>
      </c>
      <c r="Q769" s="12" t="str">
        <f t="shared" ref="Q769:S769" si="773">IF(H769&gt;M$5, $G769, "")</f>
        <v/>
      </c>
      <c r="R769" s="13" t="str">
        <f t="shared" si="773"/>
        <v/>
      </c>
      <c r="S769" s="14" t="str">
        <f t="shared" si="773"/>
        <v/>
      </c>
    </row>
    <row r="770">
      <c r="G770" s="9" t="str">
        <f>IFERROR(__xludf.DUMMYFUNCTION("SPLIT(A770,"","")"),"#VALUE!")</f>
        <v>#VALUE!</v>
      </c>
      <c r="Q770" s="12" t="str">
        <f t="shared" ref="Q770:S770" si="774">IF(H770&gt;M$5, $G770, "")</f>
        <v/>
      </c>
      <c r="R770" s="13" t="str">
        <f t="shared" si="774"/>
        <v/>
      </c>
      <c r="S770" s="14" t="str">
        <f t="shared" si="774"/>
        <v/>
      </c>
    </row>
    <row r="771">
      <c r="G771" s="9" t="str">
        <f>IFERROR(__xludf.DUMMYFUNCTION("SPLIT(A771,"","")"),"#VALUE!")</f>
        <v>#VALUE!</v>
      </c>
      <c r="Q771" s="12" t="str">
        <f t="shared" ref="Q771:S771" si="775">IF(H771&gt;M$5, $G771, "")</f>
        <v/>
      </c>
      <c r="R771" s="13" t="str">
        <f t="shared" si="775"/>
        <v/>
      </c>
      <c r="S771" s="14" t="str">
        <f t="shared" si="775"/>
        <v/>
      </c>
    </row>
    <row r="772">
      <c r="G772" s="9" t="str">
        <f>IFERROR(__xludf.DUMMYFUNCTION("SPLIT(A772,"","")"),"#VALUE!")</f>
        <v>#VALUE!</v>
      </c>
      <c r="Q772" s="12" t="str">
        <f t="shared" ref="Q772:S772" si="776">IF(H772&gt;M$5, $G772, "")</f>
        <v/>
      </c>
      <c r="R772" s="13" t="str">
        <f t="shared" si="776"/>
        <v/>
      </c>
      <c r="S772" s="14" t="str">
        <f t="shared" si="776"/>
        <v/>
      </c>
    </row>
    <row r="773">
      <c r="G773" s="9" t="str">
        <f>IFERROR(__xludf.DUMMYFUNCTION("SPLIT(A773,"","")"),"#VALUE!")</f>
        <v>#VALUE!</v>
      </c>
      <c r="Q773" s="12" t="str">
        <f t="shared" ref="Q773:S773" si="777">IF(H773&gt;M$5, $G773, "")</f>
        <v/>
      </c>
      <c r="R773" s="13" t="str">
        <f t="shared" si="777"/>
        <v/>
      </c>
      <c r="S773" s="14" t="str">
        <f t="shared" si="777"/>
        <v/>
      </c>
    </row>
    <row r="774">
      <c r="G774" s="9" t="str">
        <f>IFERROR(__xludf.DUMMYFUNCTION("SPLIT(A774,"","")"),"#VALUE!")</f>
        <v>#VALUE!</v>
      </c>
      <c r="Q774" s="12" t="str">
        <f t="shared" ref="Q774:S774" si="778">IF(H774&gt;M$5, $G774, "")</f>
        <v/>
      </c>
      <c r="R774" s="13" t="str">
        <f t="shared" si="778"/>
        <v/>
      </c>
      <c r="S774" s="14" t="str">
        <f t="shared" si="778"/>
        <v/>
      </c>
    </row>
    <row r="775">
      <c r="G775" s="9" t="str">
        <f>IFERROR(__xludf.DUMMYFUNCTION("SPLIT(A775,"","")"),"#VALUE!")</f>
        <v>#VALUE!</v>
      </c>
      <c r="Q775" s="12" t="str">
        <f t="shared" ref="Q775:S775" si="779">IF(H775&gt;M$5, $G775, "")</f>
        <v/>
      </c>
      <c r="R775" s="13" t="str">
        <f t="shared" si="779"/>
        <v/>
      </c>
      <c r="S775" s="14" t="str">
        <f t="shared" si="779"/>
        <v/>
      </c>
    </row>
    <row r="776">
      <c r="G776" s="9" t="str">
        <f>IFERROR(__xludf.DUMMYFUNCTION("SPLIT(A776,"","")"),"#VALUE!")</f>
        <v>#VALUE!</v>
      </c>
      <c r="Q776" s="12" t="str">
        <f t="shared" ref="Q776:S776" si="780">IF(H776&gt;M$5, $G776, "")</f>
        <v/>
      </c>
      <c r="R776" s="13" t="str">
        <f t="shared" si="780"/>
        <v/>
      </c>
      <c r="S776" s="14" t="str">
        <f t="shared" si="780"/>
        <v/>
      </c>
    </row>
    <row r="777">
      <c r="G777" s="9" t="str">
        <f>IFERROR(__xludf.DUMMYFUNCTION("SPLIT(A777,"","")"),"#VALUE!")</f>
        <v>#VALUE!</v>
      </c>
      <c r="Q777" s="12" t="str">
        <f t="shared" ref="Q777:S777" si="781">IF(H777&gt;M$5, $G777, "")</f>
        <v/>
      </c>
      <c r="R777" s="13" t="str">
        <f t="shared" si="781"/>
        <v/>
      </c>
      <c r="S777" s="14" t="str">
        <f t="shared" si="781"/>
        <v/>
      </c>
    </row>
    <row r="778">
      <c r="G778" s="9" t="str">
        <f>IFERROR(__xludf.DUMMYFUNCTION("SPLIT(A778,"","")"),"#VALUE!")</f>
        <v>#VALUE!</v>
      </c>
      <c r="Q778" s="12" t="str">
        <f t="shared" ref="Q778:S778" si="782">IF(H778&gt;M$5, $G778, "")</f>
        <v/>
      </c>
      <c r="R778" s="13" t="str">
        <f t="shared" si="782"/>
        <v/>
      </c>
      <c r="S778" s="14" t="str">
        <f t="shared" si="782"/>
        <v/>
      </c>
    </row>
    <row r="779">
      <c r="G779" s="9" t="str">
        <f>IFERROR(__xludf.DUMMYFUNCTION("SPLIT(A779,"","")"),"#VALUE!")</f>
        <v>#VALUE!</v>
      </c>
      <c r="Q779" s="12" t="str">
        <f t="shared" ref="Q779:S779" si="783">IF(H779&gt;M$5, $G779, "")</f>
        <v/>
      </c>
      <c r="R779" s="13" t="str">
        <f t="shared" si="783"/>
        <v/>
      </c>
      <c r="S779" s="14" t="str">
        <f t="shared" si="783"/>
        <v/>
      </c>
    </row>
    <row r="780">
      <c r="G780" s="9" t="str">
        <f>IFERROR(__xludf.DUMMYFUNCTION("SPLIT(A780,"","")"),"#VALUE!")</f>
        <v>#VALUE!</v>
      </c>
      <c r="Q780" s="12" t="str">
        <f t="shared" ref="Q780:S780" si="784">IF(H780&gt;M$5, $G780, "")</f>
        <v/>
      </c>
      <c r="R780" s="13" t="str">
        <f t="shared" si="784"/>
        <v/>
      </c>
      <c r="S780" s="14" t="str">
        <f t="shared" si="784"/>
        <v/>
      </c>
    </row>
    <row r="781">
      <c r="G781" s="9" t="str">
        <f>IFERROR(__xludf.DUMMYFUNCTION("SPLIT(A781,"","")"),"#VALUE!")</f>
        <v>#VALUE!</v>
      </c>
      <c r="Q781" s="12" t="str">
        <f t="shared" ref="Q781:S781" si="785">IF(H781&gt;M$5, $G781, "")</f>
        <v/>
      </c>
      <c r="R781" s="13" t="str">
        <f t="shared" si="785"/>
        <v/>
      </c>
      <c r="S781" s="14" t="str">
        <f t="shared" si="785"/>
        <v/>
      </c>
    </row>
    <row r="782">
      <c r="G782" s="9" t="str">
        <f>IFERROR(__xludf.DUMMYFUNCTION("SPLIT(A782,"","")"),"#VALUE!")</f>
        <v>#VALUE!</v>
      </c>
      <c r="Q782" s="12" t="str">
        <f t="shared" ref="Q782:S782" si="786">IF(H782&gt;M$5, $G782, "")</f>
        <v/>
      </c>
      <c r="R782" s="13" t="str">
        <f t="shared" si="786"/>
        <v/>
      </c>
      <c r="S782" s="14" t="str">
        <f t="shared" si="786"/>
        <v/>
      </c>
    </row>
    <row r="783">
      <c r="G783" s="9" t="str">
        <f>IFERROR(__xludf.DUMMYFUNCTION("SPLIT(A783,"","")"),"#VALUE!")</f>
        <v>#VALUE!</v>
      </c>
      <c r="Q783" s="12" t="str">
        <f t="shared" ref="Q783:S783" si="787">IF(H783&gt;M$5, $G783, "")</f>
        <v/>
      </c>
      <c r="R783" s="13" t="str">
        <f t="shared" si="787"/>
        <v/>
      </c>
      <c r="S783" s="14" t="str">
        <f t="shared" si="787"/>
        <v/>
      </c>
    </row>
    <row r="784">
      <c r="G784" s="9" t="str">
        <f>IFERROR(__xludf.DUMMYFUNCTION("SPLIT(A784,"","")"),"#VALUE!")</f>
        <v>#VALUE!</v>
      </c>
      <c r="Q784" s="12" t="str">
        <f t="shared" ref="Q784:S784" si="788">IF(H784&gt;M$5, $G784, "")</f>
        <v/>
      </c>
      <c r="R784" s="13" t="str">
        <f t="shared" si="788"/>
        <v/>
      </c>
      <c r="S784" s="14" t="str">
        <f t="shared" si="788"/>
        <v/>
      </c>
    </row>
    <row r="785">
      <c r="G785" s="9" t="str">
        <f>IFERROR(__xludf.DUMMYFUNCTION("SPLIT(A785,"","")"),"#VALUE!")</f>
        <v>#VALUE!</v>
      </c>
      <c r="Q785" s="12" t="str">
        <f t="shared" ref="Q785:S785" si="789">IF(H785&gt;M$5, $G785, "")</f>
        <v/>
      </c>
      <c r="R785" s="13" t="str">
        <f t="shared" si="789"/>
        <v/>
      </c>
      <c r="S785" s="14" t="str">
        <f t="shared" si="789"/>
        <v/>
      </c>
    </row>
    <row r="786">
      <c r="G786" s="9" t="str">
        <f>IFERROR(__xludf.DUMMYFUNCTION("SPLIT(A786,"","")"),"#VALUE!")</f>
        <v>#VALUE!</v>
      </c>
      <c r="Q786" s="12" t="str">
        <f t="shared" ref="Q786:S786" si="790">IF(H786&gt;M$5, $G786, "")</f>
        <v/>
      </c>
      <c r="R786" s="13" t="str">
        <f t="shared" si="790"/>
        <v/>
      </c>
      <c r="S786" s="14" t="str">
        <f t="shared" si="790"/>
        <v/>
      </c>
    </row>
    <row r="787">
      <c r="G787" s="9" t="str">
        <f>IFERROR(__xludf.DUMMYFUNCTION("SPLIT(A787,"","")"),"#VALUE!")</f>
        <v>#VALUE!</v>
      </c>
      <c r="Q787" s="12" t="str">
        <f t="shared" ref="Q787:S787" si="791">IF(H787&gt;M$5, $G787, "")</f>
        <v/>
      </c>
      <c r="R787" s="13" t="str">
        <f t="shared" si="791"/>
        <v/>
      </c>
      <c r="S787" s="14" t="str">
        <f t="shared" si="791"/>
        <v/>
      </c>
    </row>
    <row r="788">
      <c r="G788" s="9" t="str">
        <f>IFERROR(__xludf.DUMMYFUNCTION("SPLIT(A788,"","")"),"#VALUE!")</f>
        <v>#VALUE!</v>
      </c>
      <c r="Q788" s="12" t="str">
        <f t="shared" ref="Q788:S788" si="792">IF(H788&gt;M$5, $G788, "")</f>
        <v/>
      </c>
      <c r="R788" s="13" t="str">
        <f t="shared" si="792"/>
        <v/>
      </c>
      <c r="S788" s="14" t="str">
        <f t="shared" si="792"/>
        <v/>
      </c>
    </row>
    <row r="789">
      <c r="G789" s="9" t="str">
        <f>IFERROR(__xludf.DUMMYFUNCTION("SPLIT(A789,"","")"),"#VALUE!")</f>
        <v>#VALUE!</v>
      </c>
      <c r="Q789" s="12" t="str">
        <f t="shared" ref="Q789:S789" si="793">IF(H789&gt;M$5, $G789, "")</f>
        <v/>
      </c>
      <c r="R789" s="13" t="str">
        <f t="shared" si="793"/>
        <v/>
      </c>
      <c r="S789" s="14" t="str">
        <f t="shared" si="793"/>
        <v/>
      </c>
    </row>
    <row r="790">
      <c r="G790" s="9" t="str">
        <f>IFERROR(__xludf.DUMMYFUNCTION("SPLIT(A790,"","")"),"#VALUE!")</f>
        <v>#VALUE!</v>
      </c>
      <c r="Q790" s="12" t="str">
        <f t="shared" ref="Q790:S790" si="794">IF(H790&gt;M$5, $G790, "")</f>
        <v/>
      </c>
      <c r="R790" s="13" t="str">
        <f t="shared" si="794"/>
        <v/>
      </c>
      <c r="S790" s="14" t="str">
        <f t="shared" si="794"/>
        <v/>
      </c>
    </row>
    <row r="791">
      <c r="G791" s="9" t="str">
        <f>IFERROR(__xludf.DUMMYFUNCTION("SPLIT(A791,"","")"),"#VALUE!")</f>
        <v>#VALUE!</v>
      </c>
      <c r="Q791" s="12" t="str">
        <f t="shared" ref="Q791:S791" si="795">IF(H791&gt;M$5, $G791, "")</f>
        <v/>
      </c>
      <c r="R791" s="13" t="str">
        <f t="shared" si="795"/>
        <v/>
      </c>
      <c r="S791" s="14" t="str">
        <f t="shared" si="795"/>
        <v/>
      </c>
    </row>
    <row r="792">
      <c r="G792" s="9" t="str">
        <f>IFERROR(__xludf.DUMMYFUNCTION("SPLIT(A792,"","")"),"#VALUE!")</f>
        <v>#VALUE!</v>
      </c>
      <c r="Q792" s="12" t="str">
        <f t="shared" ref="Q792:S792" si="796">IF(H792&gt;M$5, $G792, "")</f>
        <v/>
      </c>
      <c r="R792" s="13" t="str">
        <f t="shared" si="796"/>
        <v/>
      </c>
      <c r="S792" s="14" t="str">
        <f t="shared" si="796"/>
        <v/>
      </c>
    </row>
    <row r="793">
      <c r="G793" s="9" t="str">
        <f>IFERROR(__xludf.DUMMYFUNCTION("SPLIT(A793,"","")"),"#VALUE!")</f>
        <v>#VALUE!</v>
      </c>
      <c r="Q793" s="12" t="str">
        <f t="shared" ref="Q793:S793" si="797">IF(H793&gt;M$5, $G793, "")</f>
        <v/>
      </c>
      <c r="R793" s="13" t="str">
        <f t="shared" si="797"/>
        <v/>
      </c>
      <c r="S793" s="14" t="str">
        <f t="shared" si="797"/>
        <v/>
      </c>
    </row>
    <row r="794">
      <c r="G794" s="9" t="str">
        <f>IFERROR(__xludf.DUMMYFUNCTION("SPLIT(A794,"","")"),"#VALUE!")</f>
        <v>#VALUE!</v>
      </c>
      <c r="Q794" s="12" t="str">
        <f t="shared" ref="Q794:S794" si="798">IF(H794&gt;M$5, $G794, "")</f>
        <v/>
      </c>
      <c r="R794" s="13" t="str">
        <f t="shared" si="798"/>
        <v/>
      </c>
      <c r="S794" s="14" t="str">
        <f t="shared" si="798"/>
        <v/>
      </c>
    </row>
    <row r="795">
      <c r="G795" s="9" t="str">
        <f>IFERROR(__xludf.DUMMYFUNCTION("SPLIT(A795,"","")"),"#VALUE!")</f>
        <v>#VALUE!</v>
      </c>
      <c r="Q795" s="12" t="str">
        <f t="shared" ref="Q795:S795" si="799">IF(H795&gt;M$5, $G795, "")</f>
        <v/>
      </c>
      <c r="R795" s="13" t="str">
        <f t="shared" si="799"/>
        <v/>
      </c>
      <c r="S795" s="14" t="str">
        <f t="shared" si="799"/>
        <v/>
      </c>
    </row>
    <row r="796">
      <c r="G796" s="9" t="str">
        <f>IFERROR(__xludf.DUMMYFUNCTION("SPLIT(A796,"","")"),"#VALUE!")</f>
        <v>#VALUE!</v>
      </c>
      <c r="Q796" s="12" t="str">
        <f t="shared" ref="Q796:S796" si="800">IF(H796&gt;M$5, $G796, "")</f>
        <v/>
      </c>
      <c r="R796" s="13" t="str">
        <f t="shared" si="800"/>
        <v/>
      </c>
      <c r="S796" s="14" t="str">
        <f t="shared" si="800"/>
        <v/>
      </c>
    </row>
    <row r="797">
      <c r="G797" s="9" t="str">
        <f>IFERROR(__xludf.DUMMYFUNCTION("SPLIT(A797,"","")"),"#VALUE!")</f>
        <v>#VALUE!</v>
      </c>
      <c r="Q797" s="12" t="str">
        <f t="shared" ref="Q797:S797" si="801">IF(H797&gt;M$5, $G797, "")</f>
        <v/>
      </c>
      <c r="R797" s="13" t="str">
        <f t="shared" si="801"/>
        <v/>
      </c>
      <c r="S797" s="14" t="str">
        <f t="shared" si="801"/>
        <v/>
      </c>
    </row>
    <row r="798">
      <c r="G798" s="9" t="str">
        <f>IFERROR(__xludf.DUMMYFUNCTION("SPLIT(A798,"","")"),"#VALUE!")</f>
        <v>#VALUE!</v>
      </c>
      <c r="Q798" s="12" t="str">
        <f t="shared" ref="Q798:S798" si="802">IF(H798&gt;M$5, $G798, "")</f>
        <v/>
      </c>
      <c r="R798" s="13" t="str">
        <f t="shared" si="802"/>
        <v/>
      </c>
      <c r="S798" s="14" t="str">
        <f t="shared" si="802"/>
        <v/>
      </c>
    </row>
    <row r="799">
      <c r="G799" s="9" t="str">
        <f>IFERROR(__xludf.DUMMYFUNCTION("SPLIT(A799,"","")"),"#VALUE!")</f>
        <v>#VALUE!</v>
      </c>
      <c r="Q799" s="12" t="str">
        <f t="shared" ref="Q799:S799" si="803">IF(H799&gt;M$5, $G799, "")</f>
        <v/>
      </c>
      <c r="R799" s="13" t="str">
        <f t="shared" si="803"/>
        <v/>
      </c>
      <c r="S799" s="14" t="str">
        <f t="shared" si="803"/>
        <v/>
      </c>
    </row>
    <row r="800">
      <c r="G800" s="9" t="str">
        <f>IFERROR(__xludf.DUMMYFUNCTION("SPLIT(A800,"","")"),"#VALUE!")</f>
        <v>#VALUE!</v>
      </c>
      <c r="Q800" s="12" t="str">
        <f t="shared" ref="Q800:S800" si="804">IF(H800&gt;M$5, $G800, "")</f>
        <v/>
      </c>
      <c r="R800" s="13" t="str">
        <f t="shared" si="804"/>
        <v/>
      </c>
      <c r="S800" s="14" t="str">
        <f t="shared" si="804"/>
        <v/>
      </c>
    </row>
    <row r="801">
      <c r="G801" s="9" t="str">
        <f>IFERROR(__xludf.DUMMYFUNCTION("SPLIT(A801,"","")"),"#VALUE!")</f>
        <v>#VALUE!</v>
      </c>
      <c r="Q801" s="12" t="str">
        <f t="shared" ref="Q801:S801" si="805">IF(H801&gt;M$5, $G801, "")</f>
        <v/>
      </c>
      <c r="R801" s="13" t="str">
        <f t="shared" si="805"/>
        <v/>
      </c>
      <c r="S801" s="14" t="str">
        <f t="shared" si="805"/>
        <v/>
      </c>
    </row>
    <row r="802">
      <c r="G802" s="9" t="str">
        <f>IFERROR(__xludf.DUMMYFUNCTION("SPLIT(A802,"","")"),"#VALUE!")</f>
        <v>#VALUE!</v>
      </c>
      <c r="Q802" s="12" t="str">
        <f t="shared" ref="Q802:S802" si="806">IF(H802&gt;M$5, $G802, "")</f>
        <v/>
      </c>
      <c r="R802" s="13" t="str">
        <f t="shared" si="806"/>
        <v/>
      </c>
      <c r="S802" s="14" t="str">
        <f t="shared" si="806"/>
        <v/>
      </c>
    </row>
    <row r="803">
      <c r="G803" s="9" t="str">
        <f>IFERROR(__xludf.DUMMYFUNCTION("SPLIT(A803,"","")"),"#VALUE!")</f>
        <v>#VALUE!</v>
      </c>
      <c r="Q803" s="12" t="str">
        <f t="shared" ref="Q803:S803" si="807">IF(H803&gt;M$5, $G803, "")</f>
        <v/>
      </c>
      <c r="R803" s="13" t="str">
        <f t="shared" si="807"/>
        <v/>
      </c>
      <c r="S803" s="14" t="str">
        <f t="shared" si="807"/>
        <v/>
      </c>
    </row>
    <row r="804">
      <c r="G804" s="9" t="str">
        <f>IFERROR(__xludf.DUMMYFUNCTION("SPLIT(A804,"","")"),"#VALUE!")</f>
        <v>#VALUE!</v>
      </c>
      <c r="Q804" s="12" t="str">
        <f t="shared" ref="Q804:S804" si="808">IF(H804&gt;M$5, $G804, "")</f>
        <v/>
      </c>
      <c r="R804" s="13" t="str">
        <f t="shared" si="808"/>
        <v/>
      </c>
      <c r="S804" s="14" t="str">
        <f t="shared" si="808"/>
        <v/>
      </c>
    </row>
    <row r="805">
      <c r="G805" s="9" t="str">
        <f>IFERROR(__xludf.DUMMYFUNCTION("SPLIT(A805,"","")"),"#VALUE!")</f>
        <v>#VALUE!</v>
      </c>
      <c r="Q805" s="12" t="str">
        <f t="shared" ref="Q805:S805" si="809">IF(H805&gt;M$5, $G805, "")</f>
        <v/>
      </c>
      <c r="R805" s="13" t="str">
        <f t="shared" si="809"/>
        <v/>
      </c>
      <c r="S805" s="14" t="str">
        <f t="shared" si="809"/>
        <v/>
      </c>
    </row>
    <row r="806">
      <c r="G806" s="9" t="str">
        <f>IFERROR(__xludf.DUMMYFUNCTION("SPLIT(A806,"","")"),"#VALUE!")</f>
        <v>#VALUE!</v>
      </c>
      <c r="Q806" s="12" t="str">
        <f t="shared" ref="Q806:S806" si="810">IF(H806&gt;M$5, $G806, "")</f>
        <v/>
      </c>
      <c r="R806" s="13" t="str">
        <f t="shared" si="810"/>
        <v/>
      </c>
      <c r="S806" s="14" t="str">
        <f t="shared" si="810"/>
        <v/>
      </c>
    </row>
    <row r="807">
      <c r="G807" s="9" t="str">
        <f>IFERROR(__xludf.DUMMYFUNCTION("SPLIT(A807,"","")"),"#VALUE!")</f>
        <v>#VALUE!</v>
      </c>
      <c r="Q807" s="12" t="str">
        <f t="shared" ref="Q807:S807" si="811">IF(H807&gt;M$5, $G807, "")</f>
        <v/>
      </c>
      <c r="R807" s="13" t="str">
        <f t="shared" si="811"/>
        <v/>
      </c>
      <c r="S807" s="14" t="str">
        <f t="shared" si="811"/>
        <v/>
      </c>
    </row>
    <row r="808">
      <c r="G808" s="9" t="str">
        <f>IFERROR(__xludf.DUMMYFUNCTION("SPLIT(A808,"","")"),"#VALUE!")</f>
        <v>#VALUE!</v>
      </c>
      <c r="Q808" s="12" t="str">
        <f t="shared" ref="Q808:S808" si="812">IF(H808&gt;M$5, $G808, "")</f>
        <v/>
      </c>
      <c r="R808" s="13" t="str">
        <f t="shared" si="812"/>
        <v/>
      </c>
      <c r="S808" s="14" t="str">
        <f t="shared" si="812"/>
        <v/>
      </c>
    </row>
    <row r="809">
      <c r="G809" s="9" t="str">
        <f>IFERROR(__xludf.DUMMYFUNCTION("SPLIT(A809,"","")"),"#VALUE!")</f>
        <v>#VALUE!</v>
      </c>
      <c r="Q809" s="12" t="str">
        <f t="shared" ref="Q809:S809" si="813">IF(H809&gt;M$5, $G809, "")</f>
        <v/>
      </c>
      <c r="R809" s="13" t="str">
        <f t="shared" si="813"/>
        <v/>
      </c>
      <c r="S809" s="14" t="str">
        <f t="shared" si="813"/>
        <v/>
      </c>
    </row>
    <row r="810">
      <c r="G810" s="9" t="str">
        <f>IFERROR(__xludf.DUMMYFUNCTION("SPLIT(A810,"","")"),"#VALUE!")</f>
        <v>#VALUE!</v>
      </c>
      <c r="Q810" s="12" t="str">
        <f t="shared" ref="Q810:S810" si="814">IF(H810&gt;M$5, $G810, "")</f>
        <v/>
      </c>
      <c r="R810" s="13" t="str">
        <f t="shared" si="814"/>
        <v/>
      </c>
      <c r="S810" s="14" t="str">
        <f t="shared" si="814"/>
        <v/>
      </c>
    </row>
    <row r="811">
      <c r="G811" s="9" t="str">
        <f>IFERROR(__xludf.DUMMYFUNCTION("SPLIT(A811,"","")"),"#VALUE!")</f>
        <v>#VALUE!</v>
      </c>
      <c r="Q811" s="12" t="str">
        <f t="shared" ref="Q811:S811" si="815">IF(H811&gt;M$5, $G811, "")</f>
        <v/>
      </c>
      <c r="R811" s="13" t="str">
        <f t="shared" si="815"/>
        <v/>
      </c>
      <c r="S811" s="14" t="str">
        <f t="shared" si="815"/>
        <v/>
      </c>
    </row>
    <row r="812">
      <c r="G812" s="9" t="str">
        <f>IFERROR(__xludf.DUMMYFUNCTION("SPLIT(A812,"","")"),"#VALUE!")</f>
        <v>#VALUE!</v>
      </c>
      <c r="Q812" s="12" t="str">
        <f t="shared" ref="Q812:S812" si="816">IF(H812&gt;M$5, $G812, "")</f>
        <v/>
      </c>
      <c r="R812" s="13" t="str">
        <f t="shared" si="816"/>
        <v/>
      </c>
      <c r="S812" s="14" t="str">
        <f t="shared" si="816"/>
        <v/>
      </c>
    </row>
    <row r="813">
      <c r="G813" s="9" t="str">
        <f>IFERROR(__xludf.DUMMYFUNCTION("SPLIT(A813,"","")"),"#VALUE!")</f>
        <v>#VALUE!</v>
      </c>
      <c r="Q813" s="12" t="str">
        <f t="shared" ref="Q813:S813" si="817">IF(H813&gt;M$5, $G813, "")</f>
        <v/>
      </c>
      <c r="R813" s="13" t="str">
        <f t="shared" si="817"/>
        <v/>
      </c>
      <c r="S813" s="14" t="str">
        <f t="shared" si="817"/>
        <v/>
      </c>
    </row>
    <row r="814">
      <c r="G814" s="9" t="str">
        <f>IFERROR(__xludf.DUMMYFUNCTION("SPLIT(A814,"","")"),"#VALUE!")</f>
        <v>#VALUE!</v>
      </c>
      <c r="Q814" s="12" t="str">
        <f t="shared" ref="Q814:S814" si="818">IF(H814&gt;M$5, $G814, "")</f>
        <v/>
      </c>
      <c r="R814" s="13" t="str">
        <f t="shared" si="818"/>
        <v/>
      </c>
      <c r="S814" s="14" t="str">
        <f t="shared" si="818"/>
        <v/>
      </c>
    </row>
    <row r="815">
      <c r="G815" s="9" t="str">
        <f>IFERROR(__xludf.DUMMYFUNCTION("SPLIT(A815,"","")"),"#VALUE!")</f>
        <v>#VALUE!</v>
      </c>
      <c r="Q815" s="12" t="str">
        <f t="shared" ref="Q815:S815" si="819">IF(H815&gt;M$5, $G815, "")</f>
        <v/>
      </c>
      <c r="R815" s="13" t="str">
        <f t="shared" si="819"/>
        <v/>
      </c>
      <c r="S815" s="14" t="str">
        <f t="shared" si="819"/>
        <v/>
      </c>
    </row>
    <row r="816">
      <c r="G816" s="9" t="str">
        <f>IFERROR(__xludf.DUMMYFUNCTION("SPLIT(A816,"","")"),"#VALUE!")</f>
        <v>#VALUE!</v>
      </c>
      <c r="Q816" s="12" t="str">
        <f t="shared" ref="Q816:S816" si="820">IF(H816&gt;M$5, $G816, "")</f>
        <v/>
      </c>
      <c r="R816" s="13" t="str">
        <f t="shared" si="820"/>
        <v/>
      </c>
      <c r="S816" s="14" t="str">
        <f t="shared" si="820"/>
        <v/>
      </c>
    </row>
    <row r="817">
      <c r="G817" s="9" t="str">
        <f>IFERROR(__xludf.DUMMYFUNCTION("SPLIT(A817,"","")"),"#VALUE!")</f>
        <v>#VALUE!</v>
      </c>
      <c r="Q817" s="12" t="str">
        <f t="shared" ref="Q817:S817" si="821">IF(H817&gt;M$5, $G817, "")</f>
        <v/>
      </c>
      <c r="R817" s="13" t="str">
        <f t="shared" si="821"/>
        <v/>
      </c>
      <c r="S817" s="14" t="str">
        <f t="shared" si="821"/>
        <v/>
      </c>
    </row>
    <row r="818">
      <c r="G818" s="9" t="str">
        <f>IFERROR(__xludf.DUMMYFUNCTION("SPLIT(A818,"","")"),"#VALUE!")</f>
        <v>#VALUE!</v>
      </c>
      <c r="Q818" s="12" t="str">
        <f t="shared" ref="Q818:S818" si="822">IF(H818&gt;M$5, $G818, "")</f>
        <v/>
      </c>
      <c r="R818" s="13" t="str">
        <f t="shared" si="822"/>
        <v/>
      </c>
      <c r="S818" s="14" t="str">
        <f t="shared" si="822"/>
        <v/>
      </c>
    </row>
    <row r="819">
      <c r="G819" s="9" t="str">
        <f>IFERROR(__xludf.DUMMYFUNCTION("SPLIT(A819,"","")"),"#VALUE!")</f>
        <v>#VALUE!</v>
      </c>
      <c r="Q819" s="12" t="str">
        <f t="shared" ref="Q819:S819" si="823">IF(H819&gt;M$5, $G819, "")</f>
        <v/>
      </c>
      <c r="R819" s="13" t="str">
        <f t="shared" si="823"/>
        <v/>
      </c>
      <c r="S819" s="14" t="str">
        <f t="shared" si="823"/>
        <v/>
      </c>
    </row>
    <row r="820">
      <c r="G820" s="9" t="str">
        <f>IFERROR(__xludf.DUMMYFUNCTION("SPLIT(A820,"","")"),"#VALUE!")</f>
        <v>#VALUE!</v>
      </c>
      <c r="Q820" s="12" t="str">
        <f t="shared" ref="Q820:S820" si="824">IF(H820&gt;M$5, $G820, "")</f>
        <v/>
      </c>
      <c r="R820" s="13" t="str">
        <f t="shared" si="824"/>
        <v/>
      </c>
      <c r="S820" s="14" t="str">
        <f t="shared" si="824"/>
        <v/>
      </c>
    </row>
    <row r="821">
      <c r="G821" s="9" t="str">
        <f>IFERROR(__xludf.DUMMYFUNCTION("SPLIT(A821,"","")"),"#VALUE!")</f>
        <v>#VALUE!</v>
      </c>
      <c r="Q821" s="12" t="str">
        <f t="shared" ref="Q821:S821" si="825">IF(H821&gt;M$5, $G821, "")</f>
        <v/>
      </c>
      <c r="R821" s="13" t="str">
        <f t="shared" si="825"/>
        <v/>
      </c>
      <c r="S821" s="14" t="str">
        <f t="shared" si="825"/>
        <v/>
      </c>
    </row>
    <row r="822">
      <c r="G822" s="9" t="str">
        <f>IFERROR(__xludf.DUMMYFUNCTION("SPLIT(A822,"","")"),"#VALUE!")</f>
        <v>#VALUE!</v>
      </c>
      <c r="Q822" s="12" t="str">
        <f t="shared" ref="Q822:S822" si="826">IF(H822&gt;M$5, $G822, "")</f>
        <v/>
      </c>
      <c r="R822" s="13" t="str">
        <f t="shared" si="826"/>
        <v/>
      </c>
      <c r="S822" s="14" t="str">
        <f t="shared" si="826"/>
        <v/>
      </c>
    </row>
    <row r="823">
      <c r="G823" s="9" t="str">
        <f>IFERROR(__xludf.DUMMYFUNCTION("SPLIT(A823,"","")"),"#VALUE!")</f>
        <v>#VALUE!</v>
      </c>
      <c r="Q823" s="12" t="str">
        <f t="shared" ref="Q823:S823" si="827">IF(H823&gt;M$5, $G823, "")</f>
        <v/>
      </c>
      <c r="R823" s="13" t="str">
        <f t="shared" si="827"/>
        <v/>
      </c>
      <c r="S823" s="14" t="str">
        <f t="shared" si="827"/>
        <v/>
      </c>
    </row>
    <row r="824">
      <c r="G824" s="9" t="str">
        <f>IFERROR(__xludf.DUMMYFUNCTION("SPLIT(A824,"","")"),"#VALUE!")</f>
        <v>#VALUE!</v>
      </c>
      <c r="Q824" s="12" t="str">
        <f t="shared" ref="Q824:S824" si="828">IF(H824&gt;M$5, $G824, "")</f>
        <v/>
      </c>
      <c r="R824" s="13" t="str">
        <f t="shared" si="828"/>
        <v/>
      </c>
      <c r="S824" s="14" t="str">
        <f t="shared" si="828"/>
        <v/>
      </c>
    </row>
    <row r="825">
      <c r="G825" s="9" t="str">
        <f>IFERROR(__xludf.DUMMYFUNCTION("SPLIT(A825,"","")"),"#VALUE!")</f>
        <v>#VALUE!</v>
      </c>
      <c r="Q825" s="12" t="str">
        <f t="shared" ref="Q825:S825" si="829">IF(H825&gt;M$5, $G825, "")</f>
        <v/>
      </c>
      <c r="R825" s="13" t="str">
        <f t="shared" si="829"/>
        <v/>
      </c>
      <c r="S825" s="14" t="str">
        <f t="shared" si="829"/>
        <v/>
      </c>
    </row>
    <row r="826">
      <c r="G826" s="9" t="str">
        <f>IFERROR(__xludf.DUMMYFUNCTION("SPLIT(A826,"","")"),"#VALUE!")</f>
        <v>#VALUE!</v>
      </c>
      <c r="Q826" s="12" t="str">
        <f t="shared" ref="Q826:S826" si="830">IF(H826&gt;M$5, $G826, "")</f>
        <v/>
      </c>
      <c r="R826" s="13" t="str">
        <f t="shared" si="830"/>
        <v/>
      </c>
      <c r="S826" s="14" t="str">
        <f t="shared" si="830"/>
        <v/>
      </c>
    </row>
    <row r="827">
      <c r="G827" s="9" t="str">
        <f>IFERROR(__xludf.DUMMYFUNCTION("SPLIT(A827,"","")"),"#VALUE!")</f>
        <v>#VALUE!</v>
      </c>
      <c r="Q827" s="12" t="str">
        <f t="shared" ref="Q827:S827" si="831">IF(H827&gt;M$5, $G827, "")</f>
        <v/>
      </c>
      <c r="R827" s="13" t="str">
        <f t="shared" si="831"/>
        <v/>
      </c>
      <c r="S827" s="14" t="str">
        <f t="shared" si="831"/>
        <v/>
      </c>
    </row>
    <row r="828">
      <c r="G828" s="9" t="str">
        <f>IFERROR(__xludf.DUMMYFUNCTION("SPLIT(A828,"","")"),"#VALUE!")</f>
        <v>#VALUE!</v>
      </c>
      <c r="Q828" s="12" t="str">
        <f t="shared" ref="Q828:S828" si="832">IF(H828&gt;M$5, $G828, "")</f>
        <v/>
      </c>
      <c r="R828" s="13" t="str">
        <f t="shared" si="832"/>
        <v/>
      </c>
      <c r="S828" s="14" t="str">
        <f t="shared" si="832"/>
        <v/>
      </c>
    </row>
    <row r="829">
      <c r="G829" s="9" t="str">
        <f>IFERROR(__xludf.DUMMYFUNCTION("SPLIT(A829,"","")"),"#VALUE!")</f>
        <v>#VALUE!</v>
      </c>
      <c r="Q829" s="12" t="str">
        <f t="shared" ref="Q829:S829" si="833">IF(H829&gt;M$5, $G829, "")</f>
        <v/>
      </c>
      <c r="R829" s="13" t="str">
        <f t="shared" si="833"/>
        <v/>
      </c>
      <c r="S829" s="14" t="str">
        <f t="shared" si="833"/>
        <v/>
      </c>
    </row>
    <row r="830">
      <c r="G830" s="9" t="str">
        <f>IFERROR(__xludf.DUMMYFUNCTION("SPLIT(A830,"","")"),"#VALUE!")</f>
        <v>#VALUE!</v>
      </c>
      <c r="Q830" s="12" t="str">
        <f t="shared" ref="Q830:S830" si="834">IF(H830&gt;M$5, $G830, "")</f>
        <v/>
      </c>
      <c r="R830" s="13" t="str">
        <f t="shared" si="834"/>
        <v/>
      </c>
      <c r="S830" s="14" t="str">
        <f t="shared" si="834"/>
        <v/>
      </c>
    </row>
    <row r="831">
      <c r="G831" s="9" t="str">
        <f>IFERROR(__xludf.DUMMYFUNCTION("SPLIT(A831,"","")"),"#VALUE!")</f>
        <v>#VALUE!</v>
      </c>
      <c r="Q831" s="12" t="str">
        <f t="shared" ref="Q831:S831" si="835">IF(H831&gt;M$5, $G831, "")</f>
        <v/>
      </c>
      <c r="R831" s="13" t="str">
        <f t="shared" si="835"/>
        <v/>
      </c>
      <c r="S831" s="14" t="str">
        <f t="shared" si="835"/>
        <v/>
      </c>
    </row>
    <row r="832">
      <c r="G832" s="9" t="str">
        <f>IFERROR(__xludf.DUMMYFUNCTION("SPLIT(A832,"","")"),"#VALUE!")</f>
        <v>#VALUE!</v>
      </c>
      <c r="Q832" s="12" t="str">
        <f t="shared" ref="Q832:S832" si="836">IF(H832&gt;M$5, $G832, "")</f>
        <v/>
      </c>
      <c r="R832" s="13" t="str">
        <f t="shared" si="836"/>
        <v/>
      </c>
      <c r="S832" s="14" t="str">
        <f t="shared" si="836"/>
        <v/>
      </c>
    </row>
    <row r="833">
      <c r="G833" s="9" t="str">
        <f>IFERROR(__xludf.DUMMYFUNCTION("SPLIT(A833,"","")"),"#VALUE!")</f>
        <v>#VALUE!</v>
      </c>
      <c r="Q833" s="12" t="str">
        <f t="shared" ref="Q833:S833" si="837">IF(H833&gt;M$5, $G833, "")</f>
        <v/>
      </c>
      <c r="R833" s="13" t="str">
        <f t="shared" si="837"/>
        <v/>
      </c>
      <c r="S833" s="14" t="str">
        <f t="shared" si="837"/>
        <v/>
      </c>
    </row>
    <row r="834">
      <c r="G834" s="9" t="str">
        <f>IFERROR(__xludf.DUMMYFUNCTION("SPLIT(A834,"","")"),"#VALUE!")</f>
        <v>#VALUE!</v>
      </c>
      <c r="Q834" s="12" t="str">
        <f t="shared" ref="Q834:S834" si="838">IF(H834&gt;M$5, $G834, "")</f>
        <v/>
      </c>
      <c r="R834" s="13" t="str">
        <f t="shared" si="838"/>
        <v/>
      </c>
      <c r="S834" s="14" t="str">
        <f t="shared" si="838"/>
        <v/>
      </c>
    </row>
    <row r="835">
      <c r="G835" s="9" t="str">
        <f>IFERROR(__xludf.DUMMYFUNCTION("SPLIT(A835,"","")"),"#VALUE!")</f>
        <v>#VALUE!</v>
      </c>
      <c r="Q835" s="12" t="str">
        <f t="shared" ref="Q835:S835" si="839">IF(H835&gt;M$5, $G835, "")</f>
        <v/>
      </c>
      <c r="R835" s="13" t="str">
        <f t="shared" si="839"/>
        <v/>
      </c>
      <c r="S835" s="14" t="str">
        <f t="shared" si="839"/>
        <v/>
      </c>
    </row>
    <row r="836">
      <c r="G836" s="9" t="str">
        <f>IFERROR(__xludf.DUMMYFUNCTION("SPLIT(A836,"","")"),"#VALUE!")</f>
        <v>#VALUE!</v>
      </c>
      <c r="Q836" s="12" t="str">
        <f t="shared" ref="Q836:S836" si="840">IF(H836&gt;M$5, $G836, "")</f>
        <v/>
      </c>
      <c r="R836" s="13" t="str">
        <f t="shared" si="840"/>
        <v/>
      </c>
      <c r="S836" s="14" t="str">
        <f t="shared" si="840"/>
        <v/>
      </c>
    </row>
    <row r="837">
      <c r="G837" s="9" t="str">
        <f>IFERROR(__xludf.DUMMYFUNCTION("SPLIT(A837,"","")"),"#VALUE!")</f>
        <v>#VALUE!</v>
      </c>
      <c r="Q837" s="12" t="str">
        <f t="shared" ref="Q837:S837" si="841">IF(H837&gt;M$5, $G837, "")</f>
        <v/>
      </c>
      <c r="R837" s="13" t="str">
        <f t="shared" si="841"/>
        <v/>
      </c>
      <c r="S837" s="14" t="str">
        <f t="shared" si="841"/>
        <v/>
      </c>
    </row>
    <row r="838">
      <c r="G838" s="9" t="str">
        <f>IFERROR(__xludf.DUMMYFUNCTION("SPLIT(A838,"","")"),"#VALUE!")</f>
        <v>#VALUE!</v>
      </c>
      <c r="Q838" s="12" t="str">
        <f t="shared" ref="Q838:S838" si="842">IF(H838&gt;M$5, $G838, "")</f>
        <v/>
      </c>
      <c r="R838" s="13" t="str">
        <f t="shared" si="842"/>
        <v/>
      </c>
      <c r="S838" s="14" t="str">
        <f t="shared" si="842"/>
        <v/>
      </c>
    </row>
    <row r="839">
      <c r="G839" s="9" t="str">
        <f>IFERROR(__xludf.DUMMYFUNCTION("SPLIT(A839,"","")"),"#VALUE!")</f>
        <v>#VALUE!</v>
      </c>
      <c r="Q839" s="12" t="str">
        <f t="shared" ref="Q839:S839" si="843">IF(H839&gt;M$5, $G839, "")</f>
        <v/>
      </c>
      <c r="R839" s="13" t="str">
        <f t="shared" si="843"/>
        <v/>
      </c>
      <c r="S839" s="14" t="str">
        <f t="shared" si="843"/>
        <v/>
      </c>
    </row>
    <row r="840">
      <c r="G840" s="9" t="str">
        <f>IFERROR(__xludf.DUMMYFUNCTION("SPLIT(A840,"","")"),"#VALUE!")</f>
        <v>#VALUE!</v>
      </c>
      <c r="Q840" s="12" t="str">
        <f t="shared" ref="Q840:S840" si="844">IF(H840&gt;M$5, $G840, "")</f>
        <v/>
      </c>
      <c r="R840" s="13" t="str">
        <f t="shared" si="844"/>
        <v/>
      </c>
      <c r="S840" s="14" t="str">
        <f t="shared" si="844"/>
        <v/>
      </c>
    </row>
    <row r="841">
      <c r="G841" s="9" t="str">
        <f>IFERROR(__xludf.DUMMYFUNCTION("SPLIT(A841,"","")"),"#VALUE!")</f>
        <v>#VALUE!</v>
      </c>
      <c r="Q841" s="12" t="str">
        <f t="shared" ref="Q841:S841" si="845">IF(H841&gt;M$5, $G841, "")</f>
        <v/>
      </c>
      <c r="R841" s="13" t="str">
        <f t="shared" si="845"/>
        <v/>
      </c>
      <c r="S841" s="14" t="str">
        <f t="shared" si="845"/>
        <v/>
      </c>
    </row>
    <row r="842">
      <c r="G842" s="9" t="str">
        <f>IFERROR(__xludf.DUMMYFUNCTION("SPLIT(A842,"","")"),"#VALUE!")</f>
        <v>#VALUE!</v>
      </c>
      <c r="Q842" s="12" t="str">
        <f t="shared" ref="Q842:S842" si="846">IF(H842&gt;M$5, $G842, "")</f>
        <v/>
      </c>
      <c r="R842" s="13" t="str">
        <f t="shared" si="846"/>
        <v/>
      </c>
      <c r="S842" s="14" t="str">
        <f t="shared" si="846"/>
        <v/>
      </c>
    </row>
    <row r="843">
      <c r="G843" s="9" t="str">
        <f>IFERROR(__xludf.DUMMYFUNCTION("SPLIT(A843,"","")"),"#VALUE!")</f>
        <v>#VALUE!</v>
      </c>
      <c r="Q843" s="12" t="str">
        <f t="shared" ref="Q843:S843" si="847">IF(H843&gt;M$5, $G843, "")</f>
        <v/>
      </c>
      <c r="R843" s="13" t="str">
        <f t="shared" si="847"/>
        <v/>
      </c>
      <c r="S843" s="14" t="str">
        <f t="shared" si="847"/>
        <v/>
      </c>
    </row>
    <row r="844">
      <c r="G844" s="9" t="str">
        <f>IFERROR(__xludf.DUMMYFUNCTION("SPLIT(A844,"","")"),"#VALUE!")</f>
        <v>#VALUE!</v>
      </c>
      <c r="Q844" s="12" t="str">
        <f t="shared" ref="Q844:S844" si="848">IF(H844&gt;M$5, $G844, "")</f>
        <v/>
      </c>
      <c r="R844" s="13" t="str">
        <f t="shared" si="848"/>
        <v/>
      </c>
      <c r="S844" s="14" t="str">
        <f t="shared" si="848"/>
        <v/>
      </c>
    </row>
    <row r="845">
      <c r="G845" s="9" t="str">
        <f>IFERROR(__xludf.DUMMYFUNCTION("SPLIT(A845,"","")"),"#VALUE!")</f>
        <v>#VALUE!</v>
      </c>
      <c r="Q845" s="12" t="str">
        <f t="shared" ref="Q845:S845" si="849">IF(H845&gt;M$5, $G845, "")</f>
        <v/>
      </c>
      <c r="R845" s="13" t="str">
        <f t="shared" si="849"/>
        <v/>
      </c>
      <c r="S845" s="14" t="str">
        <f t="shared" si="849"/>
        <v/>
      </c>
    </row>
    <row r="846">
      <c r="G846" s="9" t="str">
        <f>IFERROR(__xludf.DUMMYFUNCTION("SPLIT(A846,"","")"),"#VALUE!")</f>
        <v>#VALUE!</v>
      </c>
      <c r="Q846" s="12" t="str">
        <f t="shared" ref="Q846:S846" si="850">IF(H846&gt;M$5, $G846, "")</f>
        <v/>
      </c>
      <c r="R846" s="13" t="str">
        <f t="shared" si="850"/>
        <v/>
      </c>
      <c r="S846" s="14" t="str">
        <f t="shared" si="850"/>
        <v/>
      </c>
    </row>
    <row r="847">
      <c r="G847" s="9" t="str">
        <f>IFERROR(__xludf.DUMMYFUNCTION("SPLIT(A847,"","")"),"#VALUE!")</f>
        <v>#VALUE!</v>
      </c>
      <c r="Q847" s="12" t="str">
        <f t="shared" ref="Q847:S847" si="851">IF(H847&gt;M$5, $G847, "")</f>
        <v/>
      </c>
      <c r="R847" s="13" t="str">
        <f t="shared" si="851"/>
        <v/>
      </c>
      <c r="S847" s="14" t="str">
        <f t="shared" si="851"/>
        <v/>
      </c>
    </row>
    <row r="848">
      <c r="G848" s="9" t="str">
        <f>IFERROR(__xludf.DUMMYFUNCTION("SPLIT(A848,"","")"),"#VALUE!")</f>
        <v>#VALUE!</v>
      </c>
      <c r="Q848" s="12" t="str">
        <f t="shared" ref="Q848:S848" si="852">IF(H848&gt;M$5, $G848, "")</f>
        <v/>
      </c>
      <c r="R848" s="13" t="str">
        <f t="shared" si="852"/>
        <v/>
      </c>
      <c r="S848" s="14" t="str">
        <f t="shared" si="852"/>
        <v/>
      </c>
    </row>
    <row r="849">
      <c r="G849" s="9" t="str">
        <f>IFERROR(__xludf.DUMMYFUNCTION("SPLIT(A849,"","")"),"#VALUE!")</f>
        <v>#VALUE!</v>
      </c>
      <c r="Q849" s="12" t="str">
        <f t="shared" ref="Q849:S849" si="853">IF(H849&gt;M$5, $G849, "")</f>
        <v/>
      </c>
      <c r="R849" s="13" t="str">
        <f t="shared" si="853"/>
        <v/>
      </c>
      <c r="S849" s="14" t="str">
        <f t="shared" si="853"/>
        <v/>
      </c>
    </row>
    <row r="850">
      <c r="G850" s="9" t="str">
        <f>IFERROR(__xludf.DUMMYFUNCTION("SPLIT(A850,"","")"),"#VALUE!")</f>
        <v>#VALUE!</v>
      </c>
      <c r="Q850" s="12" t="str">
        <f t="shared" ref="Q850:S850" si="854">IF(H850&gt;M$5, $G850, "")</f>
        <v/>
      </c>
      <c r="R850" s="13" t="str">
        <f t="shared" si="854"/>
        <v/>
      </c>
      <c r="S850" s="14" t="str">
        <f t="shared" si="854"/>
        <v/>
      </c>
    </row>
    <row r="851">
      <c r="G851" s="9" t="str">
        <f>IFERROR(__xludf.DUMMYFUNCTION("SPLIT(A851,"","")"),"#VALUE!")</f>
        <v>#VALUE!</v>
      </c>
      <c r="Q851" s="12" t="str">
        <f t="shared" ref="Q851:S851" si="855">IF(H851&gt;M$5, $G851, "")</f>
        <v/>
      </c>
      <c r="R851" s="13" t="str">
        <f t="shared" si="855"/>
        <v/>
      </c>
      <c r="S851" s="14" t="str">
        <f t="shared" si="855"/>
        <v/>
      </c>
    </row>
    <row r="852">
      <c r="G852" s="9" t="str">
        <f>IFERROR(__xludf.DUMMYFUNCTION("SPLIT(A852,"","")"),"#VALUE!")</f>
        <v>#VALUE!</v>
      </c>
      <c r="Q852" s="12" t="str">
        <f t="shared" ref="Q852:S852" si="856">IF(H852&gt;M$5, $G852, "")</f>
        <v/>
      </c>
      <c r="R852" s="13" t="str">
        <f t="shared" si="856"/>
        <v/>
      </c>
      <c r="S852" s="14" t="str">
        <f t="shared" si="856"/>
        <v/>
      </c>
    </row>
    <row r="853">
      <c r="G853" s="9" t="str">
        <f>IFERROR(__xludf.DUMMYFUNCTION("SPLIT(A853,"","")"),"#VALUE!")</f>
        <v>#VALUE!</v>
      </c>
      <c r="Q853" s="12" t="str">
        <f t="shared" ref="Q853:S853" si="857">IF(H853&gt;M$5, $G853, "")</f>
        <v/>
      </c>
      <c r="R853" s="13" t="str">
        <f t="shared" si="857"/>
        <v/>
      </c>
      <c r="S853" s="14" t="str">
        <f t="shared" si="857"/>
        <v/>
      </c>
    </row>
    <row r="854">
      <c r="G854" s="9" t="str">
        <f>IFERROR(__xludf.DUMMYFUNCTION("SPLIT(A854,"","")"),"#VALUE!")</f>
        <v>#VALUE!</v>
      </c>
      <c r="Q854" s="12" t="str">
        <f t="shared" ref="Q854:S854" si="858">IF(H854&gt;M$5, $G854, "")</f>
        <v/>
      </c>
      <c r="R854" s="13" t="str">
        <f t="shared" si="858"/>
        <v/>
      </c>
      <c r="S854" s="14" t="str">
        <f t="shared" si="858"/>
        <v/>
      </c>
    </row>
    <row r="855">
      <c r="G855" s="9" t="str">
        <f>IFERROR(__xludf.DUMMYFUNCTION("SPLIT(A855,"","")"),"#VALUE!")</f>
        <v>#VALUE!</v>
      </c>
      <c r="Q855" s="12" t="str">
        <f t="shared" ref="Q855:S855" si="859">IF(H855&gt;M$5, $G855, "")</f>
        <v/>
      </c>
      <c r="R855" s="13" t="str">
        <f t="shared" si="859"/>
        <v/>
      </c>
      <c r="S855" s="14" t="str">
        <f t="shared" si="859"/>
        <v/>
      </c>
    </row>
    <row r="856">
      <c r="G856" s="9" t="str">
        <f>IFERROR(__xludf.DUMMYFUNCTION("SPLIT(A856,"","")"),"#VALUE!")</f>
        <v>#VALUE!</v>
      </c>
      <c r="Q856" s="12" t="str">
        <f t="shared" ref="Q856:S856" si="860">IF(H856&gt;M$5, $G856, "")</f>
        <v/>
      </c>
      <c r="R856" s="13" t="str">
        <f t="shared" si="860"/>
        <v/>
      </c>
      <c r="S856" s="14" t="str">
        <f t="shared" si="860"/>
        <v/>
      </c>
    </row>
    <row r="857">
      <c r="G857" s="9" t="str">
        <f>IFERROR(__xludf.DUMMYFUNCTION("SPLIT(A857,"","")"),"#VALUE!")</f>
        <v>#VALUE!</v>
      </c>
      <c r="Q857" s="12" t="str">
        <f t="shared" ref="Q857:S857" si="861">IF(H857&gt;M$5, $G857, "")</f>
        <v/>
      </c>
      <c r="R857" s="13" t="str">
        <f t="shared" si="861"/>
        <v/>
      </c>
      <c r="S857" s="14" t="str">
        <f t="shared" si="861"/>
        <v/>
      </c>
    </row>
    <row r="858">
      <c r="G858" s="9" t="str">
        <f>IFERROR(__xludf.DUMMYFUNCTION("SPLIT(A858,"","")"),"#VALUE!")</f>
        <v>#VALUE!</v>
      </c>
      <c r="Q858" s="12" t="str">
        <f t="shared" ref="Q858:S858" si="862">IF(H858&gt;M$5, $G858, "")</f>
        <v/>
      </c>
      <c r="R858" s="13" t="str">
        <f t="shared" si="862"/>
        <v/>
      </c>
      <c r="S858" s="14" t="str">
        <f t="shared" si="862"/>
        <v/>
      </c>
    </row>
    <row r="859">
      <c r="G859" s="9" t="str">
        <f>IFERROR(__xludf.DUMMYFUNCTION("SPLIT(A859,"","")"),"#VALUE!")</f>
        <v>#VALUE!</v>
      </c>
      <c r="Q859" s="12" t="str">
        <f t="shared" ref="Q859:S859" si="863">IF(H859&gt;M$5, $G859, "")</f>
        <v/>
      </c>
      <c r="R859" s="13" t="str">
        <f t="shared" si="863"/>
        <v/>
      </c>
      <c r="S859" s="14" t="str">
        <f t="shared" si="863"/>
        <v/>
      </c>
    </row>
    <row r="860">
      <c r="G860" s="9" t="str">
        <f>IFERROR(__xludf.DUMMYFUNCTION("SPLIT(A860,"","")"),"#VALUE!")</f>
        <v>#VALUE!</v>
      </c>
      <c r="Q860" s="12" t="str">
        <f t="shared" ref="Q860:S860" si="864">IF(H860&gt;M$5, $G860, "")</f>
        <v/>
      </c>
      <c r="R860" s="13" t="str">
        <f t="shared" si="864"/>
        <v/>
      </c>
      <c r="S860" s="14" t="str">
        <f t="shared" si="864"/>
        <v/>
      </c>
    </row>
    <row r="861">
      <c r="G861" s="9" t="str">
        <f>IFERROR(__xludf.DUMMYFUNCTION("SPLIT(A861,"","")"),"#VALUE!")</f>
        <v>#VALUE!</v>
      </c>
      <c r="Q861" s="12" t="str">
        <f t="shared" ref="Q861:S861" si="865">IF(H861&gt;M$5, $G861, "")</f>
        <v/>
      </c>
      <c r="R861" s="13" t="str">
        <f t="shared" si="865"/>
        <v/>
      </c>
      <c r="S861" s="14" t="str">
        <f t="shared" si="865"/>
        <v/>
      </c>
    </row>
    <row r="862">
      <c r="G862" s="9" t="str">
        <f>IFERROR(__xludf.DUMMYFUNCTION("SPLIT(A862,"","")"),"#VALUE!")</f>
        <v>#VALUE!</v>
      </c>
      <c r="Q862" s="12" t="str">
        <f t="shared" ref="Q862:S862" si="866">IF(H862&gt;M$5, $G862, "")</f>
        <v/>
      </c>
      <c r="R862" s="13" t="str">
        <f t="shared" si="866"/>
        <v/>
      </c>
      <c r="S862" s="14" t="str">
        <f t="shared" si="866"/>
        <v/>
      </c>
    </row>
    <row r="863">
      <c r="G863" s="9" t="str">
        <f>IFERROR(__xludf.DUMMYFUNCTION("SPLIT(A863,"","")"),"#VALUE!")</f>
        <v>#VALUE!</v>
      </c>
      <c r="Q863" s="12" t="str">
        <f t="shared" ref="Q863:S863" si="867">IF(H863&gt;M$5, $G863, "")</f>
        <v/>
      </c>
      <c r="R863" s="13" t="str">
        <f t="shared" si="867"/>
        <v/>
      </c>
      <c r="S863" s="14" t="str">
        <f t="shared" si="867"/>
        <v/>
      </c>
    </row>
    <row r="864">
      <c r="G864" s="9" t="str">
        <f>IFERROR(__xludf.DUMMYFUNCTION("SPLIT(A864,"","")"),"#VALUE!")</f>
        <v>#VALUE!</v>
      </c>
      <c r="Q864" s="12" t="str">
        <f t="shared" ref="Q864:S864" si="868">IF(H864&gt;M$5, $G864, "")</f>
        <v/>
      </c>
      <c r="R864" s="13" t="str">
        <f t="shared" si="868"/>
        <v/>
      </c>
      <c r="S864" s="14" t="str">
        <f t="shared" si="868"/>
        <v/>
      </c>
    </row>
    <row r="865">
      <c r="G865" s="9" t="str">
        <f>IFERROR(__xludf.DUMMYFUNCTION("SPLIT(A865,"","")"),"#VALUE!")</f>
        <v>#VALUE!</v>
      </c>
      <c r="Q865" s="12" t="str">
        <f t="shared" ref="Q865:S865" si="869">IF(H865&gt;M$5, $G865, "")</f>
        <v/>
      </c>
      <c r="R865" s="13" t="str">
        <f t="shared" si="869"/>
        <v/>
      </c>
      <c r="S865" s="14" t="str">
        <f t="shared" si="869"/>
        <v/>
      </c>
    </row>
    <row r="866">
      <c r="G866" s="9" t="str">
        <f>IFERROR(__xludf.DUMMYFUNCTION("SPLIT(A866,"","")"),"#VALUE!")</f>
        <v>#VALUE!</v>
      </c>
      <c r="Q866" s="12" t="str">
        <f t="shared" ref="Q866:S866" si="870">IF(H866&gt;M$5, $G866, "")</f>
        <v/>
      </c>
      <c r="R866" s="13" t="str">
        <f t="shared" si="870"/>
        <v/>
      </c>
      <c r="S866" s="14" t="str">
        <f t="shared" si="870"/>
        <v/>
      </c>
    </row>
    <row r="867">
      <c r="G867" s="9" t="str">
        <f>IFERROR(__xludf.DUMMYFUNCTION("SPLIT(A867,"","")"),"#VALUE!")</f>
        <v>#VALUE!</v>
      </c>
      <c r="Q867" s="12" t="str">
        <f t="shared" ref="Q867:S867" si="871">IF(H867&gt;M$5, $G867, "")</f>
        <v/>
      </c>
      <c r="R867" s="13" t="str">
        <f t="shared" si="871"/>
        <v/>
      </c>
      <c r="S867" s="14" t="str">
        <f t="shared" si="871"/>
        <v/>
      </c>
    </row>
    <row r="868">
      <c r="G868" s="9" t="str">
        <f>IFERROR(__xludf.DUMMYFUNCTION("SPLIT(A868,"","")"),"#VALUE!")</f>
        <v>#VALUE!</v>
      </c>
      <c r="Q868" s="12" t="str">
        <f t="shared" ref="Q868:S868" si="872">IF(H868&gt;M$5, $G868, "")</f>
        <v/>
      </c>
      <c r="R868" s="13" t="str">
        <f t="shared" si="872"/>
        <v/>
      </c>
      <c r="S868" s="14" t="str">
        <f t="shared" si="872"/>
        <v/>
      </c>
    </row>
    <row r="869">
      <c r="G869" s="9" t="str">
        <f>IFERROR(__xludf.DUMMYFUNCTION("SPLIT(A869,"","")"),"#VALUE!")</f>
        <v>#VALUE!</v>
      </c>
      <c r="Q869" s="12" t="str">
        <f t="shared" ref="Q869:S869" si="873">IF(H869&gt;M$5, $G869, "")</f>
        <v/>
      </c>
      <c r="R869" s="13" t="str">
        <f t="shared" si="873"/>
        <v/>
      </c>
      <c r="S869" s="14" t="str">
        <f t="shared" si="873"/>
        <v/>
      </c>
    </row>
    <row r="870">
      <c r="G870" s="9" t="str">
        <f>IFERROR(__xludf.DUMMYFUNCTION("SPLIT(A870,"","")"),"#VALUE!")</f>
        <v>#VALUE!</v>
      </c>
      <c r="Q870" s="12" t="str">
        <f t="shared" ref="Q870:S870" si="874">IF(H870&gt;M$5, $G870, "")</f>
        <v/>
      </c>
      <c r="R870" s="13" t="str">
        <f t="shared" si="874"/>
        <v/>
      </c>
      <c r="S870" s="14" t="str">
        <f t="shared" si="874"/>
        <v/>
      </c>
    </row>
    <row r="871">
      <c r="G871" s="9" t="str">
        <f>IFERROR(__xludf.DUMMYFUNCTION("SPLIT(A871,"","")"),"#VALUE!")</f>
        <v>#VALUE!</v>
      </c>
      <c r="Q871" s="12" t="str">
        <f t="shared" ref="Q871:S871" si="875">IF(H871&gt;M$5, $G871, "")</f>
        <v/>
      </c>
      <c r="R871" s="13" t="str">
        <f t="shared" si="875"/>
        <v/>
      </c>
      <c r="S871" s="14" t="str">
        <f t="shared" si="875"/>
        <v/>
      </c>
    </row>
    <row r="872">
      <c r="G872" s="9" t="str">
        <f>IFERROR(__xludf.DUMMYFUNCTION("SPLIT(A872,"","")"),"#VALUE!")</f>
        <v>#VALUE!</v>
      </c>
      <c r="Q872" s="12" t="str">
        <f t="shared" ref="Q872:S872" si="876">IF(H872&gt;M$5, $G872, "")</f>
        <v/>
      </c>
      <c r="R872" s="13" t="str">
        <f t="shared" si="876"/>
        <v/>
      </c>
      <c r="S872" s="14" t="str">
        <f t="shared" si="876"/>
        <v/>
      </c>
    </row>
    <row r="873">
      <c r="G873" s="9" t="str">
        <f>IFERROR(__xludf.DUMMYFUNCTION("SPLIT(A873,"","")"),"#VALUE!")</f>
        <v>#VALUE!</v>
      </c>
      <c r="Q873" s="12" t="str">
        <f t="shared" ref="Q873:S873" si="877">IF(H873&gt;M$5, $G873, "")</f>
        <v/>
      </c>
      <c r="R873" s="13" t="str">
        <f t="shared" si="877"/>
        <v/>
      </c>
      <c r="S873" s="14" t="str">
        <f t="shared" si="877"/>
        <v/>
      </c>
    </row>
    <row r="874">
      <c r="G874" s="9" t="str">
        <f>IFERROR(__xludf.DUMMYFUNCTION("SPLIT(A874,"","")"),"#VALUE!")</f>
        <v>#VALUE!</v>
      </c>
      <c r="Q874" s="12" t="str">
        <f t="shared" ref="Q874:S874" si="878">IF(H874&gt;M$5, $G874, "")</f>
        <v/>
      </c>
      <c r="R874" s="13" t="str">
        <f t="shared" si="878"/>
        <v/>
      </c>
      <c r="S874" s="14" t="str">
        <f t="shared" si="878"/>
        <v/>
      </c>
    </row>
    <row r="875">
      <c r="G875" s="9" t="str">
        <f>IFERROR(__xludf.DUMMYFUNCTION("SPLIT(A875,"","")"),"#VALUE!")</f>
        <v>#VALUE!</v>
      </c>
      <c r="Q875" s="12" t="str">
        <f t="shared" ref="Q875:S875" si="879">IF(H875&gt;M$5, $G875, "")</f>
        <v/>
      </c>
      <c r="R875" s="13" t="str">
        <f t="shared" si="879"/>
        <v/>
      </c>
      <c r="S875" s="14" t="str">
        <f t="shared" si="879"/>
        <v/>
      </c>
    </row>
    <row r="876">
      <c r="G876" s="9" t="str">
        <f>IFERROR(__xludf.DUMMYFUNCTION("SPLIT(A876,"","")"),"#VALUE!")</f>
        <v>#VALUE!</v>
      </c>
      <c r="Q876" s="12" t="str">
        <f t="shared" ref="Q876:S876" si="880">IF(H876&gt;M$5, $G876, "")</f>
        <v/>
      </c>
      <c r="R876" s="13" t="str">
        <f t="shared" si="880"/>
        <v/>
      </c>
      <c r="S876" s="14" t="str">
        <f t="shared" si="880"/>
        <v/>
      </c>
    </row>
    <row r="877">
      <c r="G877" s="9" t="str">
        <f>IFERROR(__xludf.DUMMYFUNCTION("SPLIT(A877,"","")"),"#VALUE!")</f>
        <v>#VALUE!</v>
      </c>
      <c r="Q877" s="12" t="str">
        <f t="shared" ref="Q877:S877" si="881">IF(H877&gt;M$5, $G877, "")</f>
        <v/>
      </c>
      <c r="R877" s="13" t="str">
        <f t="shared" si="881"/>
        <v/>
      </c>
      <c r="S877" s="14" t="str">
        <f t="shared" si="881"/>
        <v/>
      </c>
    </row>
    <row r="878">
      <c r="G878" s="9" t="str">
        <f>IFERROR(__xludf.DUMMYFUNCTION("SPLIT(A878,"","")"),"#VALUE!")</f>
        <v>#VALUE!</v>
      </c>
      <c r="Q878" s="12" t="str">
        <f t="shared" ref="Q878:S878" si="882">IF(H878&gt;M$5, $G878, "")</f>
        <v/>
      </c>
      <c r="R878" s="13" t="str">
        <f t="shared" si="882"/>
        <v/>
      </c>
      <c r="S878" s="14" t="str">
        <f t="shared" si="882"/>
        <v/>
      </c>
    </row>
    <row r="879">
      <c r="G879" s="9" t="str">
        <f>IFERROR(__xludf.DUMMYFUNCTION("SPLIT(A879,"","")"),"#VALUE!")</f>
        <v>#VALUE!</v>
      </c>
      <c r="Q879" s="12" t="str">
        <f t="shared" ref="Q879:S879" si="883">IF(H879&gt;M$5, $G879, "")</f>
        <v/>
      </c>
      <c r="R879" s="13" t="str">
        <f t="shared" si="883"/>
        <v/>
      </c>
      <c r="S879" s="14" t="str">
        <f t="shared" si="883"/>
        <v/>
      </c>
    </row>
    <row r="880">
      <c r="G880" s="9" t="str">
        <f>IFERROR(__xludf.DUMMYFUNCTION("SPLIT(A880,"","")"),"#VALUE!")</f>
        <v>#VALUE!</v>
      </c>
      <c r="Q880" s="12" t="str">
        <f t="shared" ref="Q880:S880" si="884">IF(H880&gt;M$5, $G880, "")</f>
        <v/>
      </c>
      <c r="R880" s="13" t="str">
        <f t="shared" si="884"/>
        <v/>
      </c>
      <c r="S880" s="14" t="str">
        <f t="shared" si="884"/>
        <v/>
      </c>
    </row>
    <row r="881">
      <c r="G881" s="9" t="str">
        <f>IFERROR(__xludf.DUMMYFUNCTION("SPLIT(A881,"","")"),"#VALUE!")</f>
        <v>#VALUE!</v>
      </c>
      <c r="Q881" s="12" t="str">
        <f t="shared" ref="Q881:S881" si="885">IF(H881&gt;M$5, $G881, "")</f>
        <v/>
      </c>
      <c r="R881" s="13" t="str">
        <f t="shared" si="885"/>
        <v/>
      </c>
      <c r="S881" s="14" t="str">
        <f t="shared" si="885"/>
        <v/>
      </c>
    </row>
    <row r="882">
      <c r="G882" s="9" t="str">
        <f>IFERROR(__xludf.DUMMYFUNCTION("SPLIT(A882,"","")"),"#VALUE!")</f>
        <v>#VALUE!</v>
      </c>
      <c r="Q882" s="12" t="str">
        <f t="shared" ref="Q882:S882" si="886">IF(H882&gt;M$5, $G882, "")</f>
        <v/>
      </c>
      <c r="R882" s="13" t="str">
        <f t="shared" si="886"/>
        <v/>
      </c>
      <c r="S882" s="14" t="str">
        <f t="shared" si="886"/>
        <v/>
      </c>
    </row>
    <row r="883">
      <c r="G883" s="9" t="str">
        <f>IFERROR(__xludf.DUMMYFUNCTION("SPLIT(A883,"","")"),"#VALUE!")</f>
        <v>#VALUE!</v>
      </c>
      <c r="Q883" s="12" t="str">
        <f t="shared" ref="Q883:S883" si="887">IF(H883&gt;M$5, $G883, "")</f>
        <v/>
      </c>
      <c r="R883" s="13" t="str">
        <f t="shared" si="887"/>
        <v/>
      </c>
      <c r="S883" s="14" t="str">
        <f t="shared" si="887"/>
        <v/>
      </c>
    </row>
    <row r="884">
      <c r="G884" s="9" t="str">
        <f>IFERROR(__xludf.DUMMYFUNCTION("SPLIT(A884,"","")"),"#VALUE!")</f>
        <v>#VALUE!</v>
      </c>
      <c r="Q884" s="12" t="str">
        <f t="shared" ref="Q884:S884" si="888">IF(H884&gt;M$5, $G884, "")</f>
        <v/>
      </c>
      <c r="R884" s="13" t="str">
        <f t="shared" si="888"/>
        <v/>
      </c>
      <c r="S884" s="14" t="str">
        <f t="shared" si="888"/>
        <v/>
      </c>
    </row>
    <row r="885">
      <c r="G885" s="9" t="str">
        <f>IFERROR(__xludf.DUMMYFUNCTION("SPLIT(A885,"","")"),"#VALUE!")</f>
        <v>#VALUE!</v>
      </c>
      <c r="Q885" s="12" t="str">
        <f t="shared" ref="Q885:S885" si="889">IF(H885&gt;M$5, $G885, "")</f>
        <v/>
      </c>
      <c r="R885" s="13" t="str">
        <f t="shared" si="889"/>
        <v/>
      </c>
      <c r="S885" s="14" t="str">
        <f t="shared" si="889"/>
        <v/>
      </c>
    </row>
    <row r="886">
      <c r="G886" s="9" t="str">
        <f>IFERROR(__xludf.DUMMYFUNCTION("SPLIT(A886,"","")"),"#VALUE!")</f>
        <v>#VALUE!</v>
      </c>
      <c r="Q886" s="12" t="str">
        <f t="shared" ref="Q886:S886" si="890">IF(H886&gt;M$5, $G886, "")</f>
        <v/>
      </c>
      <c r="R886" s="13" t="str">
        <f t="shared" si="890"/>
        <v/>
      </c>
      <c r="S886" s="14" t="str">
        <f t="shared" si="890"/>
        <v/>
      </c>
    </row>
    <row r="887">
      <c r="G887" s="9" t="str">
        <f>IFERROR(__xludf.DUMMYFUNCTION("SPLIT(A887,"","")"),"#VALUE!")</f>
        <v>#VALUE!</v>
      </c>
      <c r="Q887" s="12" t="str">
        <f t="shared" ref="Q887:S887" si="891">IF(H887&gt;M$5, $G887, "")</f>
        <v/>
      </c>
      <c r="R887" s="13" t="str">
        <f t="shared" si="891"/>
        <v/>
      </c>
      <c r="S887" s="14" t="str">
        <f t="shared" si="891"/>
        <v/>
      </c>
    </row>
    <row r="888">
      <c r="G888" s="9" t="str">
        <f>IFERROR(__xludf.DUMMYFUNCTION("SPLIT(A888,"","")"),"#VALUE!")</f>
        <v>#VALUE!</v>
      </c>
      <c r="Q888" s="12" t="str">
        <f t="shared" ref="Q888:S888" si="892">IF(H888&gt;M$5, $G888, "")</f>
        <v/>
      </c>
      <c r="R888" s="13" t="str">
        <f t="shared" si="892"/>
        <v/>
      </c>
      <c r="S888" s="14" t="str">
        <f t="shared" si="892"/>
        <v/>
      </c>
    </row>
    <row r="889">
      <c r="G889" s="9" t="str">
        <f>IFERROR(__xludf.DUMMYFUNCTION("SPLIT(A889,"","")"),"#VALUE!")</f>
        <v>#VALUE!</v>
      </c>
      <c r="Q889" s="12" t="str">
        <f t="shared" ref="Q889:S889" si="893">IF(H889&gt;M$5, $G889, "")</f>
        <v/>
      </c>
      <c r="R889" s="13" t="str">
        <f t="shared" si="893"/>
        <v/>
      </c>
      <c r="S889" s="14" t="str">
        <f t="shared" si="893"/>
        <v/>
      </c>
    </row>
    <row r="890">
      <c r="G890" s="9" t="str">
        <f>IFERROR(__xludf.DUMMYFUNCTION("SPLIT(A890,"","")"),"#VALUE!")</f>
        <v>#VALUE!</v>
      </c>
      <c r="Q890" s="12" t="str">
        <f t="shared" ref="Q890:S890" si="894">IF(H890&gt;M$5, $G890, "")</f>
        <v/>
      </c>
      <c r="R890" s="13" t="str">
        <f t="shared" si="894"/>
        <v/>
      </c>
      <c r="S890" s="14" t="str">
        <f t="shared" si="894"/>
        <v/>
      </c>
    </row>
    <row r="891">
      <c r="G891" s="9" t="str">
        <f>IFERROR(__xludf.DUMMYFUNCTION("SPLIT(A891,"","")"),"#VALUE!")</f>
        <v>#VALUE!</v>
      </c>
      <c r="Q891" s="12" t="str">
        <f t="shared" ref="Q891:S891" si="895">IF(H891&gt;M$5, $G891, "")</f>
        <v/>
      </c>
      <c r="R891" s="13" t="str">
        <f t="shared" si="895"/>
        <v/>
      </c>
      <c r="S891" s="14" t="str">
        <f t="shared" si="895"/>
        <v/>
      </c>
    </row>
    <row r="892">
      <c r="G892" s="9" t="str">
        <f>IFERROR(__xludf.DUMMYFUNCTION("SPLIT(A892,"","")"),"#VALUE!")</f>
        <v>#VALUE!</v>
      </c>
      <c r="Q892" s="12" t="str">
        <f t="shared" ref="Q892:S892" si="896">IF(H892&gt;M$5, $G892, "")</f>
        <v/>
      </c>
      <c r="R892" s="13" t="str">
        <f t="shared" si="896"/>
        <v/>
      </c>
      <c r="S892" s="14" t="str">
        <f t="shared" si="896"/>
        <v/>
      </c>
    </row>
    <row r="893">
      <c r="G893" s="9" t="str">
        <f>IFERROR(__xludf.DUMMYFUNCTION("SPLIT(A893,"","")"),"#VALUE!")</f>
        <v>#VALUE!</v>
      </c>
      <c r="Q893" s="12" t="str">
        <f t="shared" ref="Q893:S893" si="897">IF(H893&gt;M$5, $G893, "")</f>
        <v/>
      </c>
      <c r="R893" s="13" t="str">
        <f t="shared" si="897"/>
        <v/>
      </c>
      <c r="S893" s="14" t="str">
        <f t="shared" si="897"/>
        <v/>
      </c>
    </row>
    <row r="894">
      <c r="G894" s="9" t="str">
        <f>IFERROR(__xludf.DUMMYFUNCTION("SPLIT(A894,"","")"),"#VALUE!")</f>
        <v>#VALUE!</v>
      </c>
      <c r="Q894" s="12" t="str">
        <f t="shared" ref="Q894:S894" si="898">IF(H894&gt;M$5, $G894, "")</f>
        <v/>
      </c>
      <c r="R894" s="13" t="str">
        <f t="shared" si="898"/>
        <v/>
      </c>
      <c r="S894" s="14" t="str">
        <f t="shared" si="898"/>
        <v/>
      </c>
    </row>
    <row r="895">
      <c r="G895" s="9" t="str">
        <f>IFERROR(__xludf.DUMMYFUNCTION("SPLIT(A895,"","")"),"#VALUE!")</f>
        <v>#VALUE!</v>
      </c>
      <c r="Q895" s="12" t="str">
        <f t="shared" ref="Q895:S895" si="899">IF(H895&gt;M$5, $G895, "")</f>
        <v/>
      </c>
      <c r="R895" s="13" t="str">
        <f t="shared" si="899"/>
        <v/>
      </c>
      <c r="S895" s="14" t="str">
        <f t="shared" si="899"/>
        <v/>
      </c>
    </row>
    <row r="896">
      <c r="G896" s="9" t="str">
        <f>IFERROR(__xludf.DUMMYFUNCTION("SPLIT(A896,"","")"),"#VALUE!")</f>
        <v>#VALUE!</v>
      </c>
      <c r="Q896" s="12" t="str">
        <f t="shared" ref="Q896:S896" si="900">IF(H896&gt;M$5, $G896, "")</f>
        <v/>
      </c>
      <c r="R896" s="13" t="str">
        <f t="shared" si="900"/>
        <v/>
      </c>
      <c r="S896" s="14" t="str">
        <f t="shared" si="900"/>
        <v/>
      </c>
    </row>
    <row r="897">
      <c r="G897" s="9" t="str">
        <f>IFERROR(__xludf.DUMMYFUNCTION("SPLIT(A897,"","")"),"#VALUE!")</f>
        <v>#VALUE!</v>
      </c>
      <c r="Q897" s="12" t="str">
        <f t="shared" ref="Q897:S897" si="901">IF(H897&gt;M$5, $G897, "")</f>
        <v/>
      </c>
      <c r="R897" s="13" t="str">
        <f t="shared" si="901"/>
        <v/>
      </c>
      <c r="S897" s="14" t="str">
        <f t="shared" si="901"/>
        <v/>
      </c>
    </row>
    <row r="898">
      <c r="G898" s="9" t="str">
        <f>IFERROR(__xludf.DUMMYFUNCTION("SPLIT(A898,"","")"),"#VALUE!")</f>
        <v>#VALUE!</v>
      </c>
      <c r="Q898" s="12" t="str">
        <f t="shared" ref="Q898:S898" si="902">IF(H898&gt;M$5, $G898, "")</f>
        <v/>
      </c>
      <c r="R898" s="13" t="str">
        <f t="shared" si="902"/>
        <v/>
      </c>
      <c r="S898" s="14" t="str">
        <f t="shared" si="902"/>
        <v/>
      </c>
    </row>
    <row r="899">
      <c r="G899" s="9" t="str">
        <f>IFERROR(__xludf.DUMMYFUNCTION("SPLIT(A899,"","")"),"#VALUE!")</f>
        <v>#VALUE!</v>
      </c>
      <c r="Q899" s="12" t="str">
        <f t="shared" ref="Q899:S899" si="903">IF(H899&gt;M$5, $G899, "")</f>
        <v/>
      </c>
      <c r="R899" s="13" t="str">
        <f t="shared" si="903"/>
        <v/>
      </c>
      <c r="S899" s="14" t="str">
        <f t="shared" si="903"/>
        <v/>
      </c>
    </row>
    <row r="900">
      <c r="G900" s="9" t="str">
        <f>IFERROR(__xludf.DUMMYFUNCTION("SPLIT(A900,"","")"),"#VALUE!")</f>
        <v>#VALUE!</v>
      </c>
      <c r="Q900" s="12" t="str">
        <f t="shared" ref="Q900:S900" si="904">IF(H900&gt;M$5, $G900, "")</f>
        <v/>
      </c>
      <c r="R900" s="13" t="str">
        <f t="shared" si="904"/>
        <v/>
      </c>
      <c r="S900" s="14" t="str">
        <f t="shared" si="904"/>
        <v/>
      </c>
    </row>
    <row r="901">
      <c r="G901" s="9" t="str">
        <f>IFERROR(__xludf.DUMMYFUNCTION("SPLIT(A901,"","")"),"#VALUE!")</f>
        <v>#VALUE!</v>
      </c>
      <c r="Q901" s="12" t="str">
        <f t="shared" ref="Q901:S901" si="905">IF(H901&gt;M$5, $G901, "")</f>
        <v/>
      </c>
      <c r="R901" s="13" t="str">
        <f t="shared" si="905"/>
        <v/>
      </c>
      <c r="S901" s="14" t="str">
        <f t="shared" si="905"/>
        <v/>
      </c>
    </row>
    <row r="902">
      <c r="G902" s="9" t="str">
        <f>IFERROR(__xludf.DUMMYFUNCTION("SPLIT(A902,"","")"),"#VALUE!")</f>
        <v>#VALUE!</v>
      </c>
      <c r="Q902" s="12" t="str">
        <f t="shared" ref="Q902:S902" si="906">IF(H902&gt;M$5, $G902, "")</f>
        <v/>
      </c>
      <c r="R902" s="13" t="str">
        <f t="shared" si="906"/>
        <v/>
      </c>
      <c r="S902" s="14" t="str">
        <f t="shared" si="906"/>
        <v/>
      </c>
    </row>
    <row r="903">
      <c r="G903" s="9" t="str">
        <f>IFERROR(__xludf.DUMMYFUNCTION("SPLIT(A903,"","")"),"#VALUE!")</f>
        <v>#VALUE!</v>
      </c>
      <c r="Q903" s="12" t="str">
        <f t="shared" ref="Q903:S903" si="907">IF(H903&gt;M$5, $G903, "")</f>
        <v/>
      </c>
      <c r="R903" s="13" t="str">
        <f t="shared" si="907"/>
        <v/>
      </c>
      <c r="S903" s="14" t="str">
        <f t="shared" si="907"/>
        <v/>
      </c>
    </row>
    <row r="904">
      <c r="G904" s="9" t="str">
        <f>IFERROR(__xludf.DUMMYFUNCTION("SPLIT(A904,"","")"),"#VALUE!")</f>
        <v>#VALUE!</v>
      </c>
      <c r="Q904" s="12" t="str">
        <f t="shared" ref="Q904:S904" si="908">IF(H904&gt;M$5, $G904, "")</f>
        <v/>
      </c>
      <c r="R904" s="13" t="str">
        <f t="shared" si="908"/>
        <v/>
      </c>
      <c r="S904" s="14" t="str">
        <f t="shared" si="908"/>
        <v/>
      </c>
    </row>
    <row r="905">
      <c r="G905" s="9" t="str">
        <f>IFERROR(__xludf.DUMMYFUNCTION("SPLIT(A905,"","")"),"#VALUE!")</f>
        <v>#VALUE!</v>
      </c>
      <c r="Q905" s="12" t="str">
        <f t="shared" ref="Q905:S905" si="909">IF(H905&gt;M$5, $G905, "")</f>
        <v/>
      </c>
      <c r="R905" s="13" t="str">
        <f t="shared" si="909"/>
        <v/>
      </c>
      <c r="S905" s="14" t="str">
        <f t="shared" si="909"/>
        <v/>
      </c>
    </row>
    <row r="906">
      <c r="G906" s="9" t="str">
        <f>IFERROR(__xludf.DUMMYFUNCTION("SPLIT(A906,"","")"),"#VALUE!")</f>
        <v>#VALUE!</v>
      </c>
      <c r="Q906" s="12" t="str">
        <f t="shared" ref="Q906:S906" si="910">IF(H906&gt;M$5, $G906, "")</f>
        <v/>
      </c>
      <c r="R906" s="13" t="str">
        <f t="shared" si="910"/>
        <v/>
      </c>
      <c r="S906" s="14" t="str">
        <f t="shared" si="910"/>
        <v/>
      </c>
    </row>
    <row r="907">
      <c r="G907" s="9" t="str">
        <f>IFERROR(__xludf.DUMMYFUNCTION("SPLIT(A907,"","")"),"#VALUE!")</f>
        <v>#VALUE!</v>
      </c>
      <c r="Q907" s="12" t="str">
        <f t="shared" ref="Q907:S907" si="911">IF(H907&gt;M$5, $G907, "")</f>
        <v/>
      </c>
      <c r="R907" s="13" t="str">
        <f t="shared" si="911"/>
        <v/>
      </c>
      <c r="S907" s="14" t="str">
        <f t="shared" si="911"/>
        <v/>
      </c>
    </row>
    <row r="908">
      <c r="G908" s="9" t="str">
        <f>IFERROR(__xludf.DUMMYFUNCTION("SPLIT(A908,"","")"),"#VALUE!")</f>
        <v>#VALUE!</v>
      </c>
      <c r="Q908" s="12" t="str">
        <f t="shared" ref="Q908:S908" si="912">IF(H908&gt;M$5, $G908, "")</f>
        <v/>
      </c>
      <c r="R908" s="13" t="str">
        <f t="shared" si="912"/>
        <v/>
      </c>
      <c r="S908" s="14" t="str">
        <f t="shared" si="912"/>
        <v/>
      </c>
    </row>
    <row r="909">
      <c r="G909" s="9" t="str">
        <f>IFERROR(__xludf.DUMMYFUNCTION("SPLIT(A909,"","")"),"#VALUE!")</f>
        <v>#VALUE!</v>
      </c>
      <c r="Q909" s="12" t="str">
        <f t="shared" ref="Q909:S909" si="913">IF(H909&gt;M$5, $G909, "")</f>
        <v/>
      </c>
      <c r="R909" s="13" t="str">
        <f t="shared" si="913"/>
        <v/>
      </c>
      <c r="S909" s="14" t="str">
        <f t="shared" si="913"/>
        <v/>
      </c>
    </row>
    <row r="910">
      <c r="G910" s="9" t="str">
        <f>IFERROR(__xludf.DUMMYFUNCTION("SPLIT(A910,"","")"),"#VALUE!")</f>
        <v>#VALUE!</v>
      </c>
      <c r="Q910" s="12" t="str">
        <f t="shared" ref="Q910:S910" si="914">IF(H910&gt;M$5, $G910, "")</f>
        <v/>
      </c>
      <c r="R910" s="13" t="str">
        <f t="shared" si="914"/>
        <v/>
      </c>
      <c r="S910" s="14" t="str">
        <f t="shared" si="914"/>
        <v/>
      </c>
    </row>
    <row r="911">
      <c r="G911" s="9" t="str">
        <f>IFERROR(__xludf.DUMMYFUNCTION("SPLIT(A911,"","")"),"#VALUE!")</f>
        <v>#VALUE!</v>
      </c>
      <c r="Q911" s="12" t="str">
        <f t="shared" ref="Q911:S911" si="915">IF(H911&gt;M$5, $G911, "")</f>
        <v/>
      </c>
      <c r="R911" s="13" t="str">
        <f t="shared" si="915"/>
        <v/>
      </c>
      <c r="S911" s="14" t="str">
        <f t="shared" si="915"/>
        <v/>
      </c>
    </row>
    <row r="912">
      <c r="G912" s="9" t="str">
        <f>IFERROR(__xludf.DUMMYFUNCTION("SPLIT(A912,"","")"),"#VALUE!")</f>
        <v>#VALUE!</v>
      </c>
      <c r="Q912" s="12" t="str">
        <f t="shared" ref="Q912:S912" si="916">IF(H912&gt;M$5, $G912, "")</f>
        <v/>
      </c>
      <c r="R912" s="13" t="str">
        <f t="shared" si="916"/>
        <v/>
      </c>
      <c r="S912" s="14" t="str">
        <f t="shared" si="916"/>
        <v/>
      </c>
    </row>
    <row r="913">
      <c r="G913" s="9" t="str">
        <f>IFERROR(__xludf.DUMMYFUNCTION("SPLIT(A913,"","")"),"#VALUE!")</f>
        <v>#VALUE!</v>
      </c>
      <c r="Q913" s="12" t="str">
        <f t="shared" ref="Q913:S913" si="917">IF(H913&gt;M$5, $G913, "")</f>
        <v/>
      </c>
      <c r="R913" s="13" t="str">
        <f t="shared" si="917"/>
        <v/>
      </c>
      <c r="S913" s="14" t="str">
        <f t="shared" si="917"/>
        <v/>
      </c>
    </row>
    <row r="914">
      <c r="G914" s="9" t="str">
        <f>IFERROR(__xludf.DUMMYFUNCTION("SPLIT(A914,"","")"),"#VALUE!")</f>
        <v>#VALUE!</v>
      </c>
      <c r="Q914" s="12" t="str">
        <f t="shared" ref="Q914:S914" si="918">IF(H914&gt;M$5, $G914, "")</f>
        <v/>
      </c>
      <c r="R914" s="13" t="str">
        <f t="shared" si="918"/>
        <v/>
      </c>
      <c r="S914" s="14" t="str">
        <f t="shared" si="918"/>
        <v/>
      </c>
    </row>
    <row r="915">
      <c r="G915" s="9" t="str">
        <f>IFERROR(__xludf.DUMMYFUNCTION("SPLIT(A915,"","")"),"#VALUE!")</f>
        <v>#VALUE!</v>
      </c>
      <c r="Q915" s="12" t="str">
        <f t="shared" ref="Q915:S915" si="919">IF(H915&gt;M$5, $G915, "")</f>
        <v/>
      </c>
      <c r="R915" s="13" t="str">
        <f t="shared" si="919"/>
        <v/>
      </c>
      <c r="S915" s="14" t="str">
        <f t="shared" si="919"/>
        <v/>
      </c>
    </row>
    <row r="916">
      <c r="G916" s="9" t="str">
        <f>IFERROR(__xludf.DUMMYFUNCTION("SPLIT(A916,"","")"),"#VALUE!")</f>
        <v>#VALUE!</v>
      </c>
      <c r="Q916" s="12" t="str">
        <f t="shared" ref="Q916:S916" si="920">IF(H916&gt;M$5, $G916, "")</f>
        <v/>
      </c>
      <c r="R916" s="13" t="str">
        <f t="shared" si="920"/>
        <v/>
      </c>
      <c r="S916" s="14" t="str">
        <f t="shared" si="920"/>
        <v/>
      </c>
    </row>
    <row r="917">
      <c r="G917" s="9" t="str">
        <f>IFERROR(__xludf.DUMMYFUNCTION("SPLIT(A917,"","")"),"#VALUE!")</f>
        <v>#VALUE!</v>
      </c>
      <c r="Q917" s="12" t="str">
        <f t="shared" ref="Q917:S917" si="921">IF(H917&gt;M$5, $G917, "")</f>
        <v/>
      </c>
      <c r="R917" s="13" t="str">
        <f t="shared" si="921"/>
        <v/>
      </c>
      <c r="S917" s="14" t="str">
        <f t="shared" si="921"/>
        <v/>
      </c>
    </row>
    <row r="918">
      <c r="G918" s="9" t="str">
        <f>IFERROR(__xludf.DUMMYFUNCTION("SPLIT(A918,"","")"),"#VALUE!")</f>
        <v>#VALUE!</v>
      </c>
      <c r="Q918" s="12" t="str">
        <f t="shared" ref="Q918:S918" si="922">IF(H918&gt;M$5, $G918, "")</f>
        <v/>
      </c>
      <c r="R918" s="13" t="str">
        <f t="shared" si="922"/>
        <v/>
      </c>
      <c r="S918" s="14" t="str">
        <f t="shared" si="922"/>
        <v/>
      </c>
    </row>
    <row r="919">
      <c r="G919" s="9" t="str">
        <f>IFERROR(__xludf.DUMMYFUNCTION("SPLIT(A919,"","")"),"#VALUE!")</f>
        <v>#VALUE!</v>
      </c>
      <c r="Q919" s="12" t="str">
        <f t="shared" ref="Q919:S919" si="923">IF(H919&gt;M$5, $G919, "")</f>
        <v/>
      </c>
      <c r="R919" s="13" t="str">
        <f t="shared" si="923"/>
        <v/>
      </c>
      <c r="S919" s="14" t="str">
        <f t="shared" si="923"/>
        <v/>
      </c>
    </row>
    <row r="920">
      <c r="G920" s="9" t="str">
        <f>IFERROR(__xludf.DUMMYFUNCTION("SPLIT(A920,"","")"),"#VALUE!")</f>
        <v>#VALUE!</v>
      </c>
      <c r="Q920" s="12" t="str">
        <f t="shared" ref="Q920:S920" si="924">IF(H920&gt;M$5, $G920, "")</f>
        <v/>
      </c>
      <c r="R920" s="13" t="str">
        <f t="shared" si="924"/>
        <v/>
      </c>
      <c r="S920" s="14" t="str">
        <f t="shared" si="924"/>
        <v/>
      </c>
    </row>
    <row r="921">
      <c r="G921" s="9" t="str">
        <f>IFERROR(__xludf.DUMMYFUNCTION("SPLIT(A921,"","")"),"#VALUE!")</f>
        <v>#VALUE!</v>
      </c>
      <c r="Q921" s="12" t="str">
        <f t="shared" ref="Q921:S921" si="925">IF(H921&gt;M$5, $G921, "")</f>
        <v/>
      </c>
      <c r="R921" s="13" t="str">
        <f t="shared" si="925"/>
        <v/>
      </c>
      <c r="S921" s="14" t="str">
        <f t="shared" si="925"/>
        <v/>
      </c>
    </row>
    <row r="922">
      <c r="G922" s="9" t="str">
        <f>IFERROR(__xludf.DUMMYFUNCTION("SPLIT(A922,"","")"),"#VALUE!")</f>
        <v>#VALUE!</v>
      </c>
      <c r="Q922" s="12" t="str">
        <f t="shared" ref="Q922:S922" si="926">IF(H922&gt;M$5, $G922, "")</f>
        <v/>
      </c>
      <c r="R922" s="13" t="str">
        <f t="shared" si="926"/>
        <v/>
      </c>
      <c r="S922" s="14" t="str">
        <f t="shared" si="926"/>
        <v/>
      </c>
    </row>
    <row r="923">
      <c r="G923" s="9" t="str">
        <f>IFERROR(__xludf.DUMMYFUNCTION("SPLIT(A923,"","")"),"#VALUE!")</f>
        <v>#VALUE!</v>
      </c>
      <c r="Q923" s="12" t="str">
        <f t="shared" ref="Q923:S923" si="927">IF(H923&gt;M$5, $G923, "")</f>
        <v/>
      </c>
      <c r="R923" s="13" t="str">
        <f t="shared" si="927"/>
        <v/>
      </c>
      <c r="S923" s="14" t="str">
        <f t="shared" si="927"/>
        <v/>
      </c>
    </row>
    <row r="924">
      <c r="G924" s="9" t="str">
        <f>IFERROR(__xludf.DUMMYFUNCTION("SPLIT(A924,"","")"),"#VALUE!")</f>
        <v>#VALUE!</v>
      </c>
      <c r="Q924" s="12" t="str">
        <f t="shared" ref="Q924:S924" si="928">IF(H924&gt;M$5, $G924, "")</f>
        <v/>
      </c>
      <c r="R924" s="13" t="str">
        <f t="shared" si="928"/>
        <v/>
      </c>
      <c r="S924" s="14" t="str">
        <f t="shared" si="928"/>
        <v/>
      </c>
    </row>
    <row r="925">
      <c r="G925" s="9" t="str">
        <f>IFERROR(__xludf.DUMMYFUNCTION("SPLIT(A925,"","")"),"#VALUE!")</f>
        <v>#VALUE!</v>
      </c>
      <c r="Q925" s="12" t="str">
        <f t="shared" ref="Q925:S925" si="929">IF(H925&gt;M$5, $G925, "")</f>
        <v/>
      </c>
      <c r="R925" s="13" t="str">
        <f t="shared" si="929"/>
        <v/>
      </c>
      <c r="S925" s="14" t="str">
        <f t="shared" si="929"/>
        <v/>
      </c>
    </row>
    <row r="926">
      <c r="G926" s="9" t="str">
        <f>IFERROR(__xludf.DUMMYFUNCTION("SPLIT(A926,"","")"),"#VALUE!")</f>
        <v>#VALUE!</v>
      </c>
      <c r="Q926" s="12" t="str">
        <f t="shared" ref="Q926:S926" si="930">IF(H926&gt;M$5, $G926, "")</f>
        <v/>
      </c>
      <c r="R926" s="13" t="str">
        <f t="shared" si="930"/>
        <v/>
      </c>
      <c r="S926" s="14" t="str">
        <f t="shared" si="930"/>
        <v/>
      </c>
    </row>
    <row r="927">
      <c r="G927" s="9" t="str">
        <f>IFERROR(__xludf.DUMMYFUNCTION("SPLIT(A927,"","")"),"#VALUE!")</f>
        <v>#VALUE!</v>
      </c>
      <c r="Q927" s="12" t="str">
        <f t="shared" ref="Q927:S927" si="931">IF(H927&gt;M$5, $G927, "")</f>
        <v/>
      </c>
      <c r="R927" s="13" t="str">
        <f t="shared" si="931"/>
        <v/>
      </c>
      <c r="S927" s="14" t="str">
        <f t="shared" si="931"/>
        <v/>
      </c>
    </row>
    <row r="928">
      <c r="G928" s="9" t="str">
        <f>IFERROR(__xludf.DUMMYFUNCTION("SPLIT(A928,"","")"),"#VALUE!")</f>
        <v>#VALUE!</v>
      </c>
      <c r="Q928" s="12" t="str">
        <f t="shared" ref="Q928:S928" si="932">IF(H928&gt;M$5, $G928, "")</f>
        <v/>
      </c>
      <c r="R928" s="13" t="str">
        <f t="shared" si="932"/>
        <v/>
      </c>
      <c r="S928" s="14" t="str">
        <f t="shared" si="932"/>
        <v/>
      </c>
    </row>
    <row r="929">
      <c r="G929" s="9" t="str">
        <f>IFERROR(__xludf.DUMMYFUNCTION("SPLIT(A929,"","")"),"#VALUE!")</f>
        <v>#VALUE!</v>
      </c>
      <c r="Q929" s="12" t="str">
        <f t="shared" ref="Q929:S929" si="933">IF(H929&gt;M$5, $G929, "")</f>
        <v/>
      </c>
      <c r="R929" s="13" t="str">
        <f t="shared" si="933"/>
        <v/>
      </c>
      <c r="S929" s="14" t="str">
        <f t="shared" si="933"/>
        <v/>
      </c>
    </row>
    <row r="930">
      <c r="G930" s="9" t="str">
        <f>IFERROR(__xludf.DUMMYFUNCTION("SPLIT(A930,"","")"),"#VALUE!")</f>
        <v>#VALUE!</v>
      </c>
      <c r="Q930" s="12" t="str">
        <f t="shared" ref="Q930:S930" si="934">IF(H930&gt;M$5, $G930, "")</f>
        <v/>
      </c>
      <c r="R930" s="13" t="str">
        <f t="shared" si="934"/>
        <v/>
      </c>
      <c r="S930" s="14" t="str">
        <f t="shared" si="934"/>
        <v/>
      </c>
    </row>
    <row r="931">
      <c r="G931" s="9" t="str">
        <f>IFERROR(__xludf.DUMMYFUNCTION("SPLIT(A931,"","")"),"#VALUE!")</f>
        <v>#VALUE!</v>
      </c>
      <c r="Q931" s="12" t="str">
        <f t="shared" ref="Q931:S931" si="935">IF(H931&gt;M$5, $G931, "")</f>
        <v/>
      </c>
      <c r="R931" s="13" t="str">
        <f t="shared" si="935"/>
        <v/>
      </c>
      <c r="S931" s="14" t="str">
        <f t="shared" si="935"/>
        <v/>
      </c>
    </row>
    <row r="932">
      <c r="G932" s="9" t="str">
        <f>IFERROR(__xludf.DUMMYFUNCTION("SPLIT(A932,"","")"),"#VALUE!")</f>
        <v>#VALUE!</v>
      </c>
      <c r="Q932" s="12" t="str">
        <f t="shared" ref="Q932:S932" si="936">IF(H932&gt;M$5, $G932, "")</f>
        <v/>
      </c>
      <c r="R932" s="13" t="str">
        <f t="shared" si="936"/>
        <v/>
      </c>
      <c r="S932" s="14" t="str">
        <f t="shared" si="936"/>
        <v/>
      </c>
    </row>
    <row r="933">
      <c r="G933" s="9" t="str">
        <f>IFERROR(__xludf.DUMMYFUNCTION("SPLIT(A933,"","")"),"#VALUE!")</f>
        <v>#VALUE!</v>
      </c>
      <c r="Q933" s="12" t="str">
        <f t="shared" ref="Q933:S933" si="937">IF(H933&gt;M$5, $G933, "")</f>
        <v/>
      </c>
      <c r="R933" s="13" t="str">
        <f t="shared" si="937"/>
        <v/>
      </c>
      <c r="S933" s="14" t="str">
        <f t="shared" si="937"/>
        <v/>
      </c>
    </row>
    <row r="934">
      <c r="G934" s="9" t="str">
        <f>IFERROR(__xludf.DUMMYFUNCTION("SPLIT(A934,"","")"),"#VALUE!")</f>
        <v>#VALUE!</v>
      </c>
      <c r="Q934" s="12" t="str">
        <f t="shared" ref="Q934:S934" si="938">IF(H934&gt;M$5, $G934, "")</f>
        <v/>
      </c>
      <c r="R934" s="13" t="str">
        <f t="shared" si="938"/>
        <v/>
      </c>
      <c r="S934" s="14" t="str">
        <f t="shared" si="938"/>
        <v/>
      </c>
    </row>
    <row r="935">
      <c r="G935" s="9" t="str">
        <f>IFERROR(__xludf.DUMMYFUNCTION("SPLIT(A935,"","")"),"#VALUE!")</f>
        <v>#VALUE!</v>
      </c>
      <c r="Q935" s="12" t="str">
        <f t="shared" ref="Q935:S935" si="939">IF(H935&gt;M$5, $G935, "")</f>
        <v/>
      </c>
      <c r="R935" s="13" t="str">
        <f t="shared" si="939"/>
        <v/>
      </c>
      <c r="S935" s="14" t="str">
        <f t="shared" si="939"/>
        <v/>
      </c>
    </row>
    <row r="936">
      <c r="G936" s="9" t="str">
        <f>IFERROR(__xludf.DUMMYFUNCTION("SPLIT(A936,"","")"),"#VALUE!")</f>
        <v>#VALUE!</v>
      </c>
      <c r="Q936" s="12" t="str">
        <f t="shared" ref="Q936:S936" si="940">IF(H936&gt;M$5, $G936, "")</f>
        <v/>
      </c>
      <c r="R936" s="13" t="str">
        <f t="shared" si="940"/>
        <v/>
      </c>
      <c r="S936" s="14" t="str">
        <f t="shared" si="940"/>
        <v/>
      </c>
    </row>
    <row r="937">
      <c r="G937" s="9" t="str">
        <f>IFERROR(__xludf.DUMMYFUNCTION("SPLIT(A937,"","")"),"#VALUE!")</f>
        <v>#VALUE!</v>
      </c>
      <c r="Q937" s="12" t="str">
        <f t="shared" ref="Q937:S937" si="941">IF(H937&gt;M$5, $G937, "")</f>
        <v/>
      </c>
      <c r="R937" s="13" t="str">
        <f t="shared" si="941"/>
        <v/>
      </c>
      <c r="S937" s="14" t="str">
        <f t="shared" si="941"/>
        <v/>
      </c>
    </row>
    <row r="938">
      <c r="G938" s="9" t="str">
        <f>IFERROR(__xludf.DUMMYFUNCTION("SPLIT(A938,"","")"),"#VALUE!")</f>
        <v>#VALUE!</v>
      </c>
      <c r="Q938" s="12" t="str">
        <f t="shared" ref="Q938:S938" si="942">IF(H938&gt;M$5, $G938, "")</f>
        <v/>
      </c>
      <c r="R938" s="13" t="str">
        <f t="shared" si="942"/>
        <v/>
      </c>
      <c r="S938" s="14" t="str">
        <f t="shared" si="942"/>
        <v/>
      </c>
    </row>
    <row r="939">
      <c r="G939" s="9" t="str">
        <f>IFERROR(__xludf.DUMMYFUNCTION("SPLIT(A939,"","")"),"#VALUE!")</f>
        <v>#VALUE!</v>
      </c>
      <c r="Q939" s="12" t="str">
        <f t="shared" ref="Q939:S939" si="943">IF(H939&gt;M$5, $G939, "")</f>
        <v/>
      </c>
      <c r="R939" s="13" t="str">
        <f t="shared" si="943"/>
        <v/>
      </c>
      <c r="S939" s="14" t="str">
        <f t="shared" si="943"/>
        <v/>
      </c>
    </row>
    <row r="940">
      <c r="G940" s="9" t="str">
        <f>IFERROR(__xludf.DUMMYFUNCTION("SPLIT(A940,"","")"),"#VALUE!")</f>
        <v>#VALUE!</v>
      </c>
      <c r="Q940" s="12" t="str">
        <f t="shared" ref="Q940:S940" si="944">IF(H940&gt;M$5, $G940, "")</f>
        <v/>
      </c>
      <c r="R940" s="13" t="str">
        <f t="shared" si="944"/>
        <v/>
      </c>
      <c r="S940" s="14" t="str">
        <f t="shared" si="944"/>
        <v/>
      </c>
    </row>
    <row r="941">
      <c r="G941" s="9" t="str">
        <f>IFERROR(__xludf.DUMMYFUNCTION("SPLIT(A941,"","")"),"#VALUE!")</f>
        <v>#VALUE!</v>
      </c>
      <c r="Q941" s="12" t="str">
        <f t="shared" ref="Q941:S941" si="945">IF(H941&gt;M$5, $G941, "")</f>
        <v/>
      </c>
      <c r="R941" s="13" t="str">
        <f t="shared" si="945"/>
        <v/>
      </c>
      <c r="S941" s="14" t="str">
        <f t="shared" si="945"/>
        <v/>
      </c>
    </row>
    <row r="942">
      <c r="G942" s="9" t="str">
        <f>IFERROR(__xludf.DUMMYFUNCTION("SPLIT(A942,"","")"),"#VALUE!")</f>
        <v>#VALUE!</v>
      </c>
      <c r="Q942" s="12" t="str">
        <f t="shared" ref="Q942:S942" si="946">IF(H942&gt;M$5, $G942, "")</f>
        <v/>
      </c>
      <c r="R942" s="13" t="str">
        <f t="shared" si="946"/>
        <v/>
      </c>
      <c r="S942" s="14" t="str">
        <f t="shared" si="946"/>
        <v/>
      </c>
    </row>
    <row r="943">
      <c r="G943" s="9" t="str">
        <f>IFERROR(__xludf.DUMMYFUNCTION("SPLIT(A943,"","")"),"#VALUE!")</f>
        <v>#VALUE!</v>
      </c>
      <c r="Q943" s="12" t="str">
        <f t="shared" ref="Q943:S943" si="947">IF(H943&gt;M$5, $G943, "")</f>
        <v/>
      </c>
      <c r="R943" s="13" t="str">
        <f t="shared" si="947"/>
        <v/>
      </c>
      <c r="S943" s="14" t="str">
        <f t="shared" si="947"/>
        <v/>
      </c>
    </row>
    <row r="944">
      <c r="G944" s="9" t="str">
        <f>IFERROR(__xludf.DUMMYFUNCTION("SPLIT(A944,"","")"),"#VALUE!")</f>
        <v>#VALUE!</v>
      </c>
      <c r="Q944" s="12" t="str">
        <f t="shared" ref="Q944:S944" si="948">IF(H944&gt;M$5, $G944, "")</f>
        <v/>
      </c>
      <c r="R944" s="13" t="str">
        <f t="shared" si="948"/>
        <v/>
      </c>
      <c r="S944" s="14" t="str">
        <f t="shared" si="948"/>
        <v/>
      </c>
    </row>
    <row r="945">
      <c r="G945" s="9" t="str">
        <f>IFERROR(__xludf.DUMMYFUNCTION("SPLIT(A945,"","")"),"#VALUE!")</f>
        <v>#VALUE!</v>
      </c>
      <c r="Q945" s="12" t="str">
        <f t="shared" ref="Q945:S945" si="949">IF(H945&gt;M$5, $G945, "")</f>
        <v/>
      </c>
      <c r="R945" s="13" t="str">
        <f t="shared" si="949"/>
        <v/>
      </c>
      <c r="S945" s="14" t="str">
        <f t="shared" si="949"/>
        <v/>
      </c>
    </row>
    <row r="946">
      <c r="G946" s="9" t="str">
        <f>IFERROR(__xludf.DUMMYFUNCTION("SPLIT(A946,"","")"),"#VALUE!")</f>
        <v>#VALUE!</v>
      </c>
      <c r="Q946" s="12" t="str">
        <f t="shared" ref="Q946:S946" si="950">IF(H946&gt;M$5, $G946, "")</f>
        <v/>
      </c>
      <c r="R946" s="13" t="str">
        <f t="shared" si="950"/>
        <v/>
      </c>
      <c r="S946" s="14" t="str">
        <f t="shared" si="950"/>
        <v/>
      </c>
    </row>
    <row r="947">
      <c r="G947" s="9" t="str">
        <f>IFERROR(__xludf.DUMMYFUNCTION("SPLIT(A947,"","")"),"#VALUE!")</f>
        <v>#VALUE!</v>
      </c>
      <c r="Q947" s="12" t="str">
        <f t="shared" ref="Q947:S947" si="951">IF(H947&gt;M$5, $G947, "")</f>
        <v/>
      </c>
      <c r="R947" s="13" t="str">
        <f t="shared" si="951"/>
        <v/>
      </c>
      <c r="S947" s="14" t="str">
        <f t="shared" si="951"/>
        <v/>
      </c>
    </row>
    <row r="948">
      <c r="G948" s="9" t="str">
        <f>IFERROR(__xludf.DUMMYFUNCTION("SPLIT(A948,"","")"),"#VALUE!")</f>
        <v>#VALUE!</v>
      </c>
      <c r="Q948" s="12" t="str">
        <f t="shared" ref="Q948:S948" si="952">IF(H948&gt;M$5, $G948, "")</f>
        <v/>
      </c>
      <c r="R948" s="13" t="str">
        <f t="shared" si="952"/>
        <v/>
      </c>
      <c r="S948" s="14" t="str">
        <f t="shared" si="952"/>
        <v/>
      </c>
    </row>
    <row r="949">
      <c r="G949" s="9" t="str">
        <f>IFERROR(__xludf.DUMMYFUNCTION("SPLIT(A949,"","")"),"#VALUE!")</f>
        <v>#VALUE!</v>
      </c>
      <c r="Q949" s="12" t="str">
        <f t="shared" ref="Q949:S949" si="953">IF(H949&gt;M$5, $G949, "")</f>
        <v/>
      </c>
      <c r="R949" s="13" t="str">
        <f t="shared" si="953"/>
        <v/>
      </c>
      <c r="S949" s="14" t="str">
        <f t="shared" si="953"/>
        <v/>
      </c>
    </row>
    <row r="950">
      <c r="G950" s="9" t="str">
        <f>IFERROR(__xludf.DUMMYFUNCTION("SPLIT(A950,"","")"),"#VALUE!")</f>
        <v>#VALUE!</v>
      </c>
      <c r="Q950" s="12" t="str">
        <f t="shared" ref="Q950:S950" si="954">IF(H950&gt;M$5, $G950, "")</f>
        <v/>
      </c>
      <c r="R950" s="13" t="str">
        <f t="shared" si="954"/>
        <v/>
      </c>
      <c r="S950" s="14" t="str">
        <f t="shared" si="954"/>
        <v/>
      </c>
    </row>
    <row r="951">
      <c r="G951" s="9" t="str">
        <f>IFERROR(__xludf.DUMMYFUNCTION("SPLIT(A951,"","")"),"#VALUE!")</f>
        <v>#VALUE!</v>
      </c>
      <c r="Q951" s="12" t="str">
        <f t="shared" ref="Q951:S951" si="955">IF(H951&gt;M$5, $G951, "")</f>
        <v/>
      </c>
      <c r="R951" s="13" t="str">
        <f t="shared" si="955"/>
        <v/>
      </c>
      <c r="S951" s="14" t="str">
        <f t="shared" si="955"/>
        <v/>
      </c>
    </row>
    <row r="952">
      <c r="G952" s="9" t="str">
        <f>IFERROR(__xludf.DUMMYFUNCTION("SPLIT(A952,"","")"),"#VALUE!")</f>
        <v>#VALUE!</v>
      </c>
      <c r="Q952" s="12" t="str">
        <f t="shared" ref="Q952:S952" si="956">IF(H952&gt;M$5, $G952, "")</f>
        <v/>
      </c>
      <c r="R952" s="13" t="str">
        <f t="shared" si="956"/>
        <v/>
      </c>
      <c r="S952" s="14" t="str">
        <f t="shared" si="956"/>
        <v/>
      </c>
    </row>
    <row r="953">
      <c r="G953" s="9" t="str">
        <f>IFERROR(__xludf.DUMMYFUNCTION("SPLIT(A953,"","")"),"#VALUE!")</f>
        <v>#VALUE!</v>
      </c>
      <c r="Q953" s="12" t="str">
        <f t="shared" ref="Q953:S953" si="957">IF(H953&gt;M$5, $G953, "")</f>
        <v/>
      </c>
      <c r="R953" s="13" t="str">
        <f t="shared" si="957"/>
        <v/>
      </c>
      <c r="S953" s="14" t="str">
        <f t="shared" si="957"/>
        <v/>
      </c>
    </row>
    <row r="954">
      <c r="G954" s="9" t="str">
        <f>IFERROR(__xludf.DUMMYFUNCTION("SPLIT(A954,"","")"),"#VALUE!")</f>
        <v>#VALUE!</v>
      </c>
      <c r="Q954" s="12" t="str">
        <f t="shared" ref="Q954:S954" si="958">IF(H954&gt;M$5, $G954, "")</f>
        <v/>
      </c>
      <c r="R954" s="13" t="str">
        <f t="shared" si="958"/>
        <v/>
      </c>
      <c r="S954" s="14" t="str">
        <f t="shared" si="958"/>
        <v/>
      </c>
    </row>
    <row r="955">
      <c r="G955" s="9" t="str">
        <f>IFERROR(__xludf.DUMMYFUNCTION("SPLIT(A955,"","")"),"#VALUE!")</f>
        <v>#VALUE!</v>
      </c>
      <c r="Q955" s="12" t="str">
        <f t="shared" ref="Q955:S955" si="959">IF(H955&gt;M$5, $G955, "")</f>
        <v/>
      </c>
      <c r="R955" s="13" t="str">
        <f t="shared" si="959"/>
        <v/>
      </c>
      <c r="S955" s="14" t="str">
        <f t="shared" si="959"/>
        <v/>
      </c>
    </row>
    <row r="956">
      <c r="G956" s="9" t="str">
        <f>IFERROR(__xludf.DUMMYFUNCTION("SPLIT(A956,"","")"),"#VALUE!")</f>
        <v>#VALUE!</v>
      </c>
      <c r="Q956" s="12" t="str">
        <f t="shared" ref="Q956:S956" si="960">IF(H956&gt;M$5, $G956, "")</f>
        <v/>
      </c>
      <c r="R956" s="13" t="str">
        <f t="shared" si="960"/>
        <v/>
      </c>
      <c r="S956" s="14" t="str">
        <f t="shared" si="960"/>
        <v/>
      </c>
    </row>
    <row r="957">
      <c r="G957" s="9" t="str">
        <f>IFERROR(__xludf.DUMMYFUNCTION("SPLIT(A957,"","")"),"#VALUE!")</f>
        <v>#VALUE!</v>
      </c>
      <c r="Q957" s="12" t="str">
        <f t="shared" ref="Q957:S957" si="961">IF(H957&gt;M$5, $G957, "")</f>
        <v/>
      </c>
      <c r="R957" s="13" t="str">
        <f t="shared" si="961"/>
        <v/>
      </c>
      <c r="S957" s="14" t="str">
        <f t="shared" si="961"/>
        <v/>
      </c>
    </row>
    <row r="958">
      <c r="G958" s="9" t="str">
        <f>IFERROR(__xludf.DUMMYFUNCTION("SPLIT(A958,"","")"),"#VALUE!")</f>
        <v>#VALUE!</v>
      </c>
      <c r="Q958" s="12" t="str">
        <f t="shared" ref="Q958:S958" si="962">IF(H958&gt;M$5, $G958, "")</f>
        <v/>
      </c>
      <c r="R958" s="13" t="str">
        <f t="shared" si="962"/>
        <v/>
      </c>
      <c r="S958" s="14" t="str">
        <f t="shared" si="962"/>
        <v/>
      </c>
    </row>
    <row r="959">
      <c r="G959" s="9" t="str">
        <f>IFERROR(__xludf.DUMMYFUNCTION("SPLIT(A959,"","")"),"#VALUE!")</f>
        <v>#VALUE!</v>
      </c>
      <c r="Q959" s="12" t="str">
        <f t="shared" ref="Q959:S959" si="963">IF(H959&gt;M$5, $G959, "")</f>
        <v/>
      </c>
      <c r="R959" s="13" t="str">
        <f t="shared" si="963"/>
        <v/>
      </c>
      <c r="S959" s="14" t="str">
        <f t="shared" si="963"/>
        <v/>
      </c>
    </row>
    <row r="960">
      <c r="G960" s="9" t="str">
        <f>IFERROR(__xludf.DUMMYFUNCTION("SPLIT(A960,"","")"),"#VALUE!")</f>
        <v>#VALUE!</v>
      </c>
      <c r="Q960" s="12" t="str">
        <f t="shared" ref="Q960:S960" si="964">IF(H960&gt;M$5, $G960, "")</f>
        <v/>
      </c>
      <c r="R960" s="13" t="str">
        <f t="shared" si="964"/>
        <v/>
      </c>
      <c r="S960" s="14" t="str">
        <f t="shared" si="964"/>
        <v/>
      </c>
    </row>
    <row r="961">
      <c r="G961" s="9" t="str">
        <f>IFERROR(__xludf.DUMMYFUNCTION("SPLIT(A961,"","")"),"#VALUE!")</f>
        <v>#VALUE!</v>
      </c>
      <c r="Q961" s="12" t="str">
        <f t="shared" ref="Q961:S961" si="965">IF(H961&gt;M$5, $G961, "")</f>
        <v/>
      </c>
      <c r="R961" s="13" t="str">
        <f t="shared" si="965"/>
        <v/>
      </c>
      <c r="S961" s="14" t="str">
        <f t="shared" si="965"/>
        <v/>
      </c>
    </row>
    <row r="962">
      <c r="G962" s="9" t="str">
        <f>IFERROR(__xludf.DUMMYFUNCTION("SPLIT(A962,"","")"),"#VALUE!")</f>
        <v>#VALUE!</v>
      </c>
      <c r="Q962" s="12" t="str">
        <f t="shared" ref="Q962:S962" si="966">IF(H962&gt;M$5, $G962, "")</f>
        <v/>
      </c>
      <c r="R962" s="13" t="str">
        <f t="shared" si="966"/>
        <v/>
      </c>
      <c r="S962" s="14" t="str">
        <f t="shared" si="966"/>
        <v/>
      </c>
    </row>
    <row r="963">
      <c r="G963" s="9" t="str">
        <f>IFERROR(__xludf.DUMMYFUNCTION("SPLIT(A963,"","")"),"#VALUE!")</f>
        <v>#VALUE!</v>
      </c>
      <c r="Q963" s="12" t="str">
        <f t="shared" ref="Q963:S963" si="967">IF(H963&gt;M$5, $G963, "")</f>
        <v/>
      </c>
      <c r="R963" s="13" t="str">
        <f t="shared" si="967"/>
        <v/>
      </c>
      <c r="S963" s="14" t="str">
        <f t="shared" si="967"/>
        <v/>
      </c>
    </row>
    <row r="964">
      <c r="G964" s="9" t="str">
        <f>IFERROR(__xludf.DUMMYFUNCTION("SPLIT(A964,"","")"),"#VALUE!")</f>
        <v>#VALUE!</v>
      </c>
      <c r="Q964" s="12" t="str">
        <f t="shared" ref="Q964:S964" si="968">IF(H964&gt;M$5, $G964, "")</f>
        <v/>
      </c>
      <c r="R964" s="13" t="str">
        <f t="shared" si="968"/>
        <v/>
      </c>
      <c r="S964" s="14" t="str">
        <f t="shared" si="968"/>
        <v/>
      </c>
    </row>
    <row r="965">
      <c r="G965" s="9" t="str">
        <f>IFERROR(__xludf.DUMMYFUNCTION("SPLIT(A965,"","")"),"#VALUE!")</f>
        <v>#VALUE!</v>
      </c>
      <c r="Q965" s="12" t="str">
        <f t="shared" ref="Q965:S965" si="969">IF(H965&gt;M$5, $G965, "")</f>
        <v/>
      </c>
      <c r="R965" s="13" t="str">
        <f t="shared" si="969"/>
        <v/>
      </c>
      <c r="S965" s="14" t="str">
        <f t="shared" si="969"/>
        <v/>
      </c>
    </row>
    <row r="966">
      <c r="G966" s="9" t="str">
        <f>IFERROR(__xludf.DUMMYFUNCTION("SPLIT(A966,"","")"),"#VALUE!")</f>
        <v>#VALUE!</v>
      </c>
      <c r="Q966" s="12" t="str">
        <f t="shared" ref="Q966:S966" si="970">IF(H966&gt;M$5, $G966, "")</f>
        <v/>
      </c>
      <c r="R966" s="13" t="str">
        <f t="shared" si="970"/>
        <v/>
      </c>
      <c r="S966" s="14" t="str">
        <f t="shared" si="970"/>
        <v/>
      </c>
    </row>
    <row r="967">
      <c r="G967" s="9" t="str">
        <f>IFERROR(__xludf.DUMMYFUNCTION("SPLIT(A967,"","")"),"#VALUE!")</f>
        <v>#VALUE!</v>
      </c>
      <c r="Q967" s="12" t="str">
        <f t="shared" ref="Q967:S967" si="971">IF(H967&gt;M$5, $G967, "")</f>
        <v/>
      </c>
      <c r="R967" s="13" t="str">
        <f t="shared" si="971"/>
        <v/>
      </c>
      <c r="S967" s="14" t="str">
        <f t="shared" si="971"/>
        <v/>
      </c>
    </row>
    <row r="968">
      <c r="G968" s="9" t="str">
        <f>IFERROR(__xludf.DUMMYFUNCTION("SPLIT(A968,"","")"),"#VALUE!")</f>
        <v>#VALUE!</v>
      </c>
      <c r="Q968" s="12" t="str">
        <f t="shared" ref="Q968:S968" si="972">IF(H968&gt;M$5, $G968, "")</f>
        <v/>
      </c>
      <c r="R968" s="13" t="str">
        <f t="shared" si="972"/>
        <v/>
      </c>
      <c r="S968" s="14" t="str">
        <f t="shared" si="972"/>
        <v/>
      </c>
    </row>
    <row r="969">
      <c r="G969" s="9" t="str">
        <f>IFERROR(__xludf.DUMMYFUNCTION("SPLIT(A969,"","")"),"#VALUE!")</f>
        <v>#VALUE!</v>
      </c>
      <c r="Q969" s="12" t="str">
        <f t="shared" ref="Q969:S969" si="973">IF(H969&gt;M$5, $G969, "")</f>
        <v/>
      </c>
      <c r="R969" s="13" t="str">
        <f t="shared" si="973"/>
        <v/>
      </c>
      <c r="S969" s="14" t="str">
        <f t="shared" si="973"/>
        <v/>
      </c>
    </row>
    <row r="970">
      <c r="G970" s="9" t="str">
        <f>IFERROR(__xludf.DUMMYFUNCTION("SPLIT(A970,"","")"),"#VALUE!")</f>
        <v>#VALUE!</v>
      </c>
      <c r="Q970" s="12" t="str">
        <f t="shared" ref="Q970:S970" si="974">IF(H970&gt;M$5, $G970, "")</f>
        <v/>
      </c>
      <c r="R970" s="13" t="str">
        <f t="shared" si="974"/>
        <v/>
      </c>
      <c r="S970" s="14" t="str">
        <f t="shared" si="974"/>
        <v/>
      </c>
    </row>
    <row r="971">
      <c r="G971" s="9" t="str">
        <f>IFERROR(__xludf.DUMMYFUNCTION("SPLIT(A971,"","")"),"#VALUE!")</f>
        <v>#VALUE!</v>
      </c>
      <c r="Q971" s="12" t="str">
        <f t="shared" ref="Q971:S971" si="975">IF(H971&gt;M$5, $G971, "")</f>
        <v/>
      </c>
      <c r="R971" s="13" t="str">
        <f t="shared" si="975"/>
        <v/>
      </c>
      <c r="S971" s="14" t="str">
        <f t="shared" si="975"/>
        <v/>
      </c>
    </row>
    <row r="972">
      <c r="G972" s="9" t="str">
        <f>IFERROR(__xludf.DUMMYFUNCTION("SPLIT(A972,"","")"),"#VALUE!")</f>
        <v>#VALUE!</v>
      </c>
      <c r="Q972" s="12" t="str">
        <f t="shared" ref="Q972:S972" si="976">IF(H972&gt;M$5, $G972, "")</f>
        <v/>
      </c>
      <c r="R972" s="13" t="str">
        <f t="shared" si="976"/>
        <v/>
      </c>
      <c r="S972" s="14" t="str">
        <f t="shared" si="976"/>
        <v/>
      </c>
    </row>
    <row r="973">
      <c r="G973" s="9" t="str">
        <f>IFERROR(__xludf.DUMMYFUNCTION("SPLIT(A973,"","")"),"#VALUE!")</f>
        <v>#VALUE!</v>
      </c>
      <c r="Q973" s="12" t="str">
        <f t="shared" ref="Q973:S973" si="977">IF(H973&gt;M$5, $G973, "")</f>
        <v/>
      </c>
      <c r="R973" s="13" t="str">
        <f t="shared" si="977"/>
        <v/>
      </c>
      <c r="S973" s="14" t="str">
        <f t="shared" si="977"/>
        <v/>
      </c>
    </row>
    <row r="974">
      <c r="G974" s="9" t="str">
        <f>IFERROR(__xludf.DUMMYFUNCTION("SPLIT(A974,"","")"),"#VALUE!")</f>
        <v>#VALUE!</v>
      </c>
      <c r="Q974" s="12" t="str">
        <f t="shared" ref="Q974:S974" si="978">IF(H974&gt;M$5, $G974, "")</f>
        <v/>
      </c>
      <c r="R974" s="13" t="str">
        <f t="shared" si="978"/>
        <v/>
      </c>
      <c r="S974" s="14" t="str">
        <f t="shared" si="978"/>
        <v/>
      </c>
    </row>
    <row r="975">
      <c r="G975" s="9" t="str">
        <f>IFERROR(__xludf.DUMMYFUNCTION("SPLIT(A975,"","")"),"#VALUE!")</f>
        <v>#VALUE!</v>
      </c>
      <c r="Q975" s="12" t="str">
        <f t="shared" ref="Q975:S975" si="979">IF(H975&gt;M$5, $G975, "")</f>
        <v/>
      </c>
      <c r="R975" s="13" t="str">
        <f t="shared" si="979"/>
        <v/>
      </c>
      <c r="S975" s="14" t="str">
        <f t="shared" si="979"/>
        <v/>
      </c>
    </row>
    <row r="976">
      <c r="G976" s="9" t="str">
        <f>IFERROR(__xludf.DUMMYFUNCTION("SPLIT(A976,"","")"),"#VALUE!")</f>
        <v>#VALUE!</v>
      </c>
      <c r="Q976" s="12" t="str">
        <f t="shared" ref="Q976:S976" si="980">IF(H976&gt;M$5, $G976, "")</f>
        <v/>
      </c>
      <c r="R976" s="13" t="str">
        <f t="shared" si="980"/>
        <v/>
      </c>
      <c r="S976" s="14" t="str">
        <f t="shared" si="980"/>
        <v/>
      </c>
    </row>
    <row r="977">
      <c r="G977" s="9" t="str">
        <f>IFERROR(__xludf.DUMMYFUNCTION("SPLIT(A977,"","")"),"#VALUE!")</f>
        <v>#VALUE!</v>
      </c>
      <c r="Q977" s="12" t="str">
        <f t="shared" ref="Q977:S977" si="981">IF(H977&gt;M$5, $G977, "")</f>
        <v/>
      </c>
      <c r="R977" s="13" t="str">
        <f t="shared" si="981"/>
        <v/>
      </c>
      <c r="S977" s="14" t="str">
        <f t="shared" si="981"/>
        <v/>
      </c>
    </row>
    <row r="978">
      <c r="G978" s="9" t="str">
        <f>IFERROR(__xludf.DUMMYFUNCTION("SPLIT(A978,"","")"),"#VALUE!")</f>
        <v>#VALUE!</v>
      </c>
      <c r="Q978" s="12" t="str">
        <f t="shared" ref="Q978:S978" si="982">IF(H978&gt;M$5, $G978, "")</f>
        <v/>
      </c>
      <c r="R978" s="13" t="str">
        <f t="shared" si="982"/>
        <v/>
      </c>
      <c r="S978" s="14" t="str">
        <f t="shared" si="982"/>
        <v/>
      </c>
    </row>
    <row r="979">
      <c r="G979" s="9" t="str">
        <f>IFERROR(__xludf.DUMMYFUNCTION("SPLIT(A979,"","")"),"#VALUE!")</f>
        <v>#VALUE!</v>
      </c>
      <c r="Q979" s="12" t="str">
        <f t="shared" ref="Q979:S979" si="983">IF(H979&gt;M$5, $G979, "")</f>
        <v/>
      </c>
      <c r="R979" s="13" t="str">
        <f t="shared" si="983"/>
        <v/>
      </c>
      <c r="S979" s="14" t="str">
        <f t="shared" si="983"/>
        <v/>
      </c>
    </row>
    <row r="980">
      <c r="G980" s="9" t="str">
        <f>IFERROR(__xludf.DUMMYFUNCTION("SPLIT(A980,"","")"),"#VALUE!")</f>
        <v>#VALUE!</v>
      </c>
      <c r="Q980" s="12" t="str">
        <f t="shared" ref="Q980:S980" si="984">IF(H980&gt;M$5, $G980, "")</f>
        <v/>
      </c>
      <c r="R980" s="13" t="str">
        <f t="shared" si="984"/>
        <v/>
      </c>
      <c r="S980" s="14" t="str">
        <f t="shared" si="984"/>
        <v/>
      </c>
    </row>
    <row r="981">
      <c r="G981" s="9" t="str">
        <f>IFERROR(__xludf.DUMMYFUNCTION("SPLIT(A981,"","")"),"#VALUE!")</f>
        <v>#VALUE!</v>
      </c>
      <c r="Q981" s="12" t="str">
        <f t="shared" ref="Q981:S981" si="985">IF(H981&gt;M$5, $G981, "")</f>
        <v/>
      </c>
      <c r="R981" s="13" t="str">
        <f t="shared" si="985"/>
        <v/>
      </c>
      <c r="S981" s="14" t="str">
        <f t="shared" si="985"/>
        <v/>
      </c>
    </row>
    <row r="982">
      <c r="G982" s="9" t="str">
        <f>IFERROR(__xludf.DUMMYFUNCTION("SPLIT(A982,"","")"),"#VALUE!")</f>
        <v>#VALUE!</v>
      </c>
      <c r="Q982" s="12" t="str">
        <f t="shared" ref="Q982:S982" si="986">IF(H982&gt;M$5, $G982, "")</f>
        <v/>
      </c>
      <c r="R982" s="13" t="str">
        <f t="shared" si="986"/>
        <v/>
      </c>
      <c r="S982" s="14" t="str">
        <f t="shared" si="986"/>
        <v/>
      </c>
    </row>
    <row r="983">
      <c r="G983" s="9" t="str">
        <f>IFERROR(__xludf.DUMMYFUNCTION("SPLIT(A983,"","")"),"#VALUE!")</f>
        <v>#VALUE!</v>
      </c>
      <c r="Q983" s="12" t="str">
        <f t="shared" ref="Q983:S983" si="987">IF(H983&gt;M$5, $G983, "")</f>
        <v/>
      </c>
      <c r="R983" s="13" t="str">
        <f t="shared" si="987"/>
        <v/>
      </c>
      <c r="S983" s="14" t="str">
        <f t="shared" si="987"/>
        <v/>
      </c>
    </row>
    <row r="984">
      <c r="G984" s="9" t="str">
        <f>IFERROR(__xludf.DUMMYFUNCTION("SPLIT(A984,"","")"),"#VALUE!")</f>
        <v>#VALUE!</v>
      </c>
      <c r="Q984" s="12" t="str">
        <f t="shared" ref="Q984:S984" si="988">IF(H984&gt;M$5, $G984, "")</f>
        <v/>
      </c>
      <c r="R984" s="13" t="str">
        <f t="shared" si="988"/>
        <v/>
      </c>
      <c r="S984" s="14" t="str">
        <f t="shared" si="988"/>
        <v/>
      </c>
    </row>
    <row r="985">
      <c r="G985" s="9" t="str">
        <f>IFERROR(__xludf.DUMMYFUNCTION("SPLIT(A985,"","")"),"#VALUE!")</f>
        <v>#VALUE!</v>
      </c>
      <c r="Q985" s="12" t="str">
        <f t="shared" ref="Q985:S985" si="989">IF(H985&gt;M$5, $G985, "")</f>
        <v/>
      </c>
      <c r="R985" s="13" t="str">
        <f t="shared" si="989"/>
        <v/>
      </c>
      <c r="S985" s="14" t="str">
        <f t="shared" si="989"/>
        <v/>
      </c>
    </row>
    <row r="986">
      <c r="G986" s="9" t="str">
        <f>IFERROR(__xludf.DUMMYFUNCTION("SPLIT(A986,"","")"),"#VALUE!")</f>
        <v>#VALUE!</v>
      </c>
      <c r="Q986" s="12" t="str">
        <f t="shared" ref="Q986:S986" si="990">IF(H986&gt;M$5, $G986, "")</f>
        <v/>
      </c>
      <c r="R986" s="13" t="str">
        <f t="shared" si="990"/>
        <v/>
      </c>
      <c r="S986" s="14" t="str">
        <f t="shared" si="990"/>
        <v/>
      </c>
    </row>
    <row r="987">
      <c r="G987" s="9" t="str">
        <f>IFERROR(__xludf.DUMMYFUNCTION("SPLIT(A987,"","")"),"#VALUE!")</f>
        <v>#VALUE!</v>
      </c>
      <c r="Q987" s="12" t="str">
        <f t="shared" ref="Q987:S987" si="991">IF(H987&gt;M$5, $G987, "")</f>
        <v/>
      </c>
      <c r="R987" s="13" t="str">
        <f t="shared" si="991"/>
        <v/>
      </c>
      <c r="S987" s="14" t="str">
        <f t="shared" si="991"/>
        <v/>
      </c>
    </row>
    <row r="988">
      <c r="G988" s="9" t="str">
        <f>IFERROR(__xludf.DUMMYFUNCTION("SPLIT(A988,"","")"),"#VALUE!")</f>
        <v>#VALUE!</v>
      </c>
      <c r="Q988" s="12" t="str">
        <f t="shared" ref="Q988:S988" si="992">IF(H988&gt;M$5, $G988, "")</f>
        <v/>
      </c>
      <c r="R988" s="13" t="str">
        <f t="shared" si="992"/>
        <v/>
      </c>
      <c r="S988" s="14" t="str">
        <f t="shared" si="992"/>
        <v/>
      </c>
    </row>
    <row r="989">
      <c r="G989" s="9" t="str">
        <f>IFERROR(__xludf.DUMMYFUNCTION("SPLIT(A989,"","")"),"#VALUE!")</f>
        <v>#VALUE!</v>
      </c>
      <c r="Q989" s="12" t="str">
        <f t="shared" ref="Q989:S989" si="993">IF(H989&gt;M$5, $G989, "")</f>
        <v/>
      </c>
      <c r="R989" s="13" t="str">
        <f t="shared" si="993"/>
        <v/>
      </c>
      <c r="S989" s="14" t="str">
        <f t="shared" si="993"/>
        <v/>
      </c>
    </row>
    <row r="990">
      <c r="G990" s="9" t="str">
        <f>IFERROR(__xludf.DUMMYFUNCTION("SPLIT(A990,"","")"),"#VALUE!")</f>
        <v>#VALUE!</v>
      </c>
      <c r="Q990" s="12" t="str">
        <f t="shared" ref="Q990:S990" si="994">IF(H990&gt;M$5, $G990, "")</f>
        <v/>
      </c>
      <c r="R990" s="13" t="str">
        <f t="shared" si="994"/>
        <v/>
      </c>
      <c r="S990" s="14" t="str">
        <f t="shared" si="994"/>
        <v/>
      </c>
    </row>
    <row r="991">
      <c r="G991" s="9" t="str">
        <f>IFERROR(__xludf.DUMMYFUNCTION("SPLIT(A991,"","")"),"#VALUE!")</f>
        <v>#VALUE!</v>
      </c>
      <c r="Q991" s="12" t="str">
        <f t="shared" ref="Q991:S991" si="995">IF(H991&gt;M$5, $G991, "")</f>
        <v/>
      </c>
      <c r="R991" s="13" t="str">
        <f t="shared" si="995"/>
        <v/>
      </c>
      <c r="S991" s="14" t="str">
        <f t="shared" si="995"/>
        <v/>
      </c>
    </row>
    <row r="992">
      <c r="G992" s="9" t="str">
        <f>IFERROR(__xludf.DUMMYFUNCTION("SPLIT(A992,"","")"),"#VALUE!")</f>
        <v>#VALUE!</v>
      </c>
      <c r="Q992" s="12" t="str">
        <f t="shared" ref="Q992:S992" si="996">IF(H992&gt;M$5, $G992, "")</f>
        <v/>
      </c>
      <c r="R992" s="13" t="str">
        <f t="shared" si="996"/>
        <v/>
      </c>
      <c r="S992" s="14" t="str">
        <f t="shared" si="996"/>
        <v/>
      </c>
    </row>
    <row r="993">
      <c r="G993" s="9" t="str">
        <f>IFERROR(__xludf.DUMMYFUNCTION("SPLIT(A993,"","")"),"#VALUE!")</f>
        <v>#VALUE!</v>
      </c>
      <c r="Q993" s="12" t="str">
        <f t="shared" ref="Q993:S993" si="997">IF(H993&gt;M$5, $G993, "")</f>
        <v/>
      </c>
      <c r="R993" s="13" t="str">
        <f t="shared" si="997"/>
        <v/>
      </c>
      <c r="S993" s="14" t="str">
        <f t="shared" si="997"/>
        <v/>
      </c>
    </row>
    <row r="994">
      <c r="G994" s="9" t="str">
        <f>IFERROR(__xludf.DUMMYFUNCTION("SPLIT(A994,"","")"),"#VALUE!")</f>
        <v>#VALUE!</v>
      </c>
      <c r="Q994" s="12" t="str">
        <f t="shared" ref="Q994:S994" si="998">IF(H994&gt;M$5, $G994, "")</f>
        <v/>
      </c>
      <c r="R994" s="13" t="str">
        <f t="shared" si="998"/>
        <v/>
      </c>
      <c r="S994" s="14" t="str">
        <f t="shared" si="998"/>
        <v/>
      </c>
    </row>
    <row r="995">
      <c r="G995" s="9" t="str">
        <f>IFERROR(__xludf.DUMMYFUNCTION("SPLIT(A995,"","")"),"#VALUE!")</f>
        <v>#VALUE!</v>
      </c>
      <c r="Q995" s="12" t="str">
        <f t="shared" ref="Q995:S995" si="999">IF(H995&gt;M$5, $G995, "")</f>
        <v/>
      </c>
      <c r="R995" s="13" t="str">
        <f t="shared" si="999"/>
        <v/>
      </c>
      <c r="S995" s="14" t="str">
        <f t="shared" si="999"/>
        <v/>
      </c>
    </row>
    <row r="996">
      <c r="G996" s="9" t="str">
        <f>IFERROR(__xludf.DUMMYFUNCTION("SPLIT(A996,"","")"),"#VALUE!")</f>
        <v>#VALUE!</v>
      </c>
      <c r="Q996" s="12" t="str">
        <f t="shared" ref="Q996:S996" si="1000">IF(H996&gt;M$5, $G996, "")</f>
        <v/>
      </c>
      <c r="R996" s="13" t="str">
        <f t="shared" si="1000"/>
        <v/>
      </c>
      <c r="S996" s="14" t="str">
        <f t="shared" si="1000"/>
        <v/>
      </c>
    </row>
    <row r="997">
      <c r="G997" s="9" t="str">
        <f>IFERROR(__xludf.DUMMYFUNCTION("SPLIT(A997,"","")"),"#VALUE!")</f>
        <v>#VALUE!</v>
      </c>
      <c r="Q997" s="12" t="str">
        <f t="shared" ref="Q997:S997" si="1001">IF(H997&gt;M$5, $G997, "")</f>
        <v/>
      </c>
      <c r="R997" s="13" t="str">
        <f t="shared" si="1001"/>
        <v/>
      </c>
      <c r="S997" s="14" t="str">
        <f t="shared" si="1001"/>
        <v/>
      </c>
    </row>
    <row r="998">
      <c r="G998" s="9" t="str">
        <f>IFERROR(__xludf.DUMMYFUNCTION("SPLIT(A998,"","")"),"#VALUE!")</f>
        <v>#VALUE!</v>
      </c>
      <c r="Q998" s="12" t="str">
        <f t="shared" ref="Q998:S998" si="1002">IF(H998&gt;M$5, $G998, "")</f>
        <v/>
      </c>
      <c r="R998" s="13" t="str">
        <f t="shared" si="1002"/>
        <v/>
      </c>
      <c r="S998" s="14" t="str">
        <f t="shared" si="1002"/>
        <v/>
      </c>
    </row>
    <row r="999">
      <c r="G999" s="9" t="str">
        <f>IFERROR(__xludf.DUMMYFUNCTION("SPLIT(A999,"","")"),"#VALUE!")</f>
        <v>#VALUE!</v>
      </c>
      <c r="Q999" s="12" t="str">
        <f t="shared" ref="Q999:S999" si="1003">IF(H999&gt;M$5, $G999, "")</f>
        <v/>
      </c>
      <c r="R999" s="13" t="str">
        <f t="shared" si="1003"/>
        <v/>
      </c>
      <c r="S999" s="14" t="str">
        <f t="shared" si="1003"/>
        <v/>
      </c>
    </row>
    <row r="1000">
      <c r="G1000" s="9" t="str">
        <f>IFERROR(__xludf.DUMMYFUNCTION("SPLIT(A1000,"","")"),"#VALUE!")</f>
        <v>#VALUE!</v>
      </c>
      <c r="Q1000" s="12" t="str">
        <f t="shared" ref="Q1000:S1000" si="1004">IF(H1000&gt;M$5, $G1000, "")</f>
        <v/>
      </c>
      <c r="R1000" s="13" t="str">
        <f t="shared" si="1004"/>
        <v/>
      </c>
      <c r="S1000" s="14" t="str">
        <f t="shared" si="1004"/>
        <v/>
      </c>
    </row>
  </sheetData>
  <drawing r:id="rId1"/>
</worksheet>
</file>