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ocuments/useful tables/GPT/"/>
    </mc:Choice>
  </mc:AlternateContent>
  <xr:revisionPtr revIDLastSave="0" documentId="8_{E0D995AE-05E1-3F41-BEA6-324612555FA7}" xr6:coauthVersionLast="47" xr6:coauthVersionMax="47" xr10:uidLastSave="{00000000-0000-0000-0000-000000000000}"/>
  <bookViews>
    <workbookView xWindow="14980" yWindow="9900" windowWidth="19580" windowHeight="11160" xr2:uid="{0B42150A-12DF-674B-9968-BE3DC56F145C}"/>
  </bookViews>
  <sheets>
    <sheet name="T03_PURCHASE_ORDERS" sheetId="1" r:id="rId1"/>
  </sheets>
  <externalReferences>
    <externalReference r:id="rId2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O11" i="1"/>
  <c r="L11" i="1"/>
  <c r="M11" i="1" s="1"/>
  <c r="I11" i="1"/>
  <c r="AB11" i="1" s="1"/>
  <c r="B11" i="1"/>
  <c r="P10" i="1"/>
  <c r="O10" i="1"/>
  <c r="L10" i="1"/>
  <c r="M10" i="1" s="1"/>
  <c r="I10" i="1"/>
  <c r="AB10" i="1" s="1"/>
  <c r="B10" i="1"/>
  <c r="C10" i="1" s="1"/>
  <c r="P9" i="1"/>
  <c r="O9" i="1"/>
  <c r="L9" i="1"/>
  <c r="M9" i="1" s="1"/>
  <c r="I9" i="1"/>
  <c r="AB9" i="1" s="1"/>
  <c r="B9" i="1"/>
  <c r="C9" i="1" s="1"/>
  <c r="P8" i="1"/>
  <c r="O8" i="1"/>
  <c r="L8" i="1"/>
  <c r="M8" i="1" s="1"/>
  <c r="I8" i="1"/>
  <c r="AB8" i="1" s="1"/>
  <c r="B8" i="1"/>
  <c r="P7" i="1"/>
  <c r="O7" i="1"/>
  <c r="L7" i="1"/>
  <c r="M7" i="1" s="1"/>
  <c r="I7" i="1"/>
  <c r="AB7" i="1" s="1"/>
  <c r="B7" i="1"/>
  <c r="P6" i="1"/>
  <c r="O6" i="1"/>
  <c r="L6" i="1"/>
  <c r="M6" i="1" s="1"/>
  <c r="I6" i="1"/>
  <c r="AB6" i="1" s="1"/>
  <c r="B6" i="1"/>
  <c r="P5" i="1"/>
  <c r="O5" i="1"/>
  <c r="L5" i="1"/>
  <c r="M5" i="1" s="1"/>
  <c r="I5" i="1"/>
  <c r="AB5" i="1" s="1"/>
  <c r="B5" i="1"/>
  <c r="P4" i="1"/>
  <c r="O4" i="1"/>
  <c r="L4" i="1"/>
  <c r="M4" i="1" s="1"/>
  <c r="I4" i="1"/>
  <c r="AB4" i="1" s="1"/>
  <c r="B4" i="1"/>
  <c r="P3" i="1"/>
  <c r="O3" i="1"/>
  <c r="L3" i="1"/>
  <c r="M3" i="1" s="1"/>
  <c r="I3" i="1"/>
  <c r="AB3" i="1" s="1"/>
  <c r="B3" i="1"/>
  <c r="P2" i="1"/>
  <c r="O2" i="1"/>
  <c r="L2" i="1"/>
  <c r="M2" i="1" s="1"/>
  <c r="I2" i="1"/>
  <c r="AB2" i="1" s="1"/>
  <c r="B2" i="1"/>
  <c r="F3" i="1" l="1" a="1"/>
  <c r="F3" i="1" s="1"/>
  <c r="AA3" i="1" s="1"/>
  <c r="T6" i="1"/>
  <c r="V6" i="1" s="1"/>
  <c r="Y6" i="1" s="1"/>
  <c r="T7" i="1"/>
  <c r="V7" i="1" s="1"/>
  <c r="Y7" i="1" s="1"/>
  <c r="T9" i="1"/>
  <c r="V9" i="1" s="1"/>
  <c r="Y9" i="1" s="1"/>
  <c r="T2" i="1"/>
  <c r="V2" i="1" s="1"/>
  <c r="Y2" i="1" s="1"/>
  <c r="T4" i="1"/>
  <c r="V4" i="1" s="1"/>
  <c r="Y4" i="1" s="1"/>
  <c r="F4" i="1" a="1"/>
  <c r="F4" i="1" s="1"/>
  <c r="W4" i="1" s="1"/>
  <c r="T5" i="1"/>
  <c r="V5" i="1" s="1"/>
  <c r="Y5" i="1" s="1"/>
  <c r="T10" i="1"/>
  <c r="V10" i="1" s="1"/>
  <c r="Y10" i="1" s="1"/>
  <c r="F6" i="1" a="1"/>
  <c r="F6" i="1" s="1"/>
  <c r="F11" i="1" a="1"/>
  <c r="F11" i="1" s="1"/>
  <c r="X11" i="1" s="1"/>
  <c r="F8" i="1" a="1"/>
  <c r="F8" i="1" s="1"/>
  <c r="W8" i="1" s="1"/>
  <c r="F5" i="1" a="1"/>
  <c r="F5" i="1" s="1"/>
  <c r="W5" i="1" s="1"/>
  <c r="T11" i="1"/>
  <c r="V11" i="1" s="1"/>
  <c r="Y11" i="1" s="1"/>
  <c r="F2" i="1" a="1"/>
  <c r="F2" i="1" s="1"/>
  <c r="R2" i="1" s="1"/>
  <c r="AC2" i="1" s="1"/>
  <c r="AH2" i="1" s="1"/>
  <c r="AJ2" i="1" s="1"/>
  <c r="F7" i="1" a="1"/>
  <c r="F7" i="1" s="1"/>
  <c r="W7" i="1" s="1"/>
  <c r="T3" i="1"/>
  <c r="V3" i="1" s="1"/>
  <c r="Y3" i="1" s="1"/>
  <c r="T8" i="1"/>
  <c r="V8" i="1" s="1"/>
  <c r="Y8" i="1" s="1"/>
  <c r="D9" i="1"/>
  <c r="E9" i="1"/>
  <c r="E10" i="1"/>
  <c r="D10" i="1"/>
  <c r="C3" i="1"/>
  <c r="C5" i="1"/>
  <c r="C11" i="1"/>
  <c r="F10" i="1" a="1"/>
  <c r="F10" i="1" s="1"/>
  <c r="C2" i="1"/>
  <c r="C4" i="1"/>
  <c r="C6" i="1"/>
  <c r="C7" i="1"/>
  <c r="F9" i="1" a="1"/>
  <c r="F9" i="1" s="1"/>
  <c r="C8" i="1"/>
  <c r="Z3" i="1" l="1"/>
  <c r="R5" i="1"/>
  <c r="AC5" i="1" s="1"/>
  <c r="AH5" i="1" s="1"/>
  <c r="AJ5" i="1" s="1"/>
  <c r="R7" i="1"/>
  <c r="AC7" i="1" s="1"/>
  <c r="AH7" i="1" s="1"/>
  <c r="AJ7" i="1" s="1"/>
  <c r="R4" i="1"/>
  <c r="AC4" i="1" s="1"/>
  <c r="AH4" i="1" s="1"/>
  <c r="AJ4" i="1" s="1"/>
  <c r="AA5" i="1"/>
  <c r="R8" i="1"/>
  <c r="AC8" i="1" s="1"/>
  <c r="AH8" i="1" s="1"/>
  <c r="AJ8" i="1" s="1"/>
  <c r="X8" i="1"/>
  <c r="W2" i="1"/>
  <c r="Z8" i="1"/>
  <c r="Z7" i="1"/>
  <c r="AL7" i="1" s="1"/>
  <c r="AM7" i="1" s="1"/>
  <c r="R6" i="1"/>
  <c r="AC6" i="1" s="1"/>
  <c r="AH6" i="1" s="1"/>
  <c r="AJ6" i="1" s="1"/>
  <c r="Z2" i="1"/>
  <c r="AL2" i="1" s="1"/>
  <c r="AM2" i="1" s="1"/>
  <c r="AA11" i="1"/>
  <c r="AA7" i="1"/>
  <c r="W6" i="1"/>
  <c r="AA2" i="1"/>
  <c r="R11" i="1"/>
  <c r="AC11" i="1" s="1"/>
  <c r="AH11" i="1" s="1"/>
  <c r="AJ11" i="1" s="1"/>
  <c r="D6" i="1"/>
  <c r="E6" i="1"/>
  <c r="X7" i="1"/>
  <c r="E4" i="1"/>
  <c r="D4" i="1"/>
  <c r="D2" i="1"/>
  <c r="E2" i="1"/>
  <c r="X10" i="1"/>
  <c r="AA10" i="1"/>
  <c r="Z10" i="1"/>
  <c r="W10" i="1"/>
  <c r="R10" i="1"/>
  <c r="AC10" i="1" s="1"/>
  <c r="AH10" i="1" s="1"/>
  <c r="AJ10" i="1" s="1"/>
  <c r="Z5" i="1"/>
  <c r="R3" i="1"/>
  <c r="AC3" i="1" s="1"/>
  <c r="AH3" i="1" s="1"/>
  <c r="AJ3" i="1" s="1"/>
  <c r="AL3" i="1" s="1"/>
  <c r="AM3" i="1" s="1"/>
  <c r="Z6" i="1"/>
  <c r="X2" i="1"/>
  <c r="W3" i="1"/>
  <c r="X6" i="1"/>
  <c r="D11" i="1"/>
  <c r="E11" i="1"/>
  <c r="D5" i="1"/>
  <c r="E5" i="1"/>
  <c r="X5" i="1"/>
  <c r="X3" i="1"/>
  <c r="AA6" i="1"/>
  <c r="D3" i="1"/>
  <c r="E3" i="1"/>
  <c r="D8" i="1"/>
  <c r="E8" i="1"/>
  <c r="X9" i="1"/>
  <c r="AA9" i="1"/>
  <c r="W9" i="1"/>
  <c r="R9" i="1"/>
  <c r="AC9" i="1" s="1"/>
  <c r="AH9" i="1" s="1"/>
  <c r="AJ9" i="1" s="1"/>
  <c r="Z9" i="1"/>
  <c r="AA8" i="1"/>
  <c r="Z11" i="1"/>
  <c r="X4" i="1"/>
  <c r="E7" i="1"/>
  <c r="D7" i="1"/>
  <c r="Z4" i="1"/>
  <c r="W11" i="1"/>
  <c r="AA4" i="1"/>
  <c r="AL5" i="1" l="1"/>
  <c r="AM5" i="1" s="1"/>
  <c r="AL11" i="1"/>
  <c r="AM11" i="1" s="1"/>
  <c r="AD10" i="1" a="1"/>
  <c r="AD10" i="1" s="1"/>
  <c r="AG10" i="1" s="1"/>
  <c r="AI10" i="1" s="1"/>
  <c r="AL8" i="1"/>
  <c r="AM8" i="1" s="1"/>
  <c r="AL4" i="1"/>
  <c r="AM4" i="1" s="1"/>
  <c r="AL10" i="1"/>
  <c r="AM10" i="1" s="1"/>
  <c r="AL9" i="1"/>
  <c r="AM9" i="1" s="1"/>
  <c r="AK10" i="1"/>
  <c r="AD7" i="1" a="1"/>
  <c r="AD7" i="1" s="1"/>
  <c r="AG7" i="1" s="1"/>
  <c r="AI7" i="1" s="1"/>
  <c r="AK7" i="1" s="1"/>
  <c r="AD8" i="1" a="1"/>
  <c r="AD8" i="1" s="1"/>
  <c r="AG8" i="1" s="1"/>
  <c r="AI8" i="1" s="1"/>
  <c r="AK8" i="1" s="1"/>
  <c r="AD9" i="1" a="1"/>
  <c r="AD9" i="1" s="1"/>
  <c r="AG9" i="1" s="1"/>
  <c r="AI9" i="1" s="1"/>
  <c r="AK9" i="1" s="1"/>
  <c r="AD3" i="1" a="1"/>
  <c r="AD3" i="1" s="1"/>
  <c r="AG3" i="1" s="1"/>
  <c r="AI3" i="1" s="1"/>
  <c r="AK3" i="1" s="1"/>
  <c r="AD2" i="1" a="1"/>
  <c r="AD2" i="1" s="1"/>
  <c r="AG2" i="1" s="1"/>
  <c r="AI2" i="1" s="1"/>
  <c r="AK2" i="1" s="1"/>
  <c r="AD11" i="1" a="1"/>
  <c r="AD11" i="1" s="1"/>
  <c r="AG11" i="1" s="1"/>
  <c r="AI11" i="1" s="1"/>
  <c r="AK11" i="1" s="1"/>
  <c r="AL6" i="1"/>
  <c r="AM6" i="1" s="1"/>
  <c r="AD5" i="1" a="1"/>
  <c r="AD5" i="1" s="1"/>
  <c r="AG5" i="1" s="1"/>
  <c r="AI5" i="1" s="1"/>
  <c r="AK5" i="1" s="1"/>
  <c r="AD6" i="1" a="1"/>
  <c r="AD6" i="1" s="1"/>
  <c r="AG6" i="1" s="1"/>
  <c r="AI6" i="1" s="1"/>
  <c r="AK6" i="1" s="1"/>
  <c r="AD4" i="1" a="1"/>
  <c r="AD4" i="1" s="1"/>
  <c r="AG4" i="1" s="1"/>
  <c r="AI4" i="1" s="1"/>
  <c r="A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<sst xmlns="http://schemas.openxmlformats.org/spreadsheetml/2006/main" count="59" uniqueCount="49">
  <si>
    <t>Inquiry_date</t>
  </si>
  <si>
    <t>PO_Date</t>
  </si>
  <si>
    <t>Ship_Date</t>
  </si>
  <si>
    <t>ALM_arrival_date</t>
  </si>
  <si>
    <t>Ast_arrival_date</t>
  </si>
  <si>
    <t>PO_Id</t>
  </si>
  <si>
    <t>VendorID</t>
  </si>
  <si>
    <t>CargoID</t>
  </si>
  <si>
    <t>SKU_KEY</t>
  </si>
  <si>
    <t>Prepare_days</t>
  </si>
  <si>
    <t>Seller_Dlv_days</t>
  </si>
  <si>
    <t>Cargo_ship_days</t>
  </si>
  <si>
    <t>Total_ship_days</t>
  </si>
  <si>
    <t>SKU_ID</t>
  </si>
  <si>
    <t>Product_Type</t>
  </si>
  <si>
    <t>MODEL</t>
  </si>
  <si>
    <t>Qty</t>
  </si>
  <si>
    <t>Total_model_order_qty</t>
  </si>
  <si>
    <t>Total_order_places</t>
  </si>
  <si>
    <t>UnitCost_CNY</t>
  </si>
  <si>
    <t>FX_CNYKZT</t>
  </si>
  <si>
    <t>OrderCost_CNY</t>
  </si>
  <si>
    <t>Total_Model_OrderCost_CNY</t>
  </si>
  <si>
    <t>Total_OrderCost_CNY</t>
  </si>
  <si>
    <t>OrderCost_KZT</t>
  </si>
  <si>
    <t>Total_Model_OrderCost_KZT</t>
  </si>
  <si>
    <t>Total_OrderCost_KZT</t>
  </si>
  <si>
    <t>UnitWeight_kg</t>
  </si>
  <si>
    <t>Total_Model_order_weight</t>
  </si>
  <si>
    <t>Total_order_weight</t>
  </si>
  <si>
    <t>DeliveryRate_USD</t>
  </si>
  <si>
    <t>FX_USDKZT</t>
  </si>
  <si>
    <t>Total_DeliveryCost_USD</t>
  </si>
  <si>
    <t>Total_Model_DeliveryCost_USD</t>
  </si>
  <si>
    <t>Total_DeliveryCost_KZT</t>
  </si>
  <si>
    <t>Total_Model_DeliveryCost_KZT</t>
  </si>
  <si>
    <t>Total_FreightCost_KZT</t>
  </si>
  <si>
    <t>Total_Model_FreightCost_KZT</t>
  </si>
  <si>
    <t>Unit_COGS_KZT</t>
  </si>
  <si>
    <t>SHR</t>
  </si>
  <si>
    <t>CL_OC_MEN_PRINT51_BLACK_S</t>
  </si>
  <si>
    <t>CL_OC_MEN_PRINT51_BLACK_M</t>
  </si>
  <si>
    <t>CL_OC_MEN_PRINT51_BLACK_L</t>
  </si>
  <si>
    <t>CL_OC_MEN_PRINT51_BLACK_XL</t>
  </si>
  <si>
    <t>CL_OC_MEN_PRINT51_BLACK_2XL</t>
  </si>
  <si>
    <t>CL_OC_MEN_PRINT51_BLACK_3XL</t>
  </si>
  <si>
    <t>CL_OC_MEN_PRINT51_BLACK_4XL</t>
  </si>
  <si>
    <t>CL_OC_MEN_BELI51_WHITE_M</t>
  </si>
  <si>
    <t>CL_OC_MEN_BELI51_WHITE_L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</si>
</sst>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9097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3" borderId="0" xfId="0" applyNumberFormat="1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 applyAlignment="1">
      <alignment horizontal="center"/>
    </xf>
  </cellXfs>
  <cellStyles count="1">
    <cellStyle name="Normal" xfId="0" builtinId="0"/>
  </cellStyles>
  <dxfs count="41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#,##0.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</font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il/Documents/useful%20tables/New%20CRM/Business_model.xlsm" TargetMode="External"/><Relationship Id="rId1" Type="http://schemas.openxmlformats.org/officeDocument/2006/relationships/externalLinkPath" Target="/Users/adil/Documents/useful%20tables/New%20CRM/Business_mod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01_SALES_LOG"/>
      <sheetName val="T02_INVENTORY_MOVES"/>
      <sheetName val="T04_AD_SPEND_TX"/>
      <sheetName val="T05_OPERATING_EXPENSES"/>
      <sheetName val="T06_LOAN_SCHEDULE"/>
      <sheetName val="T07_OWNER_EXPENSES"/>
      <sheetName val="M01_SETTINGS"/>
      <sheetName val="T03_PURCHASE_ORDERS"/>
      <sheetName val="M02_SKU_CATALOG"/>
      <sheetName val="M03_CHANNEL_PRICE"/>
      <sheetName val="M04_AD_CAMPAIGNS"/>
      <sheetName val="M05_VENDORS"/>
      <sheetName val="M06_EXPENSE_TAGS"/>
      <sheetName val="10_CASH_FLOW_ENGINE"/>
      <sheetName val="12_DASHBOARD_DATA"/>
      <sheetName val="11_P_L_ROIC_UNIT_EC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I1" t="str">
            <v>CargoID</v>
          </cell>
          <cell r="L1" t="str">
            <v>ship_days_alm</v>
          </cell>
          <cell r="N1" t="str">
            <v>ship_days_ast</v>
          </cell>
        </row>
        <row r="2">
          <cell r="I2">
            <v>525</v>
          </cell>
          <cell r="L2">
            <v>10</v>
          </cell>
          <cell r="N2">
            <v>14</v>
          </cell>
        </row>
        <row r="3">
          <cell r="I3">
            <v>525</v>
          </cell>
          <cell r="L3">
            <v>10</v>
          </cell>
          <cell r="N3">
            <v>14</v>
          </cell>
        </row>
        <row r="4">
          <cell r="I4">
            <v>151</v>
          </cell>
          <cell r="L4">
            <v>16</v>
          </cell>
          <cell r="N4">
            <v>20</v>
          </cell>
        </row>
        <row r="5">
          <cell r="I5">
            <v>151</v>
          </cell>
          <cell r="L5">
            <v>16</v>
          </cell>
          <cell r="N5">
            <v>20</v>
          </cell>
        </row>
        <row r="9">
          <cell r="I9" t="str">
            <v>1 %</v>
          </cell>
        </row>
        <row r="10">
          <cell r="I10" t="str">
            <v>10 000</v>
          </cell>
        </row>
        <row r="11">
          <cell r="I11" t="str">
            <v>0 (clothes under 1 000 €)</v>
          </cell>
        </row>
        <row r="12">
          <cell r="I12" t="str">
            <v>auto‑calc: order_date + prep_days + ship_days</v>
          </cell>
        </row>
        <row r="13">
          <cell r="I13" t="str">
            <v>In transit / Delivered</v>
          </cell>
        </row>
      </sheetData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D0A44-6CFF-F640-A167-F89341F0191D}" name="Table3" displayName="Table3" ref="A1:AM11" totalsRowShown="0" headerRowDxfId="40" dataDxfId="39">
  <tableColumns count="39">
    <tableColumn id="38" xr3:uid="{9DFB9743-EE6A-8146-A4CF-FC6D9B8F739E}" name="Inquiry_date" dataDxfId="38"/>
    <tableColumn id="1" xr3:uid="{9841AC96-B786-5C4C-B596-CEEE93691E67}" name="PO_Date" dataDxfId="37">
      <calculatedColumnFormula>Table3[[#This Row],[Inquiry_date]]+Table3[[#This Row],[Prepare_days]]</calculatedColumnFormula>
    </tableColumn>
    <tableColumn id="36" xr3:uid="{71DEC4D2-F668-FF46-BFC1-5794A8AEA4FB}" name="Ship_Date" dataDxfId="36">
      <calculatedColumnFormula>Table3[[#This Row],[PO_Date]]</calculatedColumnFormula>
    </tableColumn>
    <tableColumn id="40" xr3:uid="{9545B230-03F2-214A-A684-8338345810CD}" name="ALM_arrival_date" dataDxfId="35">
      <calculatedColumnFormula>Table3[[#This Row],[Ship_Date]]+_xlfn.XLOOKUP(Table3[[#This Row],[CargoID]],[1]M01_SETTINGS!I:I,[1]M01_SETTINGS!L:L,"",0,1)</calculatedColumnFormula>
    </tableColumn>
    <tableColumn id="41" xr3:uid="{8857A3A3-64B6-3F4B-B4AA-03BF20F8B2C6}" name="Ast_arrival_date" dataDxfId="34">
      <calculatedColumnFormula>Table3[[#This Row],[Ship_Date]]+_xlfn.XLOOKUP(Table3[[#This Row],[CargoID]],[1]M01_SETTINGS!I:I,[1]M01_SETTINGS!N:N,"",0,1)</calculatedColumnFormula>
    </tableColumn>
    <tableColumn id="2" xr3:uid="{BF4C62D7-DABE-864B-A6FE-BDFF18F3A32B}" name="PO_Id" dataDxfId="33">
      <calculatedColumnFormula array="1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calculatedColumnFormula>
    </tableColumn>
    <tableColumn id="3" xr3:uid="{C63F9842-B1C2-3F4A-9651-5D7E2C555619}" name="VendorID" dataDxfId="32"/>
    <tableColumn id="32" xr3:uid="{C3FEF16C-D95F-2844-94A2-16F78ACD0BC8}" name="CargoID" dataDxfId="31"/>
    <tableColumn id="5" xr3:uid="{79881422-DA55-504C-B361-589EDDDA768D}" name="SKU_KEY" dataDxfId="30">
      <calculatedColumnFormula>_xlfn.XLOOKUP($N2,[1]!Table2[SKU_ID],[1]!Table2[SKU_key],"",0,1)</calculatedColumnFormula>
    </tableColumn>
    <tableColumn id="35" xr3:uid="{5DE93646-638B-AF47-8EA0-ED6D28FF374B}" name="Prepare_days" dataDxfId="29"/>
    <tableColumn id="37" xr3:uid="{20C36DCE-E295-D24A-BEEB-35FFBB016ABB}" name="Seller_Dlv_days" dataDxfId="28"/>
    <tableColumn id="39" xr3:uid="{492FB39D-8C0F-1748-8423-DFC223336D2B}" name="Cargo_ship_days" dataDxfId="27">
      <calculatedColumnFormula>_xlfn.XLOOKUP(Table3[[#This Row],[CargoID]],[1]M01_SETTINGS!I:I,[1]M01_SETTINGS!N:N,"",0,1)</calculatedColumnFormula>
    </tableColumn>
    <tableColumn id="34" xr3:uid="{5CFDAC8F-14CB-5247-9DBB-53536A1AE9DB}" name="Total_ship_days" dataDxfId="26">
      <calculatedColumnFormula>SUM(Table3[[#This Row],[Seller_Dlv_days]:[Cargo_ship_days]])</calculatedColumnFormula>
    </tableColumn>
    <tableColumn id="4" xr3:uid="{20F66E26-5EA4-EB42-BBAB-E7D7E7BE9F6B}" name="SKU_ID" dataDxfId="25"/>
    <tableColumn id="6" xr3:uid="{2E7774BF-39E0-1B4C-811D-AC3AD9488813}" name="Product_Type" dataDxfId="24">
      <calculatedColumnFormula>_xlfn.XLOOKUP($N2,[1]!Table2[SKU_ID],[1]!Table2[Product_Type],"",0,1)</calculatedColumnFormula>
    </tableColumn>
    <tableColumn id="7" xr3:uid="{C026C171-4EEF-B548-98AA-29B2A3EB7470}" name="MODEL" dataDxfId="23">
      <calculatedColumnFormula>_xlfn.XLOOKUP($N2,[1]!Table2[SKU_ID],[1]!Table2[Model],"",0,1)</calculatedColumnFormula>
    </tableColumn>
    <tableColumn id="8" xr3:uid="{B56D7761-D789-B84F-985F-0BF8993AB455}" name="Qty" dataDxfId="22"/>
    <tableColumn id="9" xr3:uid="{2C2EBEAA-E2DB-CA4E-8E37-4BD91D6475CB}" name="Total_model_order_qty" dataDxfId="21">
      <calculatedColumnFormula>SUMIFS(Table3[Qty],Table3[PO_Id],Table3[[#This Row],[PO_Id]],Table3[SKU_KEY],Table3[[#This Row],[SKU_KEY]])</calculatedColumnFormula>
    </tableColumn>
    <tableColumn id="33" xr3:uid="{7D2EE188-5ED3-DA40-B340-CB9778CD5AB9}" name="Total_order_places" dataDxfId="20"/>
    <tableColumn id="10" xr3:uid="{ADB08270-B50A-DA44-A2D1-66288ED2FF6E}" name="UnitCost_CNY" dataDxfId="19">
      <calculatedColumnFormula>_xlfn.XLOOKUP(Table3[[#This Row],[SKU_KEY]],[1]!Table2[SKU_key],[1]!Table2[BaseCost_CNY],"",0,1)</calculatedColumnFormula>
    </tableColumn>
    <tableColumn id="11" xr3:uid="{531A0F01-11F8-DF4D-B6B0-D0D22216D76D}" name="FX_CNYKZT" dataDxfId="18"/>
    <tableColumn id="12" xr3:uid="{4341A6B6-D3C1-AB44-9A0F-7FB4182FD5DC}" name="OrderCost_CNY" dataDxfId="17">
      <calculatedColumnFormula>T2*Q2</calculatedColumnFormula>
    </tableColumn>
    <tableColumn id="21" xr3:uid="{B2D27945-781B-8340-B07E-CA78BEE6FBFA}" name="Total_Model_OrderCost_CNY" dataDxfId="16">
      <calculatedColumnFormula>SUMIFS(Table3[OrderCost_CNY],Table3[PO_Id],Table3[[#This Row],[PO_Id]],Table3[SKU_KEY],Table3[[#This Row],[SKU_KEY]])</calculatedColumnFormula>
    </tableColumn>
    <tableColumn id="25" xr3:uid="{A275F8C3-E9F9-424B-8064-EB5AA514F15A}" name="Total_OrderCost_CNY" dataDxfId="15">
      <calculatedColumnFormula>SUMIFS(Table3[OrderCost_CNY],Table3[PO_Id],Table3[[#This Row],[PO_Id]])</calculatedColumnFormula>
    </tableColumn>
    <tableColumn id="13" xr3:uid="{ACAEE49B-A820-DB49-9AB5-ADB036E518E9}" name="OrderCost_KZT" dataDxfId="14">
      <calculatedColumnFormula>V2*U2</calculatedColumnFormula>
    </tableColumn>
    <tableColumn id="22" xr3:uid="{E3BA541E-068B-3C40-8FB9-D6E44A09B5B2}" name="Total_Model_OrderCost_KZT" dataDxfId="13">
      <calculatedColumnFormula>SUMIFS(Table3[OrderCost_KZT],Table3[PO_Id],Table3[[#This Row],[PO_Id]],Table3[SKU_KEY],Table3[[#This Row],[SKU_KEY]])</calculatedColumnFormula>
    </tableColumn>
    <tableColumn id="26" xr3:uid="{53B60229-7974-EC45-A911-7801B4558563}" name="Total_OrderCost_KZT" dataDxfId="12">
      <calculatedColumnFormula>SUMIFS(Table3[OrderCost_KZT],Table3[PO_Id],Table3[[#This Row],[PO_Id]])</calculatedColumnFormula>
    </tableColumn>
    <tableColumn id="14" xr3:uid="{656D4C14-FC18-0B4D-9850-24BD7605E366}" name="UnitWeight_kg" dataDxfId="11">
      <calculatedColumnFormula>_xlfn.XLOOKUP(Table3[[#This Row],[SKU_KEY]],[1]!Table2[SKU_key],[1]!Table2[Weight_kg],"",0,1)</calculatedColumnFormula>
    </tableColumn>
    <tableColumn id="23" xr3:uid="{B8F02F1C-BE04-BE4D-B9BF-B21358785056}" name="Total_Model_order_weight" dataDxfId="10">
      <calculatedColumnFormula>Table3[[#This Row],[UnitWeight_kg]]*Table3[[#This Row],[Total_model_order_qty]]</calculatedColumnFormula>
    </tableColumn>
    <tableColumn id="24" xr3:uid="{B94FBA34-0169-BB4B-86A8-CBE1075AFAD7}" name="Total_order_weight" dataDxfId="9">
      <calculatedColumnFormula array="1">SUM(_xlfn.UNIQUE(_xlfn._xlws.FILTER(Table3[Total_Model_order_weight],(Table3[PO_Id]=Table3[[#This Row],[PO_Id]]),""),FALSE,FALSE))</calculatedColumnFormula>
    </tableColumn>
    <tableColumn id="15" xr3:uid="{0F608EEA-4178-C142-AA30-8381152025F2}" name="DeliveryRate_USD" dataDxfId="8"/>
    <tableColumn id="16" xr3:uid="{FD309EB2-6C07-4D4B-A170-73FF1BFE1804}" name="FX_USDKZT" dataDxfId="7">
      <calculatedColumnFormula>SUMIFS([1]M01_SETTINGS!D:D,[1]M01_SETTINGS!A:A,"USD",[1]M01_SETTINGS!C:C,T03_PURCHASE_ORDERS!B2)</calculatedColumnFormula>
    </tableColumn>
    <tableColumn id="17" xr3:uid="{F05E4D97-F685-7C4D-8F62-3A2140CFC469}" name="Total_DeliveryCost_USD" dataDxfId="6">
      <calculatedColumnFormula>Table3[[#This Row],[Total_order_weight]]*Table3[[#This Row],[DeliveryRate_USD]]</calculatedColumnFormula>
    </tableColumn>
    <tableColumn id="27" xr3:uid="{A9F9F0F4-DEAC-614B-9BE2-13029131366E}" name="Total_Model_DeliveryCost_USD" dataDxfId="5">
      <calculatedColumnFormula>Table3[[#This Row],[Total_Model_order_weight]]*Table3[[#This Row],[DeliveryRate_USD]]</calculatedColumnFormula>
    </tableColumn>
    <tableColumn id="18" xr3:uid="{1E1B8701-C50D-D949-84B6-0142C12D6B5D}" name="Total_DeliveryCost_KZT" dataDxfId="4">
      <calculatedColumnFormula>Table3[[#This Row],[Total_DeliveryCost_USD]]*Table3[[#This Row],[FX_USDKZT]]</calculatedColumnFormula>
    </tableColumn>
    <tableColumn id="28" xr3:uid="{DB3A5E28-2F5A-0349-9999-8BE496C4AED7}" name="Total_Model_DeliveryCost_KZT" dataDxfId="3">
      <calculatedColumnFormula>Table3[[#This Row],[Total_Model_DeliveryCost_USD]]*Table3[[#This Row],[FX_USDKZT]]</calculatedColumnFormula>
    </tableColumn>
    <tableColumn id="19" xr3:uid="{0999E04B-C2D1-8D4E-BA76-929090843C10}" name="Total_FreightCost_KZT" dataDxfId="2">
      <calculatedColumnFormula>Table3[[#This Row],[Total_OrderCost_KZT]]+Table3[[#This Row],[Total_DeliveryCost_KZT]]</calculatedColumnFormula>
    </tableColumn>
    <tableColumn id="29" xr3:uid="{862898C9-538C-A249-A119-8033A206AFCC}" name="Total_Model_FreightCost_KZT" dataDxfId="1">
      <calculatedColumnFormula>Table3[[#This Row],[Total_Model_OrderCost_KZT]]+Table3[[#This Row],[Total_Model_DeliveryCost_KZT]]</calculatedColumnFormula>
    </tableColumn>
    <tableColumn id="20" xr3:uid="{6FD99CC3-E285-204D-95EE-DF263BCCB8BC}" name="Unit_COGS_KZT" dataDxfId="0">
      <calculatedColumnFormula>Table3[[#This Row],[Total_Model_FreightCost_KZT]]/Table3[[#This Row],[Total_model_order_qty]]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1CCB-216D-A541-96DA-688D0B98DC3C}">
  <sheetPr codeName="Sheet5"/>
  <dimension ref="A1:AT25"/>
  <sheetViews>
    <sheetView tabSelected="1" topLeftCell="N1" zoomScale="56" workbookViewId="0">
      <selection activeCell="Q13" sqref="Q13"/>
    </sheetView>
  </sheetViews>
  <sheetFormatPr baseColWidth="10" defaultRowHeight="31" x14ac:dyDescent="0.35"/>
  <cols>
    <col min="1" max="1" width="15" style="14" customWidth="1"/>
    <col min="2" max="2" width="10.1640625" bestFit="1" customWidth="1"/>
    <col min="3" max="3" width="10.1640625" customWidth="1"/>
    <col min="4" max="4" width="13.1640625" bestFit="1" customWidth="1"/>
    <col min="5" max="5" width="13.1640625" customWidth="1"/>
    <col min="6" max="6" width="27.1640625" bestFit="1" customWidth="1"/>
    <col min="7" max="8" width="9.6640625" style="14" customWidth="1"/>
    <col min="9" max="9" width="19.75" style="18" customWidth="1"/>
    <col min="10" max="10" width="11.08203125" style="14" customWidth="1"/>
    <col min="13" max="13" width="14.33203125" style="14" bestFit="1" customWidth="1"/>
    <col min="15" max="15" width="9.6640625" style="14" customWidth="1"/>
    <col min="17" max="17" width="22.75" style="14" customWidth="1"/>
    <col min="18" max="18" width="13.08203125" style="14" customWidth="1"/>
    <col min="19" max="19" width="7.75" style="14" customWidth="1"/>
    <col min="20" max="20" width="10.75" style="14" customWidth="1"/>
    <col min="21" max="22" width="14.6640625" style="14" customWidth="1"/>
    <col min="23" max="23" width="13.25" style="14" customWidth="1"/>
    <col min="24" max="24" width="11" style="14" customWidth="1"/>
    <col min="25" max="25" width="20" style="14" bestFit="1" customWidth="1"/>
    <col min="26" max="27" width="20" style="14" customWidth="1"/>
    <col min="28" max="30" width="17.9140625" style="14" customWidth="1"/>
    <col min="31" max="31" width="14" style="14" customWidth="1"/>
    <col min="32" max="32" width="27.9140625" style="14" bestFit="1" customWidth="1"/>
    <col min="33" max="33" width="21.6640625" style="14" bestFit="1" customWidth="1"/>
    <col min="34" max="34" width="16.5" style="14" customWidth="1"/>
    <col min="35" max="35" width="10.83203125" style="14" customWidth="1"/>
    <col min="36" max="37" width="16.33203125" style="14" customWidth="1"/>
    <col min="38" max="38" width="20.58203125" style="14" bestFit="1" customWidth="1"/>
    <col min="39" max="39" width="20.58203125" style="14" customWidth="1"/>
    <col min="41" max="41" width="26.1640625" style="14" bestFit="1" customWidth="1"/>
    <col min="42" max="42" width="14.4140625" style="14" customWidth="1"/>
  </cols>
  <sheetData>
    <row r="1" spans="1:46" s="2" customFormat="1" ht="5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6" t="s">
        <v>26</v>
      </c>
      <c r="AB1" s="1" t="s">
        <v>27</v>
      </c>
      <c r="AC1" s="1" t="s">
        <v>28</v>
      </c>
      <c r="AD1" s="6" t="s">
        <v>29</v>
      </c>
      <c r="AE1" s="1" t="s">
        <v>30</v>
      </c>
      <c r="AF1" s="1" t="s">
        <v>31</v>
      </c>
      <c r="AG1" s="6" t="s">
        <v>32</v>
      </c>
      <c r="AH1" s="1" t="s">
        <v>33</v>
      </c>
      <c r="AI1" s="6" t="s">
        <v>34</v>
      </c>
      <c r="AJ1" s="4" t="s">
        <v>35</v>
      </c>
      <c r="AK1" s="7" t="s">
        <v>36</v>
      </c>
      <c r="AL1" s="8" t="s">
        <v>37</v>
      </c>
      <c r="AM1" s="4" t="s">
        <v>38</v>
      </c>
    </row>
    <row r="2" spans="1:46" x14ac:dyDescent="0.35">
      <c r="A2" s="9">
        <v>45852</v>
      </c>
      <c r="B2" s="10">
        <f>Table3[[#This Row],[Inquiry_date]]+Table3[[#This Row],[Prepare_days]]</f>
        <v>45855</v>
      </c>
      <c r="C2" s="10">
        <f>Table3[[#This Row],[PO_Date]]</f>
        <v>45855</v>
      </c>
      <c r="D2" s="10">
        <f>Table3[[#This Row],[Ship_Date]]+_xlfn.XLOOKUP(Table3[[#This Row],[CargoID]],[1]M01_SETTINGS!I:I,[1]M01_SETTINGS!L:L,"",0,1)</f>
        <v>45865</v>
      </c>
      <c r="E2" s="10">
        <f>Table3[[#This Row],[Ship_Date]]+_xlfn.XLOOKUP(Table3[[#This Row],[CargoID]],[1]M01_SETTINGS!I:I,[1]M01_SETTINGS!N:N,"",0,1)</f>
        <v>45869</v>
      </c>
      <c r="F2" s="11" t="str" cm="1">
        <f t="array" ref="F2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SHR_(525)_17.07.25_PRINT51</v>
      </c>
      <c r="G2" s="12" t="s">
        <v>39</v>
      </c>
      <c r="H2" s="12">
        <v>525</v>
      </c>
      <c r="I2" s="3" t="str">
        <f>_xlfn.XLOOKUP($N2,[1]!Table2[SKU_ID],[1]!Table2[SKU_key],"",0,1)</f>
        <v>CL_OC_MEN_PRINT51_BLACK</v>
      </c>
      <c r="J2" s="12">
        <v>3</v>
      </c>
      <c r="K2" s="12">
        <v>1</v>
      </c>
      <c r="L2" s="12">
        <f>_xlfn.XLOOKUP(Table3[[#This Row],[CargoID]],[1]M01_SETTINGS!I:I,[1]M01_SETTINGS!N:N,"",0,1)</f>
        <v>14</v>
      </c>
      <c r="M2" s="12">
        <f>SUM(Table3[[#This Row],[Seller_Dlv_days]:[Cargo_ship_days]])</f>
        <v>15</v>
      </c>
      <c r="N2" s="13" t="s">
        <v>40</v>
      </c>
      <c r="O2" s="14" t="str">
        <f>_xlfn.XLOOKUP($N2,[1]!Table2[SKU_ID],[1]!Table2[Product_Type],"",0,1)</f>
        <v>CL</v>
      </c>
      <c r="P2" s="14" t="str">
        <f>_xlfn.XLOOKUP($N2,[1]!Table2[SKU_ID],[1]!Table2[Model],"",0,1)</f>
        <v>Print51</v>
      </c>
      <c r="Q2" s="12">
        <v>20</v>
      </c>
      <c r="R2" s="14">
        <f>SUMIFS(Table3[Qty],Table3[PO_Id],Table3[[#This Row],[PO_Id]],Table3[SKU_KEY],Table3[[#This Row],[SKU_KEY]])</f>
        <v>900</v>
      </c>
      <c r="S2" s="12">
        <v>15</v>
      </c>
      <c r="T2" s="14">
        <f>_xlfn.XLOOKUP(Table3[[#This Row],[SKU_KEY]],[1]!Table2[SKU_key],[1]!Table2[BaseCost_CNY],"",0,1)</f>
        <v>47</v>
      </c>
      <c r="U2" s="15">
        <v>75.2</v>
      </c>
      <c r="V2" s="14">
        <f>T2*Q2</f>
        <v>940</v>
      </c>
      <c r="W2" s="14">
        <f>SUMIFS(Table3[OrderCost_CNY],Table3[PO_Id],Table3[[#This Row],[PO_Id]],Table3[SKU_KEY],Table3[[#This Row],[SKU_KEY]])</f>
        <v>42300</v>
      </c>
      <c r="X2" s="14">
        <f>SUMIFS(Table3[OrderCost_CNY],Table3[PO_Id],Table3[[#This Row],[PO_Id]])</f>
        <v>42300</v>
      </c>
      <c r="Y2" s="14">
        <f>V2*U2</f>
        <v>70688</v>
      </c>
      <c r="Z2" s="14">
        <f>SUMIFS(Table3[OrderCost_KZT],Table3[PO_Id],Table3[[#This Row],[PO_Id]],Table3[SKU_KEY],Table3[[#This Row],[SKU_KEY]])</f>
        <v>3180960</v>
      </c>
      <c r="AA2" s="14">
        <f>SUMIFS(Table3[OrderCost_KZT],Table3[PO_Id],Table3[[#This Row],[PO_Id]])</f>
        <v>3180960</v>
      </c>
      <c r="AB2" s="16">
        <f>_xlfn.XLOOKUP(Table3[[#This Row],[SKU_KEY]],[1]!Table2[SKU_key],[1]!Table2[Weight_kg],"",0,1)</f>
        <v>0.95</v>
      </c>
      <c r="AC2" s="15">
        <f>Table3[[#This Row],[UnitWeight_kg]]*Table3[[#This Row],[Total_model_order_qty]]</f>
        <v>855</v>
      </c>
      <c r="AD2" s="15" cm="1">
        <f t="array" ref="AD2">SUM(_xlfn.UNIQUE(_xlfn._xlws.FILTER(Table3[Total_Model_order_weight],(Table3[PO_Id]=Table3[[#This Row],[PO_Id]]),""),FALSE,FALSE))</f>
        <v>855</v>
      </c>
      <c r="AE2" s="16">
        <v>1.97</v>
      </c>
      <c r="AF2" s="14">
        <v>550</v>
      </c>
      <c r="AG2" s="14">
        <f>Table3[[#This Row],[Total_order_weight]]*Table3[[#This Row],[DeliveryRate_USD]]</f>
        <v>1684.35</v>
      </c>
      <c r="AH2" s="14">
        <f>Table3[[#This Row],[Total_Model_order_weight]]*Table3[[#This Row],[DeliveryRate_USD]]</f>
        <v>1684.35</v>
      </c>
      <c r="AI2" s="14">
        <f>Table3[[#This Row],[Total_DeliveryCost_USD]]*Table3[[#This Row],[FX_USDKZT]]</f>
        <v>926392.5</v>
      </c>
      <c r="AJ2" s="14">
        <f>Table3[[#This Row],[Total_Model_DeliveryCost_USD]]*Table3[[#This Row],[FX_USDKZT]]</f>
        <v>926392.5</v>
      </c>
      <c r="AK2" s="14">
        <f>Table3[[#This Row],[Total_OrderCost_KZT]]+Table3[[#This Row],[Total_DeliveryCost_KZT]]</f>
        <v>4107352.5</v>
      </c>
      <c r="AL2" s="14">
        <f>Table3[[#This Row],[Total_Model_OrderCost_KZT]]+Table3[[#This Row],[Total_Model_DeliveryCost_KZT]]</f>
        <v>4107352.5</v>
      </c>
      <c r="AM2" s="14">
        <f>Table3[[#This Row],[Total_Model_FreightCost_KZT]]/Table3[[#This Row],[Total_model_order_qty]]</f>
        <v>4563.7250000000004</v>
      </c>
      <c r="AN2" s="14"/>
    </row>
    <row r="3" spans="1:46" s="17" customFormat="1" x14ac:dyDescent="0.35">
      <c r="A3" s="9">
        <v>45852</v>
      </c>
      <c r="B3" s="10">
        <f>Table3[[#This Row],[Inquiry_date]]+Table3[[#This Row],[Prepare_days]]</f>
        <v>45855</v>
      </c>
      <c r="C3" s="10">
        <f>Table3[[#This Row],[PO_Date]]</f>
        <v>45855</v>
      </c>
      <c r="D3" s="10">
        <f>Table3[[#This Row],[Ship_Date]]+_xlfn.XLOOKUP(Table3[[#This Row],[CargoID]],[1]M01_SETTINGS!I:I,[1]M01_SETTINGS!L:L,"",0,1)</f>
        <v>45865</v>
      </c>
      <c r="E3" s="10">
        <f>Table3[[#This Row],[Ship_Date]]+_xlfn.XLOOKUP(Table3[[#This Row],[CargoID]],[1]M01_SETTINGS!I:I,[1]M01_SETTINGS!N:N,"",0,1)</f>
        <v>45869</v>
      </c>
      <c r="F3" s="11" t="str" cm="1">
        <f t="array" ref="F3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SHR_(525)_17.07.25_PRINT51</v>
      </c>
      <c r="G3" s="12" t="s">
        <v>39</v>
      </c>
      <c r="H3" s="12">
        <v>525</v>
      </c>
      <c r="I3" s="3" t="str">
        <f>_xlfn.XLOOKUP($N3,[1]!Table2[SKU_ID],[1]!Table2[SKU_key],"",0,1)</f>
        <v>CL_OC_MEN_PRINT51_BLACK</v>
      </c>
      <c r="J3" s="12">
        <v>3</v>
      </c>
      <c r="K3" s="12">
        <v>1</v>
      </c>
      <c r="L3" s="12">
        <f>_xlfn.XLOOKUP(Table3[[#This Row],[CargoID]],[1]M01_SETTINGS!I:I,[1]M01_SETTINGS!N:N,"",0,1)</f>
        <v>14</v>
      </c>
      <c r="M3" s="12">
        <f>SUM(Table3[[#This Row],[Seller_Dlv_days]:[Cargo_ship_days]])</f>
        <v>15</v>
      </c>
      <c r="N3" s="13" t="s">
        <v>41</v>
      </c>
      <c r="O3" s="14" t="str">
        <f>_xlfn.XLOOKUP($N3,[1]!Table2[SKU_ID],[1]!Table2[Product_Type],"",0,1)</f>
        <v>CL</v>
      </c>
      <c r="P3" s="14" t="str">
        <f>_xlfn.XLOOKUP($N3,[1]!Table2[SKU_ID],[1]!Table2[Model],"",0,1)</f>
        <v>Print51</v>
      </c>
      <c r="Q3" s="12">
        <v>60</v>
      </c>
      <c r="R3" s="14">
        <f>SUMIFS(Table3[Qty],Table3[PO_Id],Table3[[#This Row],[PO_Id]],Table3[SKU_KEY],Table3[[#This Row],[SKU_KEY]])</f>
        <v>900</v>
      </c>
      <c r="S3" s="12">
        <v>15</v>
      </c>
      <c r="T3" s="14">
        <f>_xlfn.XLOOKUP(Table3[[#This Row],[SKU_KEY]],[1]!Table2[SKU_key],[1]!Table2[BaseCost_CNY],"",0,1)</f>
        <v>47</v>
      </c>
      <c r="U3" s="15">
        <v>75.2</v>
      </c>
      <c r="V3" s="14">
        <f>T3*Q3</f>
        <v>2820</v>
      </c>
      <c r="W3" s="14">
        <f>SUMIFS(Table3[OrderCost_CNY],Table3[PO_Id],Table3[[#This Row],[PO_Id]],Table3[SKU_KEY],Table3[[#This Row],[SKU_KEY]])</f>
        <v>42300</v>
      </c>
      <c r="X3" s="14">
        <f>SUMIFS(Table3[OrderCost_CNY],Table3[PO_Id],Table3[[#This Row],[PO_Id]])</f>
        <v>42300</v>
      </c>
      <c r="Y3" s="14">
        <f>V3*U3</f>
        <v>212064</v>
      </c>
      <c r="Z3" s="14">
        <f>SUMIFS(Table3[OrderCost_KZT],Table3[PO_Id],Table3[[#This Row],[PO_Id]],Table3[SKU_KEY],Table3[[#This Row],[SKU_KEY]])</f>
        <v>3180960</v>
      </c>
      <c r="AA3" s="14">
        <f>SUMIFS(Table3[OrderCost_KZT],Table3[PO_Id],Table3[[#This Row],[PO_Id]])</f>
        <v>3180960</v>
      </c>
      <c r="AB3" s="16">
        <f>_xlfn.XLOOKUP(Table3[[#This Row],[SKU_KEY]],[1]!Table2[SKU_key],[1]!Table2[Weight_kg],"",0,1)</f>
        <v>0.95</v>
      </c>
      <c r="AC3" s="15">
        <f>Table3[[#This Row],[UnitWeight_kg]]*Table3[[#This Row],[Total_model_order_qty]]</f>
        <v>855</v>
      </c>
      <c r="AD3" s="15" cm="1">
        <f t="array" ref="AD3">SUM(_xlfn.UNIQUE(_xlfn._xlws.FILTER(Table3[Total_Model_order_weight],(Table3[PO_Id]=Table3[[#This Row],[PO_Id]]),""),FALSE,FALSE))</f>
        <v>855</v>
      </c>
      <c r="AE3" s="16">
        <v>1.97</v>
      </c>
      <c r="AF3" s="14">
        <v>550</v>
      </c>
      <c r="AG3" s="14">
        <f>Table3[[#This Row],[Total_order_weight]]*Table3[[#This Row],[DeliveryRate_USD]]</f>
        <v>1684.35</v>
      </c>
      <c r="AH3" s="14">
        <f>Table3[[#This Row],[Total_Model_order_weight]]*Table3[[#This Row],[DeliveryRate_USD]]</f>
        <v>1684.35</v>
      </c>
      <c r="AI3" s="14">
        <f>Table3[[#This Row],[Total_DeliveryCost_USD]]*Table3[[#This Row],[FX_USDKZT]]</f>
        <v>926392.5</v>
      </c>
      <c r="AJ3" s="14">
        <f>Table3[[#This Row],[Total_Model_DeliveryCost_USD]]*Table3[[#This Row],[FX_USDKZT]]</f>
        <v>926392.5</v>
      </c>
      <c r="AK3" s="14">
        <f>Table3[[#This Row],[Total_OrderCost_KZT]]+Table3[[#This Row],[Total_DeliveryCost_KZT]]</f>
        <v>4107352.5</v>
      </c>
      <c r="AL3" s="14">
        <f>Table3[[#This Row],[Total_Model_OrderCost_KZT]]+Table3[[#This Row],[Total_Model_DeliveryCost_KZT]]</f>
        <v>4107352.5</v>
      </c>
      <c r="AM3" s="14">
        <f>Table3[[#This Row],[Total_Model_FreightCost_KZT]]/Table3[[#This Row],[Total_model_order_qty]]</f>
        <v>4563.7250000000004</v>
      </c>
      <c r="AN3" s="14"/>
      <c r="AO3" s="14"/>
      <c r="AP3" s="14"/>
    </row>
    <row r="4" spans="1:46" x14ac:dyDescent="0.35">
      <c r="A4" s="9">
        <v>45852</v>
      </c>
      <c r="B4" s="10">
        <f>Table3[[#This Row],[Inquiry_date]]+Table3[[#This Row],[Prepare_days]]</f>
        <v>45855</v>
      </c>
      <c r="C4" s="10">
        <f>Table3[[#This Row],[PO_Date]]</f>
        <v>45855</v>
      </c>
      <c r="D4" s="10">
        <f>Table3[[#This Row],[Ship_Date]]+_xlfn.XLOOKUP(Table3[[#This Row],[CargoID]],[1]M01_SETTINGS!I:I,[1]M01_SETTINGS!L:L,"",0,1)</f>
        <v>45865</v>
      </c>
      <c r="E4" s="10">
        <f>Table3[[#This Row],[Ship_Date]]+_xlfn.XLOOKUP(Table3[[#This Row],[CargoID]],[1]M01_SETTINGS!I:I,[1]M01_SETTINGS!N:N,"",0,1)</f>
        <v>45869</v>
      </c>
      <c r="F4" s="11" t="str" cm="1">
        <f t="array" ref="F4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SHR_(525)_17.07.25_PRINT51</v>
      </c>
      <c r="G4" s="12" t="s">
        <v>39</v>
      </c>
      <c r="H4" s="12">
        <v>525</v>
      </c>
      <c r="I4" s="3" t="str">
        <f>_xlfn.XLOOKUP($N4,[1]!Table2[SKU_ID],[1]!Table2[SKU_key],"",0,1)</f>
        <v>CL_OC_MEN_PRINT51_BLACK</v>
      </c>
      <c r="J4" s="12">
        <v>3</v>
      </c>
      <c r="K4" s="12">
        <v>1</v>
      </c>
      <c r="L4" s="12">
        <f>_xlfn.XLOOKUP(Table3[[#This Row],[CargoID]],[1]M01_SETTINGS!I:I,[1]M01_SETTINGS!N:N,"",0,1)</f>
        <v>14</v>
      </c>
      <c r="M4" s="12">
        <f>SUM(Table3[[#This Row],[Seller_Dlv_days]:[Cargo_ship_days]])</f>
        <v>15</v>
      </c>
      <c r="N4" s="13" t="s">
        <v>42</v>
      </c>
      <c r="O4" s="14" t="str">
        <f>_xlfn.XLOOKUP($N4,[1]!Table2[SKU_ID],[1]!Table2[Product_Type],"",0,1)</f>
        <v>CL</v>
      </c>
      <c r="P4" s="14" t="str">
        <f>_xlfn.XLOOKUP($N4,[1]!Table2[SKU_ID],[1]!Table2[Model],"",0,1)</f>
        <v>Print51</v>
      </c>
      <c r="Q4" s="12">
        <v>120</v>
      </c>
      <c r="R4" s="14">
        <f>SUMIFS(Table3[Qty],Table3[PO_Id],Table3[[#This Row],[PO_Id]],Table3[SKU_KEY],Table3[[#This Row],[SKU_KEY]])</f>
        <v>900</v>
      </c>
      <c r="S4" s="12">
        <v>15</v>
      </c>
      <c r="T4" s="14">
        <f>_xlfn.XLOOKUP(Table3[[#This Row],[SKU_KEY]],[1]!Table2[SKU_key],[1]!Table2[BaseCost_CNY],"",0,1)</f>
        <v>47</v>
      </c>
      <c r="U4" s="15">
        <v>75.2</v>
      </c>
      <c r="V4" s="14">
        <f t="shared" ref="V4:V9" si="0">T4*Q4</f>
        <v>5640</v>
      </c>
      <c r="W4" s="14">
        <f>SUMIFS(Table3[OrderCost_CNY],Table3[PO_Id],Table3[[#This Row],[PO_Id]],Table3[SKU_KEY],Table3[[#This Row],[SKU_KEY]])</f>
        <v>42300</v>
      </c>
      <c r="X4" s="14">
        <f>SUMIFS(Table3[OrderCost_CNY],Table3[PO_Id],Table3[[#This Row],[PO_Id]])</f>
        <v>42300</v>
      </c>
      <c r="Y4" s="14">
        <f t="shared" ref="Y4:Y9" si="1">V4*U4</f>
        <v>424128</v>
      </c>
      <c r="Z4" s="14">
        <f>SUMIFS(Table3[OrderCost_KZT],Table3[PO_Id],Table3[[#This Row],[PO_Id]],Table3[SKU_KEY],Table3[[#This Row],[SKU_KEY]])</f>
        <v>3180960</v>
      </c>
      <c r="AA4" s="14">
        <f>SUMIFS(Table3[OrderCost_KZT],Table3[PO_Id],Table3[[#This Row],[PO_Id]])</f>
        <v>3180960</v>
      </c>
      <c r="AB4" s="16">
        <f>_xlfn.XLOOKUP(Table3[[#This Row],[SKU_KEY]],[1]!Table2[SKU_key],[1]!Table2[Weight_kg],"",0,1)</f>
        <v>0.95</v>
      </c>
      <c r="AC4" s="15">
        <f>Table3[[#This Row],[UnitWeight_kg]]*Table3[[#This Row],[Total_model_order_qty]]</f>
        <v>855</v>
      </c>
      <c r="AD4" s="15" cm="1">
        <f t="array" ref="AD4">SUM(_xlfn.UNIQUE(_xlfn._xlws.FILTER(Table3[Total_Model_order_weight],(Table3[PO_Id]=Table3[[#This Row],[PO_Id]]),""),FALSE,FALSE))</f>
        <v>855</v>
      </c>
      <c r="AE4" s="16">
        <v>1.97</v>
      </c>
      <c r="AF4" s="14">
        <v>550</v>
      </c>
      <c r="AG4" s="14">
        <f>Table3[[#This Row],[Total_order_weight]]*Table3[[#This Row],[DeliveryRate_USD]]</f>
        <v>1684.35</v>
      </c>
      <c r="AH4" s="14">
        <f>Table3[[#This Row],[Total_Model_order_weight]]*Table3[[#This Row],[DeliveryRate_USD]]</f>
        <v>1684.35</v>
      </c>
      <c r="AI4" s="14">
        <f>Table3[[#This Row],[Total_DeliveryCost_USD]]*Table3[[#This Row],[FX_USDKZT]]</f>
        <v>926392.5</v>
      </c>
      <c r="AJ4" s="14">
        <f>Table3[[#This Row],[Total_Model_DeliveryCost_USD]]*Table3[[#This Row],[FX_USDKZT]]</f>
        <v>926392.5</v>
      </c>
      <c r="AK4" s="14">
        <f>Table3[[#This Row],[Total_OrderCost_KZT]]+Table3[[#This Row],[Total_DeliveryCost_KZT]]</f>
        <v>4107352.5</v>
      </c>
      <c r="AL4" s="14">
        <f>Table3[[#This Row],[Total_Model_OrderCost_KZT]]+Table3[[#This Row],[Total_Model_DeliveryCost_KZT]]</f>
        <v>4107352.5</v>
      </c>
      <c r="AM4" s="14">
        <f>Table3[[#This Row],[Total_Model_FreightCost_KZT]]/Table3[[#This Row],[Total_model_order_qty]]</f>
        <v>4563.7250000000004</v>
      </c>
      <c r="AN4" s="14"/>
    </row>
    <row r="5" spans="1:46" x14ac:dyDescent="0.35">
      <c r="A5" s="9">
        <v>45852</v>
      </c>
      <c r="B5" s="10">
        <f>Table3[[#This Row],[Inquiry_date]]+Table3[[#This Row],[Prepare_days]]</f>
        <v>45855</v>
      </c>
      <c r="C5" s="10">
        <f>Table3[[#This Row],[PO_Date]]</f>
        <v>45855</v>
      </c>
      <c r="D5" s="10">
        <f>Table3[[#This Row],[Ship_Date]]+_xlfn.XLOOKUP(Table3[[#This Row],[CargoID]],[1]M01_SETTINGS!I:I,[1]M01_SETTINGS!L:L,"",0,1)</f>
        <v>45865</v>
      </c>
      <c r="E5" s="10">
        <f>Table3[[#This Row],[Ship_Date]]+_xlfn.XLOOKUP(Table3[[#This Row],[CargoID]],[1]M01_SETTINGS!I:I,[1]M01_SETTINGS!N:N,"",0,1)</f>
        <v>45869</v>
      </c>
      <c r="F5" s="11" t="str" cm="1">
        <f t="array" ref="F5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SHR_(525)_17.07.25_PRINT51</v>
      </c>
      <c r="G5" s="12" t="s">
        <v>39</v>
      </c>
      <c r="H5" s="12">
        <v>525</v>
      </c>
      <c r="I5" s="3" t="str">
        <f>_xlfn.XLOOKUP($N5,[1]!Table2[SKU_ID],[1]!Table2[SKU_key],"",0,1)</f>
        <v>CL_OC_MEN_PRINT51_BLACK</v>
      </c>
      <c r="J5" s="12">
        <v>3</v>
      </c>
      <c r="K5" s="12">
        <v>1</v>
      </c>
      <c r="L5" s="12">
        <f>_xlfn.XLOOKUP(Table3[[#This Row],[CargoID]],[1]M01_SETTINGS!I:I,[1]M01_SETTINGS!N:N,"",0,1)</f>
        <v>14</v>
      </c>
      <c r="M5" s="12">
        <f>SUM(Table3[[#This Row],[Seller_Dlv_days]:[Cargo_ship_days]])</f>
        <v>15</v>
      </c>
      <c r="N5" s="13" t="s">
        <v>43</v>
      </c>
      <c r="O5" s="14" t="str">
        <f>_xlfn.XLOOKUP($N5,[1]!Table2[SKU_ID],[1]!Table2[Product_Type],"",0,1)</f>
        <v>CL</v>
      </c>
      <c r="P5" s="14" t="str">
        <f>_xlfn.XLOOKUP($N5,[1]!Table2[SKU_ID],[1]!Table2[Model],"",0,1)</f>
        <v>Print51</v>
      </c>
      <c r="Q5" s="12">
        <v>270</v>
      </c>
      <c r="R5" s="14">
        <f>SUMIFS(Table3[Qty],Table3[PO_Id],Table3[[#This Row],[PO_Id]],Table3[SKU_KEY],Table3[[#This Row],[SKU_KEY]])</f>
        <v>900</v>
      </c>
      <c r="S5" s="12">
        <v>15</v>
      </c>
      <c r="T5" s="14">
        <f>_xlfn.XLOOKUP(Table3[[#This Row],[SKU_KEY]],[1]!Table2[SKU_key],[1]!Table2[BaseCost_CNY],"",0,1)</f>
        <v>47</v>
      </c>
      <c r="U5" s="15">
        <v>75.2</v>
      </c>
      <c r="V5" s="14">
        <f t="shared" si="0"/>
        <v>12690</v>
      </c>
      <c r="W5" s="14">
        <f>SUMIFS(Table3[OrderCost_CNY],Table3[PO_Id],Table3[[#This Row],[PO_Id]],Table3[SKU_KEY],Table3[[#This Row],[SKU_KEY]])</f>
        <v>42300</v>
      </c>
      <c r="X5" s="14">
        <f>SUMIFS(Table3[OrderCost_CNY],Table3[PO_Id],Table3[[#This Row],[PO_Id]])</f>
        <v>42300</v>
      </c>
      <c r="Y5" s="14">
        <f t="shared" si="1"/>
        <v>954288</v>
      </c>
      <c r="Z5" s="14">
        <f>SUMIFS(Table3[OrderCost_KZT],Table3[PO_Id],Table3[[#This Row],[PO_Id]],Table3[SKU_KEY],Table3[[#This Row],[SKU_KEY]])</f>
        <v>3180960</v>
      </c>
      <c r="AA5" s="14">
        <f>SUMIFS(Table3[OrderCost_KZT],Table3[PO_Id],Table3[[#This Row],[PO_Id]])</f>
        <v>3180960</v>
      </c>
      <c r="AB5" s="16">
        <f>_xlfn.XLOOKUP(Table3[[#This Row],[SKU_KEY]],[1]!Table2[SKU_key],[1]!Table2[Weight_kg],"",0,1)</f>
        <v>0.95</v>
      </c>
      <c r="AC5" s="15">
        <f>Table3[[#This Row],[UnitWeight_kg]]*Table3[[#This Row],[Total_model_order_qty]]</f>
        <v>855</v>
      </c>
      <c r="AD5" s="15" cm="1">
        <f t="array" ref="AD5">SUM(_xlfn.UNIQUE(_xlfn._xlws.FILTER(Table3[Total_Model_order_weight],(Table3[PO_Id]=Table3[[#This Row],[PO_Id]]),""),FALSE,FALSE))</f>
        <v>855</v>
      </c>
      <c r="AE5" s="16">
        <v>1.97</v>
      </c>
      <c r="AF5" s="14">
        <v>550</v>
      </c>
      <c r="AG5" s="14">
        <f>Table3[[#This Row],[Total_order_weight]]*Table3[[#This Row],[DeliveryRate_USD]]</f>
        <v>1684.35</v>
      </c>
      <c r="AH5" s="14">
        <f>Table3[[#This Row],[Total_Model_order_weight]]*Table3[[#This Row],[DeliveryRate_USD]]</f>
        <v>1684.35</v>
      </c>
      <c r="AI5" s="14">
        <f>Table3[[#This Row],[Total_DeliveryCost_USD]]*Table3[[#This Row],[FX_USDKZT]]</f>
        <v>926392.5</v>
      </c>
      <c r="AJ5" s="14">
        <f>Table3[[#This Row],[Total_Model_DeliveryCost_USD]]*Table3[[#This Row],[FX_USDKZT]]</f>
        <v>926392.5</v>
      </c>
      <c r="AK5" s="14">
        <f>Table3[[#This Row],[Total_OrderCost_KZT]]+Table3[[#This Row],[Total_DeliveryCost_KZT]]</f>
        <v>4107352.5</v>
      </c>
      <c r="AL5" s="14">
        <f>Table3[[#This Row],[Total_Model_OrderCost_KZT]]+Table3[[#This Row],[Total_Model_DeliveryCost_KZT]]</f>
        <v>4107352.5</v>
      </c>
      <c r="AM5" s="14">
        <f>Table3[[#This Row],[Total_Model_FreightCost_KZT]]/Table3[[#This Row],[Total_model_order_qty]]</f>
        <v>4563.7250000000004</v>
      </c>
      <c r="AN5" s="14"/>
    </row>
    <row r="6" spans="1:46" x14ac:dyDescent="0.35">
      <c r="A6" s="9">
        <v>45852</v>
      </c>
      <c r="B6" s="10">
        <f>Table3[[#This Row],[Inquiry_date]]+Table3[[#This Row],[Prepare_days]]</f>
        <v>45855</v>
      </c>
      <c r="C6" s="10">
        <f>Table3[[#This Row],[PO_Date]]</f>
        <v>45855</v>
      </c>
      <c r="D6" s="10">
        <f>Table3[[#This Row],[Ship_Date]]+_xlfn.XLOOKUP(Table3[[#This Row],[CargoID]],[1]M01_SETTINGS!I:I,[1]M01_SETTINGS!L:L,"",0,1)</f>
        <v>45865</v>
      </c>
      <c r="E6" s="10">
        <f>Table3[[#This Row],[Ship_Date]]+_xlfn.XLOOKUP(Table3[[#This Row],[CargoID]],[1]M01_SETTINGS!I:I,[1]M01_SETTINGS!N:N,"",0,1)</f>
        <v>45869</v>
      </c>
      <c r="F6" s="11" t="str" cm="1">
        <f t="array" ref="F6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SHR_(525)_17.07.25_PRINT51</v>
      </c>
      <c r="G6" s="12" t="s">
        <v>39</v>
      </c>
      <c r="H6" s="12">
        <v>525</v>
      </c>
      <c r="I6" s="3" t="str">
        <f>_xlfn.XLOOKUP($N6,[1]!Table2[SKU_ID],[1]!Table2[SKU_key],"",0,1)</f>
        <v>CL_OC_MEN_PRINT51_BLACK</v>
      </c>
      <c r="J6" s="12">
        <v>3</v>
      </c>
      <c r="K6" s="12">
        <v>1</v>
      </c>
      <c r="L6" s="12">
        <f>_xlfn.XLOOKUP(Table3[[#This Row],[CargoID]],[1]M01_SETTINGS!I:I,[1]M01_SETTINGS!N:N,"",0,1)</f>
        <v>14</v>
      </c>
      <c r="M6" s="12">
        <f>SUM(Table3[[#This Row],[Seller_Dlv_days]:[Cargo_ship_days]])</f>
        <v>15</v>
      </c>
      <c r="N6" s="13" t="s">
        <v>44</v>
      </c>
      <c r="O6" s="14" t="str">
        <f>_xlfn.XLOOKUP($N6,[1]!Table2[SKU_ID],[1]!Table2[Product_Type],"",0,1)</f>
        <v>CL</v>
      </c>
      <c r="P6" s="14" t="str">
        <f>_xlfn.XLOOKUP($N6,[1]!Table2[SKU_ID],[1]!Table2[Model],"",0,1)</f>
        <v>Print51</v>
      </c>
      <c r="Q6" s="12">
        <v>170</v>
      </c>
      <c r="R6" s="14">
        <f>SUMIFS(Table3[Qty],Table3[PO_Id],Table3[[#This Row],[PO_Id]],Table3[SKU_KEY],Table3[[#This Row],[SKU_KEY]])</f>
        <v>900</v>
      </c>
      <c r="S6" s="12">
        <v>15</v>
      </c>
      <c r="T6" s="14">
        <f>_xlfn.XLOOKUP(Table3[[#This Row],[SKU_KEY]],[1]!Table2[SKU_key],[1]!Table2[BaseCost_CNY],"",0,1)</f>
        <v>47</v>
      </c>
      <c r="U6" s="15">
        <v>75.2</v>
      </c>
      <c r="V6" s="14">
        <f t="shared" si="0"/>
        <v>7990</v>
      </c>
      <c r="W6" s="14">
        <f>SUMIFS(Table3[OrderCost_CNY],Table3[PO_Id],Table3[[#This Row],[PO_Id]],Table3[SKU_KEY],Table3[[#This Row],[SKU_KEY]])</f>
        <v>42300</v>
      </c>
      <c r="X6" s="14">
        <f>SUMIFS(Table3[OrderCost_CNY],Table3[PO_Id],Table3[[#This Row],[PO_Id]])</f>
        <v>42300</v>
      </c>
      <c r="Y6" s="14">
        <f t="shared" si="1"/>
        <v>600848</v>
      </c>
      <c r="Z6" s="14">
        <f>SUMIFS(Table3[OrderCost_KZT],Table3[PO_Id],Table3[[#This Row],[PO_Id]],Table3[SKU_KEY],Table3[[#This Row],[SKU_KEY]])</f>
        <v>3180960</v>
      </c>
      <c r="AA6" s="14">
        <f>SUMIFS(Table3[OrderCost_KZT],Table3[PO_Id],Table3[[#This Row],[PO_Id]])</f>
        <v>3180960</v>
      </c>
      <c r="AB6" s="16">
        <f>_xlfn.XLOOKUP(Table3[[#This Row],[SKU_KEY]],[1]!Table2[SKU_key],[1]!Table2[Weight_kg],"",0,1)</f>
        <v>0.95</v>
      </c>
      <c r="AC6" s="15">
        <f>Table3[[#This Row],[UnitWeight_kg]]*Table3[[#This Row],[Total_model_order_qty]]</f>
        <v>855</v>
      </c>
      <c r="AD6" s="15" cm="1">
        <f t="array" ref="AD6">SUM(_xlfn.UNIQUE(_xlfn._xlws.FILTER(Table3[Total_Model_order_weight],(Table3[PO_Id]=Table3[[#This Row],[PO_Id]]),""),FALSE,FALSE))</f>
        <v>855</v>
      </c>
      <c r="AE6" s="16">
        <v>1.97</v>
      </c>
      <c r="AF6" s="14">
        <v>550</v>
      </c>
      <c r="AG6" s="14">
        <f>Table3[[#This Row],[Total_order_weight]]*Table3[[#This Row],[DeliveryRate_USD]]</f>
        <v>1684.35</v>
      </c>
      <c r="AH6" s="14">
        <f>Table3[[#This Row],[Total_Model_order_weight]]*Table3[[#This Row],[DeliveryRate_USD]]</f>
        <v>1684.35</v>
      </c>
      <c r="AI6" s="14">
        <f>Table3[[#This Row],[Total_DeliveryCost_USD]]*Table3[[#This Row],[FX_USDKZT]]</f>
        <v>926392.5</v>
      </c>
      <c r="AJ6" s="14">
        <f>Table3[[#This Row],[Total_Model_DeliveryCost_USD]]*Table3[[#This Row],[FX_USDKZT]]</f>
        <v>926392.5</v>
      </c>
      <c r="AK6" s="14">
        <f>Table3[[#This Row],[Total_OrderCost_KZT]]+Table3[[#This Row],[Total_DeliveryCost_KZT]]</f>
        <v>4107352.5</v>
      </c>
      <c r="AL6" s="14">
        <f>Table3[[#This Row],[Total_Model_OrderCost_KZT]]+Table3[[#This Row],[Total_Model_DeliveryCost_KZT]]</f>
        <v>4107352.5</v>
      </c>
      <c r="AM6" s="14">
        <f>Table3[[#This Row],[Total_Model_FreightCost_KZT]]/Table3[[#This Row],[Total_model_order_qty]]</f>
        <v>4563.7250000000004</v>
      </c>
      <c r="AN6" s="14"/>
    </row>
    <row r="7" spans="1:46" x14ac:dyDescent="0.35">
      <c r="A7" s="9">
        <v>45852</v>
      </c>
      <c r="B7" s="10">
        <f>Table3[[#This Row],[Inquiry_date]]+Table3[[#This Row],[Prepare_days]]</f>
        <v>45855</v>
      </c>
      <c r="C7" s="10">
        <f>Table3[[#This Row],[PO_Date]]</f>
        <v>45855</v>
      </c>
      <c r="D7" s="10">
        <f>Table3[[#This Row],[Ship_Date]]+_xlfn.XLOOKUP(Table3[[#This Row],[CargoID]],[1]M01_SETTINGS!I:I,[1]M01_SETTINGS!L:L,"",0,1)</f>
        <v>45865</v>
      </c>
      <c r="E7" s="10">
        <f>Table3[[#This Row],[Ship_Date]]+_xlfn.XLOOKUP(Table3[[#This Row],[CargoID]],[1]M01_SETTINGS!I:I,[1]M01_SETTINGS!N:N,"",0,1)</f>
        <v>45869</v>
      </c>
      <c r="F7" s="11" t="str" cm="1">
        <f t="array" ref="F7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SHR_(525)_17.07.25_PRINT51</v>
      </c>
      <c r="G7" s="12" t="s">
        <v>39</v>
      </c>
      <c r="H7" s="12">
        <v>525</v>
      </c>
      <c r="I7" s="3" t="str">
        <f>_xlfn.XLOOKUP($N7,[1]!Table2[SKU_ID],[1]!Table2[SKU_key],"",0,1)</f>
        <v>CL_OC_MEN_PRINT51_BLACK</v>
      </c>
      <c r="J7" s="12">
        <v>3</v>
      </c>
      <c r="K7" s="12">
        <v>1</v>
      </c>
      <c r="L7" s="12">
        <f>_xlfn.XLOOKUP(Table3[[#This Row],[CargoID]],[1]M01_SETTINGS!I:I,[1]M01_SETTINGS!N:N,"",0,1)</f>
        <v>14</v>
      </c>
      <c r="M7" s="12">
        <f>SUM(Table3[[#This Row],[Seller_Dlv_days]:[Cargo_ship_days]])</f>
        <v>15</v>
      </c>
      <c r="N7" s="13" t="s">
        <v>45</v>
      </c>
      <c r="O7" s="14" t="str">
        <f>_xlfn.XLOOKUP($N7,[1]!Table2[SKU_ID],[1]!Table2[Product_Type],"",0,1)</f>
        <v>CL</v>
      </c>
      <c r="P7" s="14" t="str">
        <f>_xlfn.XLOOKUP($N7,[1]!Table2[SKU_ID],[1]!Table2[Model],"",0,1)</f>
        <v>Print51</v>
      </c>
      <c r="Q7" s="12">
        <v>150</v>
      </c>
      <c r="R7" s="14">
        <f>SUMIFS(Table3[Qty],Table3[PO_Id],Table3[[#This Row],[PO_Id]],Table3[SKU_KEY],Table3[[#This Row],[SKU_KEY]])</f>
        <v>900</v>
      </c>
      <c r="S7" s="12">
        <v>15</v>
      </c>
      <c r="T7" s="14">
        <f>_xlfn.XLOOKUP(Table3[[#This Row],[SKU_KEY]],[1]!Table2[SKU_key],[1]!Table2[BaseCost_CNY],"",0,1)</f>
        <v>47</v>
      </c>
      <c r="U7" s="15">
        <v>75.2</v>
      </c>
      <c r="V7" s="14">
        <f t="shared" si="0"/>
        <v>7050</v>
      </c>
      <c r="W7" s="14">
        <f>SUMIFS(Table3[OrderCost_CNY],Table3[PO_Id],Table3[[#This Row],[PO_Id]],Table3[SKU_KEY],Table3[[#This Row],[SKU_KEY]])</f>
        <v>42300</v>
      </c>
      <c r="X7" s="14">
        <f>SUMIFS(Table3[OrderCost_CNY],Table3[PO_Id],Table3[[#This Row],[PO_Id]])</f>
        <v>42300</v>
      </c>
      <c r="Y7" s="14">
        <f t="shared" si="1"/>
        <v>530160</v>
      </c>
      <c r="Z7" s="14">
        <f>SUMIFS(Table3[OrderCost_KZT],Table3[PO_Id],Table3[[#This Row],[PO_Id]],Table3[SKU_KEY],Table3[[#This Row],[SKU_KEY]])</f>
        <v>3180960</v>
      </c>
      <c r="AA7" s="14">
        <f>SUMIFS(Table3[OrderCost_KZT],Table3[PO_Id],Table3[[#This Row],[PO_Id]])</f>
        <v>3180960</v>
      </c>
      <c r="AB7" s="16">
        <f>_xlfn.XLOOKUP(Table3[[#This Row],[SKU_KEY]],[1]!Table2[SKU_key],[1]!Table2[Weight_kg],"",0,1)</f>
        <v>0.95</v>
      </c>
      <c r="AC7" s="15">
        <f>Table3[[#This Row],[UnitWeight_kg]]*Table3[[#This Row],[Total_model_order_qty]]</f>
        <v>855</v>
      </c>
      <c r="AD7" s="15" cm="1">
        <f t="array" ref="AD7">SUM(_xlfn.UNIQUE(_xlfn._xlws.FILTER(Table3[Total_Model_order_weight],(Table3[PO_Id]=Table3[[#This Row],[PO_Id]]),""),FALSE,FALSE))</f>
        <v>855</v>
      </c>
      <c r="AE7" s="16">
        <v>1.97</v>
      </c>
      <c r="AF7" s="14">
        <v>550</v>
      </c>
      <c r="AG7" s="14">
        <f>Table3[[#This Row],[Total_order_weight]]*Table3[[#This Row],[DeliveryRate_USD]]</f>
        <v>1684.35</v>
      </c>
      <c r="AH7" s="14">
        <f>Table3[[#This Row],[Total_Model_order_weight]]*Table3[[#This Row],[DeliveryRate_USD]]</f>
        <v>1684.35</v>
      </c>
      <c r="AI7" s="14">
        <f>Table3[[#This Row],[Total_DeliveryCost_USD]]*Table3[[#This Row],[FX_USDKZT]]</f>
        <v>926392.5</v>
      </c>
      <c r="AJ7" s="14">
        <f>Table3[[#This Row],[Total_Model_DeliveryCost_USD]]*Table3[[#This Row],[FX_USDKZT]]</f>
        <v>926392.5</v>
      </c>
      <c r="AK7" s="14">
        <f>Table3[[#This Row],[Total_OrderCost_KZT]]+Table3[[#This Row],[Total_DeliveryCost_KZT]]</f>
        <v>4107352.5</v>
      </c>
      <c r="AL7" s="14">
        <f>Table3[[#This Row],[Total_Model_OrderCost_KZT]]+Table3[[#This Row],[Total_Model_DeliveryCost_KZT]]</f>
        <v>4107352.5</v>
      </c>
      <c r="AM7" s="14">
        <f>Table3[[#This Row],[Total_Model_FreightCost_KZT]]/Table3[[#This Row],[Total_model_order_qty]]</f>
        <v>4563.7250000000004</v>
      </c>
      <c r="AN7" s="14"/>
    </row>
    <row r="8" spans="1:46" x14ac:dyDescent="0.35">
      <c r="A8" s="9">
        <v>45852</v>
      </c>
      <c r="B8" s="10">
        <f>Table3[[#This Row],[Inquiry_date]]+Table3[[#This Row],[Prepare_days]]</f>
        <v>45855</v>
      </c>
      <c r="C8" s="10">
        <f>Table3[[#This Row],[PO_Date]]</f>
        <v>45855</v>
      </c>
      <c r="D8" s="10">
        <f>Table3[[#This Row],[Ship_Date]]+_xlfn.XLOOKUP(Table3[[#This Row],[CargoID]],[1]M01_SETTINGS!I:I,[1]M01_SETTINGS!L:L,"",0,1)</f>
        <v>45865</v>
      </c>
      <c r="E8" s="10">
        <f>Table3[[#This Row],[Ship_Date]]+_xlfn.XLOOKUP(Table3[[#This Row],[CargoID]],[1]M01_SETTINGS!I:I,[1]M01_SETTINGS!N:N,"",0,1)</f>
        <v>45869</v>
      </c>
      <c r="F8" s="11" t="str" cm="1">
        <f t="array" ref="F8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SHR_(525)_17.07.25_PRINT51</v>
      </c>
      <c r="G8" s="12" t="s">
        <v>39</v>
      </c>
      <c r="H8" s="12">
        <v>525</v>
      </c>
      <c r="I8" s="3" t="str">
        <f>_xlfn.XLOOKUP($N8,[1]!Table2[SKU_ID],[1]!Table2[SKU_key],"",0,1)</f>
        <v>CL_OC_MEN_PRINT51_BLACK</v>
      </c>
      <c r="J8" s="12">
        <v>3</v>
      </c>
      <c r="K8" s="12">
        <v>1</v>
      </c>
      <c r="L8" s="12">
        <f>_xlfn.XLOOKUP(Table3[[#This Row],[CargoID]],[1]M01_SETTINGS!I:I,[1]M01_SETTINGS!N:N,"",0,1)</f>
        <v>14</v>
      </c>
      <c r="M8" s="12">
        <f>SUM(Table3[[#This Row],[Seller_Dlv_days]:[Cargo_ship_days]])</f>
        <v>15</v>
      </c>
      <c r="N8" s="13" t="s">
        <v>46</v>
      </c>
      <c r="O8" s="14" t="str">
        <f>_xlfn.XLOOKUP($N8,[1]!Table2[SKU_ID],[1]!Table2[Product_Type],"",0,1)</f>
        <v>CL</v>
      </c>
      <c r="P8" s="14" t="str">
        <f>_xlfn.XLOOKUP($N8,[1]!Table2[SKU_ID],[1]!Table2[Model],"",0,1)</f>
        <v>Print51</v>
      </c>
      <c r="Q8" s="12">
        <v>110</v>
      </c>
      <c r="R8" s="14">
        <f>SUMIFS(Table3[Qty],Table3[PO_Id],Table3[[#This Row],[PO_Id]],Table3[SKU_KEY],Table3[[#This Row],[SKU_KEY]])</f>
        <v>900</v>
      </c>
      <c r="S8" s="12">
        <v>15</v>
      </c>
      <c r="T8" s="14">
        <f>_xlfn.XLOOKUP(Table3[[#This Row],[SKU_KEY]],[1]!Table2[SKU_key],[1]!Table2[BaseCost_CNY],"",0,1)</f>
        <v>47</v>
      </c>
      <c r="U8" s="15">
        <v>75.2</v>
      </c>
      <c r="V8" s="14">
        <f t="shared" si="0"/>
        <v>5170</v>
      </c>
      <c r="W8" s="14">
        <f>SUMIFS(Table3[OrderCost_CNY],Table3[PO_Id],Table3[[#This Row],[PO_Id]],Table3[SKU_KEY],Table3[[#This Row],[SKU_KEY]])</f>
        <v>42300</v>
      </c>
      <c r="X8" s="14">
        <f>SUMIFS(Table3[OrderCost_CNY],Table3[PO_Id],Table3[[#This Row],[PO_Id]])</f>
        <v>42300</v>
      </c>
      <c r="Y8" s="14">
        <f t="shared" si="1"/>
        <v>388784</v>
      </c>
      <c r="Z8" s="14">
        <f>SUMIFS(Table3[OrderCost_KZT],Table3[PO_Id],Table3[[#This Row],[PO_Id]],Table3[SKU_KEY],Table3[[#This Row],[SKU_KEY]])</f>
        <v>3180960</v>
      </c>
      <c r="AA8" s="14">
        <f>SUMIFS(Table3[OrderCost_KZT],Table3[PO_Id],Table3[[#This Row],[PO_Id]])</f>
        <v>3180960</v>
      </c>
      <c r="AB8" s="16">
        <f>_xlfn.XLOOKUP(Table3[[#This Row],[SKU_KEY]],[1]!Table2[SKU_key],[1]!Table2[Weight_kg],"",0,1)</f>
        <v>0.95</v>
      </c>
      <c r="AC8" s="15">
        <f>Table3[[#This Row],[UnitWeight_kg]]*Table3[[#This Row],[Total_model_order_qty]]</f>
        <v>855</v>
      </c>
      <c r="AD8" s="15" cm="1">
        <f t="array" ref="AD8">SUM(_xlfn.UNIQUE(_xlfn._xlws.FILTER(Table3[Total_Model_order_weight],(Table3[PO_Id]=Table3[[#This Row],[PO_Id]]),""),FALSE,FALSE))</f>
        <v>855</v>
      </c>
      <c r="AE8" s="16">
        <v>1.97</v>
      </c>
      <c r="AF8" s="14">
        <v>550</v>
      </c>
      <c r="AG8" s="14">
        <f>Table3[[#This Row],[Total_order_weight]]*Table3[[#This Row],[DeliveryRate_USD]]</f>
        <v>1684.35</v>
      </c>
      <c r="AH8" s="14">
        <f>Table3[[#This Row],[Total_Model_order_weight]]*Table3[[#This Row],[DeliveryRate_USD]]</f>
        <v>1684.35</v>
      </c>
      <c r="AI8" s="14">
        <f>Table3[[#This Row],[Total_DeliveryCost_USD]]*Table3[[#This Row],[FX_USDKZT]]</f>
        <v>926392.5</v>
      </c>
      <c r="AJ8" s="14">
        <f>Table3[[#This Row],[Total_Model_DeliveryCost_USD]]*Table3[[#This Row],[FX_USDKZT]]</f>
        <v>926392.5</v>
      </c>
      <c r="AK8" s="14">
        <f>Table3[[#This Row],[Total_OrderCost_KZT]]+Table3[[#This Row],[Total_DeliveryCost_KZT]]</f>
        <v>4107352.5</v>
      </c>
      <c r="AL8" s="14">
        <f>Table3[[#This Row],[Total_Model_OrderCost_KZT]]+Table3[[#This Row],[Total_Model_DeliveryCost_KZT]]</f>
        <v>4107352.5</v>
      </c>
      <c r="AM8" s="14">
        <f>Table3[[#This Row],[Total_Model_FreightCost_KZT]]/Table3[[#This Row],[Total_model_order_qty]]</f>
        <v>4563.7250000000004</v>
      </c>
      <c r="AN8" s="14"/>
    </row>
    <row r="9" spans="1:46" x14ac:dyDescent="0.35">
      <c r="A9" s="9">
        <v>45852</v>
      </c>
      <c r="B9" s="10">
        <f>Table3[[#This Row],[Inquiry_date]]+Table3[[#This Row],[Prepare_days]]</f>
        <v>45859</v>
      </c>
      <c r="C9" s="10">
        <f>Table3[[#This Row],[PO_Date]]</f>
        <v>45859</v>
      </c>
      <c r="D9" s="10">
        <f>Table3[[#This Row],[Ship_Date]]+_xlfn.XLOOKUP(Table3[[#This Row],[CargoID]],[1]M01_SETTINGS!I:I,[1]M01_SETTINGS!L:L,"",0,1)</f>
        <v>45869</v>
      </c>
      <c r="E9" s="10">
        <f>Table3[[#This Row],[Ship_Date]]+_xlfn.XLOOKUP(Table3[[#This Row],[CargoID]],[1]M01_SETTINGS!I:I,[1]M01_SETTINGS!N:N,"",0,1)</f>
        <v>45873</v>
      </c>
      <c r="F9" s="11" t="str" cm="1">
        <f t="array" ref="F9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SHR_(525)_21.07.25_BELI51</v>
      </c>
      <c r="G9" s="12" t="s">
        <v>39</v>
      </c>
      <c r="H9" s="12">
        <v>525</v>
      </c>
      <c r="I9" s="3" t="str">
        <f>_xlfn.XLOOKUP($N9,[1]!Table2[SKU_ID],[1]!Table2[SKU_key],"",0,1)</f>
        <v>CL_OC_MEN_BELI51_WHITE</v>
      </c>
      <c r="J9" s="12">
        <v>7</v>
      </c>
      <c r="K9" s="12">
        <v>1</v>
      </c>
      <c r="L9" s="12">
        <f>_xlfn.XLOOKUP(Table3[[#This Row],[CargoID]],[1]M01_SETTINGS!I:I,[1]M01_SETTINGS!N:N,"",0,1)</f>
        <v>14</v>
      </c>
      <c r="M9" s="12">
        <f>SUM(Table3[[#This Row],[Seller_Dlv_days]:[Cargo_ship_days]])</f>
        <v>15</v>
      </c>
      <c r="N9" s="13" t="s">
        <v>47</v>
      </c>
      <c r="O9" s="14" t="str">
        <f>_xlfn.XLOOKUP($N9,[1]!Table2[SKU_ID],[1]!Table2[Product_Type],"",0,1)</f>
        <v>CL</v>
      </c>
      <c r="P9" s="14" t="str">
        <f>_xlfn.XLOOKUP($N9,[1]!Table2[SKU_ID],[1]!Table2[Model],"",0,1)</f>
        <v>BELI51</v>
      </c>
      <c r="Q9" s="12">
        <v>100</v>
      </c>
      <c r="R9" s="14">
        <f>SUMIFS(Table3[Qty],Table3[PO_Id],Table3[[#This Row],[PO_Id]],Table3[SKU_KEY],Table3[[#This Row],[SKU_KEY]])</f>
        <v>100</v>
      </c>
      <c r="S9" s="12">
        <v>15</v>
      </c>
      <c r="T9" s="14">
        <f>_xlfn.XLOOKUP(Table3[[#This Row],[SKU_KEY]],[1]!Table2[SKU_key],[1]!Table2[BaseCost_CNY],"",0,1)</f>
        <v>60</v>
      </c>
      <c r="U9" s="15">
        <v>75.2</v>
      </c>
      <c r="V9" s="14">
        <f t="shared" si="0"/>
        <v>6000</v>
      </c>
      <c r="W9" s="14">
        <f>SUMIFS(Table3[OrderCost_CNY],Table3[PO_Id],Table3[[#This Row],[PO_Id]],Table3[SKU_KEY],Table3[[#This Row],[SKU_KEY]])</f>
        <v>6000</v>
      </c>
      <c r="X9" s="14">
        <f>SUMIFS(Table3[OrderCost_CNY],Table3[PO_Id],Table3[[#This Row],[PO_Id]])</f>
        <v>6000</v>
      </c>
      <c r="Y9" s="14">
        <f t="shared" si="1"/>
        <v>451200</v>
      </c>
      <c r="Z9" s="14">
        <f>SUMIFS(Table3[OrderCost_KZT],Table3[PO_Id],Table3[[#This Row],[PO_Id]],Table3[SKU_KEY],Table3[[#This Row],[SKU_KEY]])</f>
        <v>451200</v>
      </c>
      <c r="AA9" s="14">
        <f>SUMIFS(Table3[OrderCost_KZT],Table3[PO_Id],Table3[[#This Row],[PO_Id]])</f>
        <v>451200</v>
      </c>
      <c r="AB9" s="16">
        <f>_xlfn.XLOOKUP(Table3[[#This Row],[SKU_KEY]],[1]!Table2[SKU_key],[1]!Table2[Weight_kg],"",0,1)</f>
        <v>0.95</v>
      </c>
      <c r="AC9" s="15">
        <f>Table3[[#This Row],[UnitWeight_kg]]*Table3[[#This Row],[Total_model_order_qty]]</f>
        <v>95</v>
      </c>
      <c r="AD9" s="15" cm="1">
        <f t="array" ref="AD9">SUM(_xlfn.UNIQUE(_xlfn._xlws.FILTER(Table3[Total_Model_order_weight],(Table3[PO_Id]=Table3[[#This Row],[PO_Id]]),""),FALSE,FALSE))</f>
        <v>95</v>
      </c>
      <c r="AE9" s="16">
        <v>1.97</v>
      </c>
      <c r="AF9" s="14">
        <v>550</v>
      </c>
      <c r="AG9" s="14">
        <f>Table3[[#This Row],[Total_order_weight]]*Table3[[#This Row],[DeliveryRate_USD]]</f>
        <v>187.15</v>
      </c>
      <c r="AH9" s="14">
        <f>Table3[[#This Row],[Total_Model_order_weight]]*Table3[[#This Row],[DeliveryRate_USD]]</f>
        <v>187.15</v>
      </c>
      <c r="AI9" s="14">
        <f>Table3[[#This Row],[Total_DeliveryCost_USD]]*Table3[[#This Row],[FX_USDKZT]]</f>
        <v>102932.5</v>
      </c>
      <c r="AJ9" s="14">
        <f>Table3[[#This Row],[Total_Model_DeliveryCost_USD]]*Table3[[#This Row],[FX_USDKZT]]</f>
        <v>102932.5</v>
      </c>
      <c r="AK9" s="14">
        <f>Table3[[#This Row],[Total_OrderCost_KZT]]+Table3[[#This Row],[Total_DeliveryCost_KZT]]</f>
        <v>554132.5</v>
      </c>
      <c r="AL9" s="14">
        <f>Table3[[#This Row],[Total_Model_OrderCost_KZT]]+Table3[[#This Row],[Total_Model_DeliveryCost_KZT]]</f>
        <v>554132.5</v>
      </c>
      <c r="AM9" s="14">
        <f>Table3[[#This Row],[Total_Model_FreightCost_KZT]]/Table3[[#This Row],[Total_model_order_qty]]</f>
        <v>5541.3249999999998</v>
      </c>
      <c r="AN9" s="14"/>
    </row>
    <row r="10" spans="1:46" x14ac:dyDescent="0.35">
      <c r="A10" s="9">
        <v>45839</v>
      </c>
      <c r="B10" s="10">
        <f>Table3[[#This Row],[Inquiry_date]]+Table3[[#This Row],[Prepare_days]]</f>
        <v>45844</v>
      </c>
      <c r="C10" s="10">
        <f>Table3[[#This Row],[PO_Date]]</f>
        <v>45844</v>
      </c>
      <c r="D10" s="10">
        <f>Table3[[#This Row],[Ship_Date]]+_xlfn.XLOOKUP(Table3[[#This Row],[CargoID]],[1]M01_SETTINGS!I:I,[1]M01_SETTINGS!L:L,"",0,1)</f>
        <v>45854</v>
      </c>
      <c r="E10" s="10">
        <f>Table3[[#This Row],[Ship_Date]]+_xlfn.XLOOKUP(Table3[[#This Row],[CargoID]],[1]M01_SETTINGS!I:I,[1]M01_SETTINGS!N:N,"",0,1)</f>
        <v>45858</v>
      </c>
      <c r="F10" s="11" t="str" cm="1">
        <f t="array" ref="F10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SHR_(525)_06.07.25_BELI51</v>
      </c>
      <c r="G10" s="12" t="s">
        <v>39</v>
      </c>
      <c r="H10" s="12">
        <v>525</v>
      </c>
      <c r="I10" s="3" t="str">
        <f>_xlfn.XLOOKUP($N10,[1]!Table2[SKU_ID],[1]!Table2[SKU_key],"",0,1)</f>
        <v>CL_OC_MEN_BELI51_WHITE</v>
      </c>
      <c r="J10" s="12">
        <v>5</v>
      </c>
      <c r="K10" s="12">
        <v>1</v>
      </c>
      <c r="L10" s="12">
        <f>_xlfn.XLOOKUP(Table3[[#This Row],[CargoID]],[1]M01_SETTINGS!I:I,[1]M01_SETTINGS!N:N,"",0,1)</f>
        <v>14</v>
      </c>
      <c r="M10" s="12">
        <f>SUM(Table3[[#This Row],[Seller_Dlv_days]:[Cargo_ship_days]])</f>
        <v>15</v>
      </c>
      <c r="N10" s="13" t="s">
        <v>48</v>
      </c>
      <c r="O10" s="12" t="str">
        <f>_xlfn.XLOOKUP($N10,[1]!Table2[SKU_ID],[1]!Table2[Product_Type],"",0,1)</f>
        <v>CL</v>
      </c>
      <c r="P10" s="14" t="str">
        <f>_xlfn.XLOOKUP($N10,[1]!Table2[SKU_ID],[1]!Table2[Model],"",0,1)</f>
        <v>BELI51</v>
      </c>
      <c r="Q10" s="12">
        <v>50</v>
      </c>
      <c r="R10" s="14">
        <f>SUMIFS(Table3[Qty],Table3[PO_Id],Table3[[#This Row],[PO_Id]],Table3[SKU_KEY],Table3[[#This Row],[SKU_KEY]])</f>
        <v>50</v>
      </c>
      <c r="S10" s="12">
        <v>2</v>
      </c>
      <c r="T10" s="14">
        <f>_xlfn.XLOOKUP(Table3[[#This Row],[SKU_KEY]],[1]!Table2[SKU_key],[1]!Table2[BaseCost_CNY],"",0,1)</f>
        <v>60</v>
      </c>
      <c r="U10" s="15">
        <v>74.2</v>
      </c>
      <c r="V10" s="12">
        <f>T10*Q10</f>
        <v>3000</v>
      </c>
      <c r="W10" s="14">
        <f>SUMIFS(Table3[OrderCost_CNY],Table3[PO_Id],Table3[[#This Row],[PO_Id]],Table3[SKU_KEY],Table3[[#This Row],[SKU_KEY]])</f>
        <v>3000</v>
      </c>
      <c r="X10" s="14">
        <f>SUMIFS(Table3[OrderCost_CNY],Table3[PO_Id],Table3[[#This Row],[PO_Id]])</f>
        <v>3000</v>
      </c>
      <c r="Y10" s="14">
        <f>V10*U10</f>
        <v>222600</v>
      </c>
      <c r="Z10" s="14">
        <f>SUMIFS(Table3[OrderCost_KZT],Table3[PO_Id],Table3[[#This Row],[PO_Id]],Table3[SKU_KEY],Table3[[#This Row],[SKU_KEY]])</f>
        <v>222600</v>
      </c>
      <c r="AA10" s="14">
        <f>SUMIFS(Table3[OrderCost_KZT],Table3[PO_Id],Table3[[#This Row],[PO_Id]])</f>
        <v>222600</v>
      </c>
      <c r="AB10" s="16">
        <f>_xlfn.XLOOKUP(Table3[[#This Row],[SKU_KEY]],[1]!Table2[SKU_key],[1]!Table2[Weight_kg],"",0,1)</f>
        <v>0.95</v>
      </c>
      <c r="AC10" s="15">
        <f>Table3[[#This Row],[UnitWeight_kg]]*Table3[[#This Row],[Total_model_order_qty]]</f>
        <v>47.5</v>
      </c>
      <c r="AD10" s="15" cm="1">
        <f t="array" ref="AD10">SUM(_xlfn.UNIQUE(_xlfn._xlws.FILTER(Table3[Total_Model_order_weight],(Table3[PO_Id]=Table3[[#This Row],[PO_Id]]),""),FALSE,FALSE))</f>
        <v>47.5</v>
      </c>
      <c r="AE10" s="16">
        <v>1.97</v>
      </c>
      <c r="AF10" s="14">
        <v>550</v>
      </c>
      <c r="AG10" s="14">
        <f>Table3[[#This Row],[Total_order_weight]]*Table3[[#This Row],[DeliveryRate_USD]]</f>
        <v>93.575000000000003</v>
      </c>
      <c r="AH10" s="14">
        <f>Table3[[#This Row],[Total_Model_order_weight]]*Table3[[#This Row],[DeliveryRate_USD]]</f>
        <v>93.575000000000003</v>
      </c>
      <c r="AI10" s="14">
        <f>Table3[[#This Row],[Total_DeliveryCost_USD]]*Table3[[#This Row],[FX_USDKZT]]</f>
        <v>51466.25</v>
      </c>
      <c r="AJ10" s="14">
        <f>Table3[[#This Row],[Total_Model_DeliveryCost_USD]]*Table3[[#This Row],[FX_USDKZT]]</f>
        <v>51466.25</v>
      </c>
      <c r="AK10" s="14">
        <f>Table3[[#This Row],[Total_OrderCost_KZT]]+Table3[[#This Row],[Total_DeliveryCost_KZT]]</f>
        <v>274066.25</v>
      </c>
      <c r="AL10" s="14">
        <f>Table3[[#This Row],[Total_Model_OrderCost_KZT]]+Table3[[#This Row],[Total_Model_DeliveryCost_KZT]]</f>
        <v>274066.25</v>
      </c>
      <c r="AM10" s="14">
        <f>Table3[[#This Row],[Total_Model_FreightCost_KZT]]/Table3[[#This Row],[Total_model_order_qty]]</f>
        <v>5481.3249999999998</v>
      </c>
      <c r="AQ10" s="14"/>
      <c r="AR10" s="14"/>
      <c r="AS10" s="14"/>
      <c r="AT10" s="14"/>
    </row>
    <row r="11" spans="1:46" x14ac:dyDescent="0.35">
      <c r="A11" s="9">
        <v>45839</v>
      </c>
      <c r="B11" s="10">
        <f>Table3[[#This Row],[Inquiry_date]]+Table3[[#This Row],[Prepare_days]]</f>
        <v>45840</v>
      </c>
      <c r="C11" s="10">
        <f>Table3[[#This Row],[PO_Date]]</f>
        <v>45840</v>
      </c>
      <c r="D11" s="10">
        <f>Table3[[#This Row],[Ship_Date]]+_xlfn.XLOOKUP(Table3[[#This Row],[CargoID]],[1]M01_SETTINGS!I:I,[1]M01_SETTINGS!L:L,"",0,1)</f>
        <v>45850</v>
      </c>
      <c r="E11" s="10">
        <f>Table3[[#This Row],[Ship_Date]]+_xlfn.XLOOKUP(Table3[[#This Row],[CargoID]],[1]M01_SETTINGS!I:I,[1]M01_SETTINGS!N:N,"",0,1)</f>
        <v>45854</v>
      </c>
      <c r="F11" s="11" t="str" cm="1">
        <f t="array" ref="F11">UPPER(_xlfn.TEXTJOIN("_",
   TRUE,
   Table3[[#This Row],[VendorID]],"("&amp;Table3[[#This Row],[CargoID]]&amp;")",
   TEXT(Table3[[#This Row],[PO_Date]],"dd.mm.yy"),
   _xlfn.UNIQUE(_xlfn._xlws.FILTER(Table3[MODEL], (Table3[[#This Row],[VendorID]]=Table3[[#This Row],[VendorID]]) * (Table3[PO_Date]=Table3[[#This Row],[PO_Date]])))
))</f>
        <v>SHR_(525)_02.07.25_PRINT51</v>
      </c>
      <c r="G11" s="12" t="s">
        <v>39</v>
      </c>
      <c r="H11" s="12">
        <v>525</v>
      </c>
      <c r="I11" s="3" t="str">
        <f>_xlfn.XLOOKUP($N11,[1]!Table2[SKU_ID],[1]!Table2[SKU_key],"",0,1)</f>
        <v>CL_OC_MEN_PRINT51_BLACK</v>
      </c>
      <c r="J11" s="12">
        <v>1</v>
      </c>
      <c r="K11" s="12">
        <v>1</v>
      </c>
      <c r="L11" s="12">
        <f>_xlfn.XLOOKUP(Table3[[#This Row],[CargoID]],[1]M01_SETTINGS!I:I,[1]M01_SETTINGS!N:N,"",0,1)</f>
        <v>14</v>
      </c>
      <c r="M11" s="12">
        <f>SUM(Table3[[#This Row],[Seller_Dlv_days]:[Cargo_ship_days]])</f>
        <v>15</v>
      </c>
      <c r="N11" s="13" t="s">
        <v>44</v>
      </c>
      <c r="O11" s="12" t="str">
        <f>_xlfn.XLOOKUP($N11,[1]!Table2[SKU_ID],[1]!Table2[Product_Type],"",0,1)</f>
        <v>CL</v>
      </c>
      <c r="P11" s="14" t="str">
        <f>_xlfn.XLOOKUP($N11,[1]!Table2[SKU_ID],[1]!Table2[Model],"",0,1)</f>
        <v>Print51</v>
      </c>
      <c r="Q11" s="12">
        <v>50</v>
      </c>
      <c r="R11" s="14">
        <f>SUMIFS(Table3[Qty],Table3[PO_Id],Table3[[#This Row],[PO_Id]],Table3[SKU_KEY],Table3[[#This Row],[SKU_KEY]])</f>
        <v>50</v>
      </c>
      <c r="S11" s="12">
        <v>2</v>
      </c>
      <c r="T11" s="14">
        <f>_xlfn.XLOOKUP(Table3[[#This Row],[SKU_KEY]],[1]!Table2[SKU_key],[1]!Table2[BaseCost_CNY],"",0,1)</f>
        <v>47</v>
      </c>
      <c r="U11" s="15">
        <v>74.2</v>
      </c>
      <c r="V11" s="12">
        <f>T11*Q11</f>
        <v>2350</v>
      </c>
      <c r="W11" s="14">
        <f>SUMIFS(Table3[OrderCost_CNY],Table3[PO_Id],Table3[[#This Row],[PO_Id]],Table3[SKU_KEY],Table3[[#This Row],[SKU_KEY]])</f>
        <v>2350</v>
      </c>
      <c r="X11" s="14">
        <f>SUMIFS(Table3[OrderCost_CNY],Table3[PO_Id],Table3[[#This Row],[PO_Id]])</f>
        <v>2350</v>
      </c>
      <c r="Y11" s="14">
        <f>V11*U11</f>
        <v>174370</v>
      </c>
      <c r="Z11" s="14">
        <f>SUMIFS(Table3[OrderCost_KZT],Table3[PO_Id],Table3[[#This Row],[PO_Id]],Table3[SKU_KEY],Table3[[#This Row],[SKU_KEY]])</f>
        <v>174370</v>
      </c>
      <c r="AA11" s="14">
        <f>SUMIFS(Table3[OrderCost_KZT],Table3[PO_Id],Table3[[#This Row],[PO_Id]])</f>
        <v>174370</v>
      </c>
      <c r="AB11" s="16">
        <f>_xlfn.XLOOKUP(Table3[[#This Row],[SKU_KEY]],[1]!Table2[SKU_key],[1]!Table2[Weight_kg],"",0,1)</f>
        <v>0.95</v>
      </c>
      <c r="AC11" s="15">
        <f>Table3[[#This Row],[UnitWeight_kg]]*Table3[[#This Row],[Total_model_order_qty]]</f>
        <v>47.5</v>
      </c>
      <c r="AD11" s="15" cm="1">
        <f t="array" ref="AD11">SUM(_xlfn.UNIQUE(_xlfn._xlws.FILTER(Table3[Total_Model_order_weight],(Table3[PO_Id]=Table3[[#This Row],[PO_Id]]),""),FALSE,FALSE))</f>
        <v>47.5</v>
      </c>
      <c r="AE11" s="16">
        <v>1.97</v>
      </c>
      <c r="AF11" s="14">
        <v>550</v>
      </c>
      <c r="AG11" s="14">
        <f>Table3[[#This Row],[Total_order_weight]]*Table3[[#This Row],[DeliveryRate_USD]]</f>
        <v>93.575000000000003</v>
      </c>
      <c r="AH11" s="14">
        <f>Table3[[#This Row],[Total_Model_order_weight]]*Table3[[#This Row],[DeliveryRate_USD]]</f>
        <v>93.575000000000003</v>
      </c>
      <c r="AI11" s="14">
        <f>Table3[[#This Row],[Total_DeliveryCost_USD]]*Table3[[#This Row],[FX_USDKZT]]</f>
        <v>51466.25</v>
      </c>
      <c r="AJ11" s="14">
        <f>Table3[[#This Row],[Total_Model_DeliveryCost_USD]]*Table3[[#This Row],[FX_USDKZT]]</f>
        <v>51466.25</v>
      </c>
      <c r="AK11" s="14">
        <f>Table3[[#This Row],[Total_OrderCost_KZT]]+Table3[[#This Row],[Total_DeliveryCost_KZT]]</f>
        <v>225836.25</v>
      </c>
      <c r="AL11" s="14">
        <f>Table3[[#This Row],[Total_Model_OrderCost_KZT]]+Table3[[#This Row],[Total_Model_DeliveryCost_KZT]]</f>
        <v>225836.25</v>
      </c>
      <c r="AM11" s="14">
        <f>Table3[[#This Row],[Total_Model_FreightCost_KZT]]/Table3[[#This Row],[Total_model_order_qty]]</f>
        <v>4516.7250000000004</v>
      </c>
      <c r="AQ11" s="14"/>
      <c r="AR11" s="14"/>
      <c r="AS11" s="14"/>
      <c r="AT11" s="14"/>
    </row>
    <row r="12" spans="1:46" x14ac:dyDescent="0.35">
      <c r="AQ12" s="14"/>
      <c r="AR12" s="14"/>
      <c r="AS12" s="14"/>
      <c r="AT12" s="14"/>
    </row>
    <row r="13" spans="1:46" x14ac:dyDescent="0.35">
      <c r="AQ13" s="14"/>
      <c r="AR13" s="14"/>
      <c r="AS13" s="14"/>
      <c r="AT13" s="14"/>
    </row>
    <row r="14" spans="1:46" x14ac:dyDescent="0.35">
      <c r="AQ14" s="14"/>
      <c r="AR14" s="14"/>
      <c r="AS14" s="14"/>
      <c r="AT14" s="14"/>
    </row>
    <row r="15" spans="1:46" x14ac:dyDescent="0.35">
      <c r="AQ15" s="14"/>
      <c r="AR15" s="14"/>
      <c r="AS15" s="14"/>
      <c r="AT15" s="14"/>
    </row>
    <row r="16" spans="1:46" x14ac:dyDescent="0.35">
      <c r="AQ16" s="14"/>
      <c r="AR16" s="14"/>
      <c r="AS16" s="14"/>
      <c r="AT16" s="14"/>
    </row>
    <row r="17" spans="43:46" x14ac:dyDescent="0.35">
      <c r="AQ17" s="14"/>
      <c r="AR17" s="14"/>
      <c r="AS17" s="14"/>
      <c r="AT17" s="14"/>
    </row>
    <row r="18" spans="43:46" x14ac:dyDescent="0.35">
      <c r="AQ18" s="14"/>
      <c r="AR18" s="14"/>
      <c r="AS18" s="14"/>
      <c r="AT18" s="14"/>
    </row>
    <row r="19" spans="43:46" x14ac:dyDescent="0.35">
      <c r="AQ19" s="14"/>
      <c r="AR19" s="14"/>
      <c r="AS19" s="14"/>
      <c r="AT19" s="14"/>
    </row>
    <row r="20" spans="43:46" x14ac:dyDescent="0.35">
      <c r="AQ20" s="14"/>
      <c r="AR20" s="14"/>
      <c r="AS20" s="14"/>
      <c r="AT20" s="14"/>
    </row>
    <row r="21" spans="43:46" x14ac:dyDescent="0.35">
      <c r="AQ21" s="14"/>
      <c r="AR21" s="14"/>
      <c r="AS21" s="14"/>
      <c r="AT21" s="14"/>
    </row>
    <row r="22" spans="43:46" x14ac:dyDescent="0.35">
      <c r="AQ22" s="14"/>
      <c r="AR22" s="14"/>
      <c r="AS22" s="14"/>
      <c r="AT22" s="14"/>
    </row>
    <row r="23" spans="43:46" x14ac:dyDescent="0.35">
      <c r="AQ23" s="14"/>
      <c r="AR23" s="14"/>
      <c r="AS23" s="14"/>
      <c r="AT23" s="14"/>
    </row>
    <row r="24" spans="43:46" x14ac:dyDescent="0.35">
      <c r="AQ24" s="14"/>
      <c r="AR24" s="14"/>
      <c r="AS24" s="14"/>
      <c r="AT24" s="14"/>
    </row>
    <row r="25" spans="43:46" x14ac:dyDescent="0.35">
      <c r="AQ25" s="14"/>
      <c r="AR25" s="14"/>
      <c r="AS25" s="14"/>
      <c r="AT25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T03_PURCHASE_ORDERS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2025-07-31T09:20:15Z</dcterms:created>
  <dcterms:modified xsi:type="dcterms:W3CDTF">2025-08-02T06:14:06Z</dcterms:modified>
</cp:coreProperties>
</file>