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Users\talcat\Insync\VTDrive\Talia Weiss\Writing\Manuscripts\Cricket frog\Data\"/>
    </mc:Choice>
  </mc:AlternateContent>
  <workbookProtection lockWindows="1"/>
  <bookViews>
    <workbookView xWindow="0" yWindow="0" windowWidth="16380" windowHeight="8190" tabRatio="771" firstSheet="2" activeTab="2"/>
  </bookViews>
  <sheets>
    <sheet name="No of jumps" sheetId="5" r:id="rId1"/>
    <sheet name="Above&amp;Below water surface" sheetId="1" r:id="rId2"/>
    <sheet name="Individual Jump Data AUTOMATED" sheetId="3" r:id="rId3"/>
    <sheet name="Strict Jump Def Data AUTOMATED" sheetId="4" r:id="rId4"/>
    <sheet name="StrictJmpDef---AVG" sheetId="7" r:id="rId5"/>
    <sheet name="LandLocomotion Data" sheetId="6" r:id="rId6"/>
    <sheet name="landing position histogram" sheetId="8" r:id="rId7"/>
  </sheets>
  <definedNames>
    <definedName name="_xlnm.Print_Area" localSheetId="5">'LandLocomotion Data'!$A$1</definedName>
    <definedName name="Print_Area_0" localSheetId="5">'LandLocomotion Data'!$A$1</definedName>
    <definedName name="Print_Area_0_0" localSheetId="5">'LandLocomotion Data'!$A$1</definedName>
    <definedName name="Print_Area_0_0_0" localSheetId="5">'LandLocomotion Data'!$A$1</definedName>
    <definedName name="Print_Area_0_0_0_0" localSheetId="5">'LandLocomotion Data'!$A$1</definedName>
    <definedName name="Print_Area_0_0_0_0_0" localSheetId="5">'LandLocomotion Data'!$A$1</definedName>
    <definedName name="Print_Area_0_0_0_0_0_0" localSheetId="5">'LandLocomotion Data'!$A$1</definedName>
    <definedName name="Print_Area_0_0_0_0_0_0_0" localSheetId="5">'LandLocomotion Data'!$A$1</definedName>
  </definedNames>
  <calcPr calcId="162913"/>
</workbook>
</file>

<file path=xl/calcChain.xml><?xml version="1.0" encoding="utf-8"?>
<calcChain xmlns="http://schemas.openxmlformats.org/spreadsheetml/2006/main">
  <c r="N8" i="8" l="1"/>
  <c r="N7" i="8"/>
  <c r="N6" i="8"/>
  <c r="N5" i="8"/>
  <c r="M8" i="8"/>
  <c r="M7" i="8"/>
  <c r="M6" i="8"/>
  <c r="M5" i="8"/>
  <c r="AG32" i="6" l="1"/>
  <c r="AG13" i="6"/>
  <c r="AG12" i="6"/>
  <c r="W50" i="1" l="1"/>
  <c r="W46" i="1"/>
  <c r="W44" i="1"/>
  <c r="W41" i="1"/>
  <c r="W17" i="1"/>
  <c r="W12" i="1"/>
  <c r="O23" i="7"/>
  <c r="P23" i="7"/>
  <c r="Q23" i="7"/>
  <c r="R23" i="7"/>
  <c r="T23" i="7"/>
  <c r="U23" i="7"/>
  <c r="AB28" i="7"/>
  <c r="AB27" i="7"/>
  <c r="AB26" i="7"/>
  <c r="AB25" i="7"/>
  <c r="AB24" i="7"/>
  <c r="AB23" i="7"/>
  <c r="AJ23" i="7"/>
  <c r="AC23" i="7"/>
  <c r="AD23" i="7"/>
  <c r="AB21" i="7"/>
  <c r="AB19" i="7"/>
  <c r="AB18" i="7"/>
  <c r="AB17" i="7"/>
  <c r="AB14" i="7"/>
  <c r="AB7" i="7"/>
  <c r="AB8" i="7"/>
  <c r="AB9" i="7"/>
  <c r="AB10" i="7"/>
  <c r="AB11" i="7"/>
  <c r="AB12" i="7"/>
  <c r="AB6" i="7"/>
  <c r="AB3" i="7"/>
  <c r="AB4" i="7"/>
  <c r="AB2" i="7"/>
  <c r="AO3" i="7"/>
  <c r="AO17" i="7" s="1"/>
  <c r="AO4" i="7"/>
  <c r="AO6" i="7"/>
  <c r="AO7" i="7"/>
  <c r="AO8" i="7"/>
  <c r="AO9" i="7"/>
  <c r="AO10" i="7"/>
  <c r="AO11" i="7"/>
  <c r="AO12" i="7"/>
  <c r="AO14" i="7"/>
  <c r="AO19" i="7" s="1"/>
  <c r="AO2" i="7"/>
  <c r="AC17" i="7"/>
  <c r="AD17" i="7"/>
  <c r="AC18" i="7"/>
  <c r="AD18" i="7"/>
  <c r="AC19" i="7"/>
  <c r="AD19" i="7"/>
  <c r="AJ3" i="7"/>
  <c r="AJ4" i="7"/>
  <c r="AJ6" i="7"/>
  <c r="AJ7" i="7"/>
  <c r="AJ8" i="7"/>
  <c r="AJ9" i="7"/>
  <c r="AJ10" i="7"/>
  <c r="AJ11" i="7"/>
  <c r="AJ12" i="7"/>
  <c r="AJ14" i="7"/>
  <c r="AJ19" i="7" s="1"/>
  <c r="AJ2" i="7"/>
  <c r="T19" i="7"/>
  <c r="U19" i="7"/>
  <c r="T18" i="7"/>
  <c r="U18" i="7"/>
  <c r="T17" i="7"/>
  <c r="U17" i="7"/>
  <c r="P14" i="7"/>
  <c r="P19" i="7" s="1"/>
  <c r="Q14" i="7"/>
  <c r="Q19" i="7" s="1"/>
  <c r="R14" i="7"/>
  <c r="R19" i="7" s="1"/>
  <c r="O14" i="7"/>
  <c r="O19" i="7" s="1"/>
  <c r="O7" i="7"/>
  <c r="P7" i="7"/>
  <c r="Q7" i="7"/>
  <c r="R7" i="7"/>
  <c r="O8" i="7"/>
  <c r="P8" i="7"/>
  <c r="Q8" i="7"/>
  <c r="R8" i="7"/>
  <c r="O9" i="7"/>
  <c r="P9" i="7"/>
  <c r="Q9" i="7"/>
  <c r="R9" i="7"/>
  <c r="O10" i="7"/>
  <c r="P10" i="7"/>
  <c r="Q10" i="7"/>
  <c r="R10" i="7"/>
  <c r="O11" i="7"/>
  <c r="P11" i="7"/>
  <c r="Q11" i="7"/>
  <c r="R11" i="7"/>
  <c r="O12" i="7"/>
  <c r="P12" i="7"/>
  <c r="Q12" i="7"/>
  <c r="R12" i="7"/>
  <c r="P6" i="7"/>
  <c r="P18" i="7" s="1"/>
  <c r="Q6" i="7"/>
  <c r="Q18" i="7" s="1"/>
  <c r="R6" i="7"/>
  <c r="O6" i="7"/>
  <c r="O18" i="7" s="1"/>
  <c r="O3" i="7"/>
  <c r="P3" i="7"/>
  <c r="Q3" i="7"/>
  <c r="R3" i="7"/>
  <c r="O4" i="7"/>
  <c r="P4" i="7"/>
  <c r="Q4" i="7"/>
  <c r="R4" i="7"/>
  <c r="P2" i="7"/>
  <c r="P17" i="7" s="1"/>
  <c r="Q2" i="7"/>
  <c r="Q17" i="7" s="1"/>
  <c r="R2" i="7"/>
  <c r="O2" i="7"/>
  <c r="O17" i="7" s="1"/>
  <c r="O21" i="7" s="1"/>
  <c r="AQ14" i="7"/>
  <c r="AM14" i="7"/>
  <c r="AH14" i="7"/>
  <c r="AQ12" i="7"/>
  <c r="AM12" i="7"/>
  <c r="AH12" i="7"/>
  <c r="AQ11" i="7"/>
  <c r="AM11" i="7"/>
  <c r="AH11" i="7"/>
  <c r="AQ10" i="7"/>
  <c r="AM10" i="7"/>
  <c r="AH10" i="7"/>
  <c r="AQ9" i="7"/>
  <c r="AM9" i="7"/>
  <c r="AH9" i="7"/>
  <c r="AQ8" i="7"/>
  <c r="AM8" i="7"/>
  <c r="AH8" i="7"/>
  <c r="AQ7" i="7"/>
  <c r="AM7" i="7"/>
  <c r="AH7" i="7"/>
  <c r="AQ6" i="7"/>
  <c r="AM6" i="7"/>
  <c r="AH6" i="7"/>
  <c r="AQ4" i="7"/>
  <c r="AM4" i="7"/>
  <c r="AH4" i="7"/>
  <c r="AQ3" i="7"/>
  <c r="AM3" i="7"/>
  <c r="AH3" i="7"/>
  <c r="AQ2" i="7"/>
  <c r="AM2" i="7"/>
  <c r="AH2" i="7"/>
  <c r="AS8" i="6" a="1"/>
  <c r="AS8" i="6" s="1"/>
  <c r="AR8" i="6" a="1"/>
  <c r="AP8" i="6" a="1"/>
  <c r="AP8" i="6" s="1"/>
  <c r="AQ8" i="6" a="1"/>
  <c r="AQ8" i="6"/>
  <c r="AO8" i="6" a="1"/>
  <c r="AO8" i="6" s="1"/>
  <c r="AN8" i="6" a="1"/>
  <c r="AN8" i="6" s="1"/>
  <c r="AN3" i="6" a="1"/>
  <c r="AN3" i="6" s="1"/>
  <c r="R17" i="7" l="1"/>
  <c r="R18" i="7"/>
  <c r="AO18" i="7"/>
  <c r="AO21" i="7" s="1"/>
  <c r="Q21" i="7"/>
  <c r="P21" i="7"/>
  <c r="AJ17" i="7"/>
  <c r="AJ18" i="7"/>
  <c r="AJ21" i="7" s="1"/>
  <c r="U21" i="7"/>
  <c r="AD21" i="7"/>
  <c r="T21" i="7"/>
  <c r="AC21" i="7"/>
  <c r="R21" i="7"/>
  <c r="AS5" i="6" l="1" a="1"/>
  <c r="AS5" i="6" s="1"/>
  <c r="AS4" i="6" a="1"/>
  <c r="AS4" i="6" s="1"/>
  <c r="AS3" i="6" a="1"/>
  <c r="AS3" i="6" s="1"/>
  <c r="AR4" i="6" a="1"/>
  <c r="AR4" i="6" s="1"/>
  <c r="AR3" i="6" a="1"/>
  <c r="AR3" i="6" s="1"/>
  <c r="AQ5" i="6" a="1"/>
  <c r="AQ5" i="6" s="1"/>
  <c r="AQ4" i="6" a="1"/>
  <c r="AQ4" i="6" s="1"/>
  <c r="AQ3" i="6" a="1"/>
  <c r="AQ3" i="6" s="1"/>
  <c r="AP5" i="6" a="1"/>
  <c r="AP5" i="6" s="1"/>
  <c r="AP4" i="6" a="1"/>
  <c r="AP4" i="6" s="1"/>
  <c r="AP3" i="6" a="1"/>
  <c r="AP3" i="6" s="1"/>
  <c r="AO5" i="6" a="1"/>
  <c r="AO5" i="6" s="1"/>
  <c r="AO4" i="6" a="1"/>
  <c r="AO4" i="6" s="1"/>
  <c r="AO3" i="6" a="1"/>
  <c r="AO3" i="6" s="1"/>
  <c r="AN5" i="6" a="1"/>
  <c r="AN5" i="6" s="1"/>
  <c r="AN4" i="6" a="1"/>
  <c r="AN4" i="6" s="1"/>
  <c r="AE72" i="6"/>
  <c r="AD72" i="6"/>
  <c r="AC72" i="6"/>
  <c r="AB72" i="6"/>
  <c r="S72" i="6"/>
  <c r="Q72" i="6"/>
  <c r="L72" i="6"/>
  <c r="J72" i="6"/>
  <c r="H72" i="6"/>
  <c r="AJ72" i="6" s="1"/>
  <c r="AH72" i="6" s="1"/>
  <c r="AE71" i="6"/>
  <c r="AD71" i="6"/>
  <c r="AC71" i="6"/>
  <c r="AB71" i="6"/>
  <c r="S71" i="6"/>
  <c r="Q71" i="6"/>
  <c r="L71" i="6"/>
  <c r="J71" i="6"/>
  <c r="H71" i="6"/>
  <c r="AJ71" i="6" s="1"/>
  <c r="AH71" i="6" s="1"/>
  <c r="AE70" i="6"/>
  <c r="AD70" i="6"/>
  <c r="AC70" i="6"/>
  <c r="AB70" i="6"/>
  <c r="S70" i="6"/>
  <c r="Q70" i="6"/>
  <c r="L70" i="6"/>
  <c r="J70" i="6"/>
  <c r="H70" i="6"/>
  <c r="AJ70" i="6" s="1"/>
  <c r="AH70" i="6" s="1"/>
  <c r="AE69" i="6"/>
  <c r="AD69" i="6"/>
  <c r="AC69" i="6"/>
  <c r="AB69" i="6"/>
  <c r="S69" i="6"/>
  <c r="Q69" i="6"/>
  <c r="L69" i="6"/>
  <c r="J69" i="6"/>
  <c r="H69" i="6"/>
  <c r="AJ69" i="6" s="1"/>
  <c r="AH69" i="6" s="1"/>
  <c r="AE68" i="6"/>
  <c r="AD68" i="6"/>
  <c r="AC68" i="6"/>
  <c r="AB68" i="6"/>
  <c r="S68" i="6"/>
  <c r="Q68" i="6"/>
  <c r="L68" i="6"/>
  <c r="J68" i="6"/>
  <c r="H68" i="6"/>
  <c r="AJ68" i="6" s="1"/>
  <c r="AH68" i="6" s="1"/>
  <c r="AE67" i="6"/>
  <c r="AD67" i="6"/>
  <c r="AC67" i="6"/>
  <c r="AB67" i="6"/>
  <c r="S67" i="6"/>
  <c r="Q67" i="6"/>
  <c r="L67" i="6"/>
  <c r="J67" i="6"/>
  <c r="H67" i="6"/>
  <c r="AJ67" i="6" s="1"/>
  <c r="AH67" i="6" s="1"/>
  <c r="AE66" i="6"/>
  <c r="AD66" i="6"/>
  <c r="AC66" i="6"/>
  <c r="AB66" i="6"/>
  <c r="S66" i="6"/>
  <c r="Q66" i="6"/>
  <c r="L66" i="6"/>
  <c r="J66" i="6"/>
  <c r="H66" i="6"/>
  <c r="AJ66" i="6" s="1"/>
  <c r="AH66" i="6" s="1"/>
  <c r="AE65" i="6"/>
  <c r="AD65" i="6"/>
  <c r="AC65" i="6"/>
  <c r="AB65" i="6"/>
  <c r="S65" i="6"/>
  <c r="Q65" i="6"/>
  <c r="L65" i="6"/>
  <c r="J65" i="6"/>
  <c r="H65" i="6"/>
  <c r="AJ65" i="6" s="1"/>
  <c r="AH65" i="6" s="1"/>
  <c r="AE64" i="6"/>
  <c r="AD64" i="6"/>
  <c r="AC64" i="6"/>
  <c r="AB64" i="6"/>
  <c r="S64" i="6"/>
  <c r="Q64" i="6"/>
  <c r="L64" i="6"/>
  <c r="J64" i="6"/>
  <c r="H64" i="6"/>
  <c r="AJ64" i="6" s="1"/>
  <c r="AH64" i="6" s="1"/>
  <c r="AE63" i="6"/>
  <c r="AD63" i="6"/>
  <c r="AC63" i="6"/>
  <c r="AB63" i="6"/>
  <c r="S63" i="6"/>
  <c r="Q63" i="6"/>
  <c r="L63" i="6"/>
  <c r="J63" i="6"/>
  <c r="H63" i="6"/>
  <c r="AJ63" i="6" s="1"/>
  <c r="AH63" i="6" s="1"/>
  <c r="AE62" i="6"/>
  <c r="AD62" i="6"/>
  <c r="AC62" i="6"/>
  <c r="AB62" i="6"/>
  <c r="S62" i="6"/>
  <c r="Q62" i="6"/>
  <c r="L62" i="6"/>
  <c r="J62" i="6"/>
  <c r="H62" i="6"/>
  <c r="AJ62" i="6" s="1"/>
  <c r="AH62" i="6" s="1"/>
  <c r="AE61" i="6"/>
  <c r="AD61" i="6"/>
  <c r="AC61" i="6"/>
  <c r="AB61" i="6"/>
  <c r="S61" i="6"/>
  <c r="Q61" i="6"/>
  <c r="L61" i="6"/>
  <c r="J61" i="6"/>
  <c r="H61" i="6"/>
  <c r="AJ61" i="6" s="1"/>
  <c r="AH61" i="6" s="1"/>
  <c r="AE60" i="6"/>
  <c r="AD60" i="6"/>
  <c r="AC60" i="6"/>
  <c r="AB60" i="6"/>
  <c r="S60" i="6"/>
  <c r="Q60" i="6"/>
  <c r="L60" i="6"/>
  <c r="J60" i="6"/>
  <c r="H60" i="6"/>
  <c r="AJ60" i="6" s="1"/>
  <c r="AH60" i="6" s="1"/>
  <c r="AE59" i="6"/>
  <c r="AD59" i="6"/>
  <c r="AC59" i="6"/>
  <c r="AB59" i="6"/>
  <c r="S59" i="6"/>
  <c r="Q59" i="6"/>
  <c r="L59" i="6"/>
  <c r="J59" i="6"/>
  <c r="H59" i="6"/>
  <c r="AJ59" i="6" s="1"/>
  <c r="AH59" i="6" s="1"/>
  <c r="AE58" i="6"/>
  <c r="AD58" i="6"/>
  <c r="AC58" i="6"/>
  <c r="AB58" i="6"/>
  <c r="S58" i="6"/>
  <c r="Q58" i="6"/>
  <c r="L58" i="6"/>
  <c r="J58" i="6"/>
  <c r="H58" i="6"/>
  <c r="AJ58" i="6" s="1"/>
  <c r="AH58" i="6" s="1"/>
  <c r="AE57" i="6"/>
  <c r="AD57" i="6"/>
  <c r="AC57" i="6"/>
  <c r="AB57" i="6"/>
  <c r="S57" i="6"/>
  <c r="Q57" i="6"/>
  <c r="L57" i="6"/>
  <c r="J57" i="6"/>
  <c r="H57" i="6"/>
  <c r="AJ57" i="6" s="1"/>
  <c r="AH57" i="6" s="1"/>
  <c r="AE56" i="6"/>
  <c r="AD56" i="6"/>
  <c r="AC56" i="6"/>
  <c r="AB56" i="6"/>
  <c r="S56" i="6"/>
  <c r="Q56" i="6"/>
  <c r="L56" i="6"/>
  <c r="J56" i="6"/>
  <c r="H56" i="6"/>
  <c r="AJ56" i="6" s="1"/>
  <c r="AH56" i="6" s="1"/>
  <c r="AE55" i="6"/>
  <c r="AD55" i="6"/>
  <c r="AC55" i="6"/>
  <c r="AB55" i="6"/>
  <c r="S55" i="6"/>
  <c r="Q55" i="6"/>
  <c r="L55" i="6"/>
  <c r="J55" i="6"/>
  <c r="H55" i="6"/>
  <c r="AJ55" i="6" s="1"/>
  <c r="AH55" i="6" s="1"/>
  <c r="AE54" i="6"/>
  <c r="AD54" i="6"/>
  <c r="AC54" i="6"/>
  <c r="AB54" i="6"/>
  <c r="S54" i="6"/>
  <c r="Q54" i="6"/>
  <c r="L54" i="6"/>
  <c r="J54" i="6"/>
  <c r="H54" i="6"/>
  <c r="AJ54" i="6" s="1"/>
  <c r="AH54" i="6" s="1"/>
  <c r="AE53" i="6"/>
  <c r="AD53" i="6"/>
  <c r="AC53" i="6"/>
  <c r="AB53" i="6"/>
  <c r="S53" i="6"/>
  <c r="Q53" i="6"/>
  <c r="L53" i="6"/>
  <c r="J53" i="6"/>
  <c r="H53" i="6"/>
  <c r="AJ53" i="6" s="1"/>
  <c r="AH53" i="6" s="1"/>
  <c r="AE52" i="6"/>
  <c r="AD52" i="6"/>
  <c r="AC52" i="6"/>
  <c r="AB52" i="6"/>
  <c r="S52" i="6"/>
  <c r="Q52" i="6"/>
  <c r="L52" i="6"/>
  <c r="J52" i="6"/>
  <c r="H52" i="6"/>
  <c r="AJ52" i="6" s="1"/>
  <c r="AH52" i="6" s="1"/>
  <c r="AE51" i="6"/>
  <c r="AD51" i="6"/>
  <c r="AC51" i="6"/>
  <c r="AB51" i="6"/>
  <c r="S51" i="6"/>
  <c r="Q51" i="6"/>
  <c r="L51" i="6"/>
  <c r="J51" i="6"/>
  <c r="H51" i="6"/>
  <c r="AJ51" i="6" s="1"/>
  <c r="AH51" i="6" s="1"/>
  <c r="AE50" i="6"/>
  <c r="AD50" i="6"/>
  <c r="AC50" i="6"/>
  <c r="AB50" i="6"/>
  <c r="S50" i="6"/>
  <c r="Q50" i="6"/>
  <c r="L50" i="6"/>
  <c r="J50" i="6"/>
  <c r="H50" i="6"/>
  <c r="AJ50" i="6" s="1"/>
  <c r="AH50" i="6" s="1"/>
  <c r="AE49" i="6"/>
  <c r="AD49" i="6"/>
  <c r="AC49" i="6"/>
  <c r="AB49" i="6"/>
  <c r="S49" i="6"/>
  <c r="Q49" i="6"/>
  <c r="L49" i="6"/>
  <c r="J49" i="6"/>
  <c r="H49" i="6"/>
  <c r="AJ49" i="6" s="1"/>
  <c r="AH49" i="6" s="1"/>
  <c r="AE48" i="6"/>
  <c r="AD48" i="6"/>
  <c r="AC48" i="6"/>
  <c r="AB48" i="6"/>
  <c r="S48" i="6"/>
  <c r="Q48" i="6"/>
  <c r="L48" i="6"/>
  <c r="J48" i="6"/>
  <c r="H48" i="6"/>
  <c r="AJ48" i="6" s="1"/>
  <c r="AH48" i="6" s="1"/>
  <c r="AE47" i="6"/>
  <c r="AD47" i="6"/>
  <c r="AC47" i="6"/>
  <c r="AB47" i="6"/>
  <c r="S47" i="6"/>
  <c r="Q47" i="6"/>
  <c r="L47" i="6"/>
  <c r="J47" i="6"/>
  <c r="H47" i="6"/>
  <c r="AJ47" i="6" s="1"/>
  <c r="AE46" i="6"/>
  <c r="AD46" i="6"/>
  <c r="AC46" i="6"/>
  <c r="AB46" i="6"/>
  <c r="S46" i="6"/>
  <c r="Q46" i="6"/>
  <c r="L46" i="6"/>
  <c r="J46" i="6"/>
  <c r="H46" i="6"/>
  <c r="AJ46" i="6" s="1"/>
  <c r="AH46" i="6" s="1"/>
  <c r="AE44" i="6"/>
  <c r="AD44" i="6"/>
  <c r="AC44" i="6"/>
  <c r="AB44" i="6"/>
  <c r="S44" i="6"/>
  <c r="Q44" i="6"/>
  <c r="J44" i="6"/>
  <c r="H44" i="6"/>
  <c r="AJ44" i="6" s="1"/>
  <c r="AJ43" i="6"/>
  <c r="AD43" i="6"/>
  <c r="AE43" i="6" s="1"/>
  <c r="AC43" i="6"/>
  <c r="AB43" i="6"/>
  <c r="S43" i="6"/>
  <c r="Q43" i="6"/>
  <c r="J43" i="6"/>
  <c r="H43" i="6"/>
  <c r="AJ42" i="6"/>
  <c r="AH42" i="6"/>
  <c r="AD42" i="6"/>
  <c r="AC42" i="6"/>
  <c r="AB42" i="6"/>
  <c r="S42" i="6"/>
  <c r="Q42" i="6"/>
  <c r="J42" i="6"/>
  <c r="H42" i="6"/>
  <c r="AG41" i="6"/>
  <c r="AD41" i="6"/>
  <c r="AC41" i="6"/>
  <c r="AE41" i="6" s="1"/>
  <c r="AB41" i="6"/>
  <c r="S41" i="6"/>
  <c r="Q41" i="6"/>
  <c r="J41" i="6"/>
  <c r="H41" i="6"/>
  <c r="AJ41" i="6" s="1"/>
  <c r="AH41" i="6" s="1"/>
  <c r="AE40" i="6"/>
  <c r="AD40" i="6"/>
  <c r="AC40" i="6"/>
  <c r="AB40" i="6"/>
  <c r="S40" i="6"/>
  <c r="Q40" i="6"/>
  <c r="J40" i="6"/>
  <c r="H40" i="6"/>
  <c r="AJ40" i="6" s="1"/>
  <c r="AJ39" i="6"/>
  <c r="AD39" i="6"/>
  <c r="AE39" i="6" s="1"/>
  <c r="AC39" i="6"/>
  <c r="AB39" i="6"/>
  <c r="S39" i="6"/>
  <c r="Q39" i="6"/>
  <c r="J39" i="6"/>
  <c r="H39" i="6"/>
  <c r="AJ38" i="6"/>
  <c r="AH38" i="6"/>
  <c r="AD38" i="6"/>
  <c r="AC38" i="6"/>
  <c r="AB38" i="6"/>
  <c r="S38" i="6"/>
  <c r="Q38" i="6"/>
  <c r="J38" i="6"/>
  <c r="H38" i="6"/>
  <c r="AG37" i="6"/>
  <c r="AD37" i="6"/>
  <c r="AC37" i="6"/>
  <c r="AE37" i="6" s="1"/>
  <c r="AB37" i="6"/>
  <c r="S37" i="6"/>
  <c r="Q37" i="6"/>
  <c r="J37" i="6"/>
  <c r="H37" i="6"/>
  <c r="AJ37" i="6" s="1"/>
  <c r="AH37" i="6" s="1"/>
  <c r="AE36" i="6"/>
  <c r="AD36" i="6"/>
  <c r="AC36" i="6"/>
  <c r="AB36" i="6"/>
  <c r="S36" i="6"/>
  <c r="Q36" i="6"/>
  <c r="J36" i="6"/>
  <c r="H36" i="6"/>
  <c r="AJ36" i="6" s="1"/>
  <c r="AJ35" i="6"/>
  <c r="AD35" i="6"/>
  <c r="AE35" i="6" s="1"/>
  <c r="AC35" i="6"/>
  <c r="AB35" i="6"/>
  <c r="S35" i="6"/>
  <c r="Q35" i="6"/>
  <c r="J35" i="6"/>
  <c r="H35" i="6"/>
  <c r="AJ34" i="6"/>
  <c r="AH34" i="6"/>
  <c r="AD34" i="6"/>
  <c r="AC34" i="6"/>
  <c r="AB34" i="6"/>
  <c r="S34" i="6"/>
  <c r="Q34" i="6"/>
  <c r="J34" i="6"/>
  <c r="H34" i="6"/>
  <c r="AG33" i="6"/>
  <c r="AD33" i="6"/>
  <c r="AC33" i="6"/>
  <c r="AE33" i="6" s="1"/>
  <c r="AB33" i="6"/>
  <c r="S33" i="6"/>
  <c r="Q33" i="6"/>
  <c r="J33" i="6"/>
  <c r="H33" i="6"/>
  <c r="AJ33" i="6" s="1"/>
  <c r="AH33" i="6" s="1"/>
  <c r="AE32" i="6"/>
  <c r="AD32" i="6"/>
  <c r="AC32" i="6"/>
  <c r="AB32" i="6"/>
  <c r="S32" i="6"/>
  <c r="Q32" i="6"/>
  <c r="J32" i="6"/>
  <c r="H32" i="6"/>
  <c r="AJ32" i="6" s="1"/>
  <c r="AJ31" i="6"/>
  <c r="AD31" i="6"/>
  <c r="AC31" i="6"/>
  <c r="AE31" i="6" s="1"/>
  <c r="AB31" i="6"/>
  <c r="S31" i="6"/>
  <c r="Q31" i="6"/>
  <c r="J31" i="6"/>
  <c r="H31" i="6"/>
  <c r="AE30" i="6"/>
  <c r="AD30" i="6"/>
  <c r="AC30" i="6"/>
  <c r="AB30" i="6"/>
  <c r="S30" i="6"/>
  <c r="Q30" i="6"/>
  <c r="J30" i="6"/>
  <c r="H30" i="6"/>
  <c r="AJ30" i="6" s="1"/>
  <c r="AH30" i="6" s="1"/>
  <c r="Q29" i="6"/>
  <c r="AE28" i="6"/>
  <c r="AD28" i="6"/>
  <c r="AC28" i="6"/>
  <c r="AB28" i="6"/>
  <c r="S28" i="6"/>
  <c r="Q28" i="6"/>
  <c r="L28" i="6"/>
  <c r="J28" i="6"/>
  <c r="H28" i="6"/>
  <c r="AJ28" i="6" s="1"/>
  <c r="AH28" i="6" s="1"/>
  <c r="AE27" i="6"/>
  <c r="AD27" i="6"/>
  <c r="AC27" i="6"/>
  <c r="AB27" i="6"/>
  <c r="S27" i="6"/>
  <c r="Q27" i="6"/>
  <c r="L27" i="6"/>
  <c r="J27" i="6"/>
  <c r="H27" i="6"/>
  <c r="AE26" i="6"/>
  <c r="AD26" i="6"/>
  <c r="AC26" i="6"/>
  <c r="AB26" i="6"/>
  <c r="S26" i="6"/>
  <c r="Q26" i="6"/>
  <c r="L26" i="6"/>
  <c r="J26" i="6"/>
  <c r="H26" i="6"/>
  <c r="AJ26" i="6" s="1"/>
  <c r="AH26" i="6" s="1"/>
  <c r="AG25" i="6"/>
  <c r="AE25" i="6"/>
  <c r="AD25" i="6"/>
  <c r="AC25" i="6"/>
  <c r="AB25" i="6"/>
  <c r="S25" i="6"/>
  <c r="Q25" i="6"/>
  <c r="L25" i="6"/>
  <c r="J25" i="6"/>
  <c r="H25" i="6"/>
  <c r="AJ25" i="6" s="1"/>
  <c r="AH25" i="6" s="1"/>
  <c r="AE24" i="6"/>
  <c r="AD24" i="6"/>
  <c r="AC24" i="6"/>
  <c r="AB24" i="6"/>
  <c r="S24" i="6"/>
  <c r="Q24" i="6"/>
  <c r="L24" i="6"/>
  <c r="J24" i="6"/>
  <c r="H24" i="6"/>
  <c r="AJ24" i="6" s="1"/>
  <c r="AH24" i="6" s="1"/>
  <c r="AG23" i="6"/>
  <c r="AE23" i="6"/>
  <c r="AD23" i="6"/>
  <c r="AC23" i="6"/>
  <c r="AB23" i="6"/>
  <c r="S23" i="6"/>
  <c r="Q23" i="6"/>
  <c r="L23" i="6"/>
  <c r="J23" i="6"/>
  <c r="H23" i="6"/>
  <c r="AJ23" i="6" s="1"/>
  <c r="AH23" i="6" s="1"/>
  <c r="AE22" i="6"/>
  <c r="AD22" i="6"/>
  <c r="AC22" i="6"/>
  <c r="AB22" i="6"/>
  <c r="S22" i="6"/>
  <c r="Q22" i="6"/>
  <c r="L22" i="6"/>
  <c r="J22" i="6"/>
  <c r="H22" i="6"/>
  <c r="AJ22" i="6" s="1"/>
  <c r="AH22" i="6" s="1"/>
  <c r="AG21" i="6"/>
  <c r="AE21" i="6"/>
  <c r="AD21" i="6"/>
  <c r="AC21" i="6"/>
  <c r="AB21" i="6"/>
  <c r="S21" i="6"/>
  <c r="Q21" i="6"/>
  <c r="L21" i="6"/>
  <c r="J21" i="6"/>
  <c r="H21" i="6"/>
  <c r="AJ21" i="6" s="1"/>
  <c r="AH21" i="6" s="1"/>
  <c r="AE20" i="6"/>
  <c r="AD20" i="6"/>
  <c r="AC20" i="6"/>
  <c r="AB20" i="6"/>
  <c r="S20" i="6"/>
  <c r="Q20" i="6"/>
  <c r="L20" i="6"/>
  <c r="J20" i="6"/>
  <c r="H20" i="6"/>
  <c r="AJ20" i="6" s="1"/>
  <c r="AH20" i="6" s="1"/>
  <c r="AG19" i="6"/>
  <c r="AE19" i="6"/>
  <c r="AD19" i="6"/>
  <c r="AC19" i="6"/>
  <c r="AB19" i="6"/>
  <c r="S19" i="6"/>
  <c r="Q19" i="6"/>
  <c r="L19" i="6"/>
  <c r="J19" i="6"/>
  <c r="H19" i="6"/>
  <c r="AJ19" i="6" s="1"/>
  <c r="AH19" i="6" s="1"/>
  <c r="AE18" i="6"/>
  <c r="AD18" i="6"/>
  <c r="AC18" i="6"/>
  <c r="AB18" i="6"/>
  <c r="S18" i="6"/>
  <c r="Q18" i="6"/>
  <c r="L18" i="6"/>
  <c r="J18" i="6"/>
  <c r="H18" i="6"/>
  <c r="AJ18" i="6" s="1"/>
  <c r="AH18" i="6" s="1"/>
  <c r="AE17" i="6"/>
  <c r="AD17" i="6"/>
  <c r="AC17" i="6"/>
  <c r="AB17" i="6"/>
  <c r="S17" i="6"/>
  <c r="Q17" i="6"/>
  <c r="L17" i="6"/>
  <c r="J17" i="6"/>
  <c r="H17" i="6"/>
  <c r="AE16" i="6"/>
  <c r="AD16" i="6"/>
  <c r="AC16" i="6"/>
  <c r="AB16" i="6"/>
  <c r="S16" i="6"/>
  <c r="Q16" i="6"/>
  <c r="L16" i="6"/>
  <c r="J16" i="6"/>
  <c r="H16" i="6"/>
  <c r="AJ16" i="6" s="1"/>
  <c r="AH16" i="6" s="1"/>
  <c r="AG15" i="6"/>
  <c r="AE15" i="6"/>
  <c r="AD15" i="6"/>
  <c r="AC15" i="6"/>
  <c r="AB15" i="6"/>
  <c r="S15" i="6"/>
  <c r="Q15" i="6"/>
  <c r="L15" i="6"/>
  <c r="J15" i="6"/>
  <c r="H15" i="6"/>
  <c r="AJ15" i="6" s="1"/>
  <c r="AH15" i="6" s="1"/>
  <c r="AE14" i="6"/>
  <c r="AD14" i="6"/>
  <c r="AC14" i="6"/>
  <c r="AB14" i="6"/>
  <c r="S14" i="6"/>
  <c r="Q14" i="6"/>
  <c r="L14" i="6"/>
  <c r="J14" i="6"/>
  <c r="H14" i="6"/>
  <c r="AJ14" i="6" s="1"/>
  <c r="AH14" i="6" s="1"/>
  <c r="AE13" i="6"/>
  <c r="AD13" i="6"/>
  <c r="AC13" i="6"/>
  <c r="AB13" i="6"/>
  <c r="S13" i="6"/>
  <c r="Q13" i="6"/>
  <c r="L13" i="6"/>
  <c r="J13" i="6"/>
  <c r="H13" i="6"/>
  <c r="AJ13" i="6" s="1"/>
  <c r="AH13" i="6" s="1"/>
  <c r="AE12" i="6"/>
  <c r="AD12" i="6"/>
  <c r="AC12" i="6"/>
  <c r="AB12" i="6"/>
  <c r="S12" i="6"/>
  <c r="Q12" i="6"/>
  <c r="L12" i="6"/>
  <c r="J12" i="6"/>
  <c r="H12" i="6"/>
  <c r="AJ12" i="6" s="1"/>
  <c r="AH12" i="6" s="1"/>
  <c r="AE11" i="6"/>
  <c r="AD11" i="6"/>
  <c r="AC11" i="6"/>
  <c r="AB11" i="6"/>
  <c r="S11" i="6"/>
  <c r="Q11" i="6"/>
  <c r="L11" i="6"/>
  <c r="J11" i="6"/>
  <c r="H11" i="6"/>
  <c r="AE10" i="6"/>
  <c r="AD10" i="6"/>
  <c r="AC10" i="6"/>
  <c r="AB10" i="6"/>
  <c r="S10" i="6"/>
  <c r="Q10" i="6"/>
  <c r="L10" i="6"/>
  <c r="J10" i="6"/>
  <c r="H10" i="6"/>
  <c r="AJ10" i="6" s="1"/>
  <c r="AH10" i="6" s="1"/>
  <c r="AG9" i="6"/>
  <c r="AE9" i="6"/>
  <c r="AD9" i="6"/>
  <c r="AC9" i="6"/>
  <c r="AB9" i="6"/>
  <c r="S9" i="6"/>
  <c r="Q9" i="6"/>
  <c r="L9" i="6"/>
  <c r="J9" i="6"/>
  <c r="H9" i="6"/>
  <c r="AJ9" i="6" s="1"/>
  <c r="AH9" i="6" s="1"/>
  <c r="AE8" i="6"/>
  <c r="AD8" i="6"/>
  <c r="AC8" i="6"/>
  <c r="AB8" i="6"/>
  <c r="S8" i="6"/>
  <c r="Q8" i="6"/>
  <c r="L8" i="6"/>
  <c r="J8" i="6"/>
  <c r="H8" i="6"/>
  <c r="AJ8" i="6" s="1"/>
  <c r="AH8" i="6" s="1"/>
  <c r="AJ7" i="6"/>
  <c r="AH7" i="6"/>
  <c r="AD7" i="6"/>
  <c r="AE7" i="6" s="1"/>
  <c r="AC7" i="6"/>
  <c r="AB7" i="6"/>
  <c r="S7" i="6"/>
  <c r="Q7" i="6"/>
  <c r="L7" i="6"/>
  <c r="J7" i="6"/>
  <c r="H7" i="6"/>
  <c r="AE6" i="6"/>
  <c r="AD6" i="6"/>
  <c r="AC6" i="6"/>
  <c r="AB6" i="6"/>
  <c r="S6" i="6"/>
  <c r="Q6" i="6"/>
  <c r="L6" i="6"/>
  <c r="J6" i="6"/>
  <c r="H6" i="6"/>
  <c r="AJ5" i="6"/>
  <c r="AH5" i="6"/>
  <c r="AD5" i="6"/>
  <c r="AC5" i="6"/>
  <c r="AB5" i="6"/>
  <c r="S5" i="6"/>
  <c r="Q5" i="6"/>
  <c r="L5" i="6"/>
  <c r="J5" i="6"/>
  <c r="H5" i="6"/>
  <c r="AE4" i="6"/>
  <c r="AD4" i="6"/>
  <c r="AC4" i="6"/>
  <c r="AB4" i="6"/>
  <c r="S4" i="6"/>
  <c r="Q4" i="6"/>
  <c r="L4" i="6"/>
  <c r="J4" i="6"/>
  <c r="H4" i="6"/>
  <c r="AJ4" i="6" s="1"/>
  <c r="AH4" i="6" s="1"/>
  <c r="AJ3" i="6"/>
  <c r="AG3" i="6" s="1"/>
  <c r="AH3" i="6"/>
  <c r="AD3" i="6"/>
  <c r="AC3" i="6"/>
  <c r="AB3" i="6"/>
  <c r="S3" i="6"/>
  <c r="Q3" i="6"/>
  <c r="L3" i="6"/>
  <c r="J3" i="6"/>
  <c r="H3" i="6"/>
  <c r="AJ2" i="6"/>
  <c r="AH2" i="6"/>
  <c r="AD2" i="6"/>
  <c r="AC2" i="6"/>
  <c r="AB2" i="6"/>
  <c r="S2" i="6"/>
  <c r="Q2" i="6"/>
  <c r="L2" i="6"/>
  <c r="J2" i="6"/>
  <c r="H2" i="6"/>
  <c r="H50" i="5"/>
  <c r="AI14" i="4"/>
  <c r="AF14" i="4"/>
  <c r="AB14" i="4"/>
  <c r="AI12" i="4"/>
  <c r="AF12" i="4"/>
  <c r="AB12" i="4"/>
  <c r="AI11" i="4"/>
  <c r="AF11" i="4"/>
  <c r="AB11" i="4"/>
  <c r="AI10" i="4"/>
  <c r="AF10" i="4"/>
  <c r="AB10" i="4"/>
  <c r="AI9" i="4"/>
  <c r="AF9" i="4"/>
  <c r="AB9" i="4"/>
  <c r="AI8" i="4"/>
  <c r="AF8" i="4"/>
  <c r="AB8" i="4"/>
  <c r="AI7" i="4"/>
  <c r="AF7" i="4"/>
  <c r="AB7" i="4"/>
  <c r="AI6" i="4"/>
  <c r="AF6" i="4"/>
  <c r="AB6" i="4"/>
  <c r="AI4" i="4"/>
  <c r="AF4" i="4"/>
  <c r="AB4" i="4"/>
  <c r="AI3" i="4"/>
  <c r="AF3" i="4"/>
  <c r="AB3" i="4"/>
  <c r="AI2" i="4"/>
  <c r="AF2" i="4"/>
  <c r="AB2" i="4"/>
  <c r="AK35" i="3"/>
  <c r="AH35" i="3"/>
  <c r="AD35" i="3"/>
  <c r="AH34" i="3"/>
  <c r="AD34" i="3"/>
  <c r="AK32" i="3"/>
  <c r="AH32" i="3"/>
  <c r="AD32" i="3"/>
  <c r="AD31" i="3"/>
  <c r="AK30" i="3"/>
  <c r="AH30" i="3"/>
  <c r="AD30" i="3"/>
  <c r="AH29" i="3"/>
  <c r="AD29" i="3"/>
  <c r="AK28" i="3"/>
  <c r="AH28" i="3"/>
  <c r="AD28" i="3"/>
  <c r="AH27" i="3"/>
  <c r="AD27" i="3"/>
  <c r="AK26" i="3"/>
  <c r="AH26" i="3"/>
  <c r="AD26" i="3"/>
  <c r="AD25" i="3"/>
  <c r="AK24" i="3"/>
  <c r="AH24" i="3"/>
  <c r="AD24" i="3"/>
  <c r="AD23" i="3"/>
  <c r="AK22" i="3"/>
  <c r="AH22" i="3"/>
  <c r="AD22" i="3"/>
  <c r="AH21" i="3"/>
  <c r="AD21" i="3"/>
  <c r="AK20" i="3"/>
  <c r="AD20" i="3"/>
  <c r="AH19" i="3"/>
  <c r="AD18" i="3"/>
  <c r="AK17" i="3"/>
  <c r="AH17" i="3"/>
  <c r="AD17" i="3"/>
  <c r="AK15" i="3"/>
  <c r="AH15" i="3"/>
  <c r="AD15" i="3"/>
  <c r="AH14" i="3"/>
  <c r="AD14" i="3"/>
  <c r="AK11" i="3"/>
  <c r="AH11" i="3"/>
  <c r="AD11" i="3"/>
  <c r="AK10" i="3"/>
  <c r="AH10" i="3"/>
  <c r="AD10" i="3"/>
  <c r="AK8" i="3"/>
  <c r="AH8" i="3"/>
  <c r="AD8" i="3"/>
  <c r="AK7" i="3"/>
  <c r="AH7" i="3"/>
  <c r="AD7" i="3"/>
  <c r="AK5" i="3"/>
  <c r="AH5" i="3"/>
  <c r="AD5" i="3"/>
  <c r="AD4" i="3"/>
  <c r="AK3" i="3"/>
  <c r="AH3" i="3"/>
  <c r="AD3" i="3"/>
  <c r="U46" i="1"/>
  <c r="T46" i="1"/>
  <c r="Q46" i="1"/>
  <c r="P46" i="1"/>
  <c r="O46" i="1"/>
  <c r="N46" i="1"/>
  <c r="R46" i="1" s="1"/>
  <c r="R45" i="1"/>
  <c r="Q45" i="1"/>
  <c r="O45" i="1"/>
  <c r="P45" i="1" s="1"/>
  <c r="N45" i="1"/>
  <c r="S46" i="1" s="1"/>
  <c r="R44" i="1"/>
  <c r="Q44" i="1"/>
  <c r="O44" i="1"/>
  <c r="N44" i="1"/>
  <c r="R43" i="1"/>
  <c r="P43" i="1"/>
  <c r="O43" i="1"/>
  <c r="N43" i="1"/>
  <c r="Q43" i="1" s="1"/>
  <c r="Q42" i="1"/>
  <c r="P42" i="1"/>
  <c r="O42" i="1"/>
  <c r="N42" i="1"/>
  <c r="Q40" i="1"/>
  <c r="P40" i="1"/>
  <c r="O40" i="1"/>
  <c r="N40" i="1"/>
  <c r="R40" i="1" s="1"/>
  <c r="Q39" i="1"/>
  <c r="O39" i="1"/>
  <c r="P39" i="1" s="1"/>
  <c r="N39" i="1"/>
  <c r="R39" i="1" s="1"/>
  <c r="O38" i="1"/>
  <c r="P38" i="1" s="1"/>
  <c r="N38" i="1"/>
  <c r="Q38" i="1" s="1"/>
  <c r="O37" i="1"/>
  <c r="R37" i="1" s="1"/>
  <c r="N37" i="1"/>
  <c r="Q36" i="1"/>
  <c r="P36" i="1"/>
  <c r="O36" i="1"/>
  <c r="N36" i="1"/>
  <c r="R36" i="1" s="1"/>
  <c r="Q35" i="1"/>
  <c r="O35" i="1"/>
  <c r="P35" i="1" s="1"/>
  <c r="N35" i="1"/>
  <c r="R35" i="1" s="1"/>
  <c r="O34" i="1"/>
  <c r="P34" i="1" s="1"/>
  <c r="N34" i="1"/>
  <c r="Q34" i="1" s="1"/>
  <c r="O32" i="1"/>
  <c r="R32" i="1" s="1"/>
  <c r="N32" i="1"/>
  <c r="Q31" i="1"/>
  <c r="P31" i="1"/>
  <c r="O31" i="1"/>
  <c r="N31" i="1"/>
  <c r="R31" i="1" s="1"/>
  <c r="Q30" i="1"/>
  <c r="O30" i="1"/>
  <c r="P30" i="1" s="1"/>
  <c r="N30" i="1"/>
  <c r="R30" i="1" s="1"/>
  <c r="O29" i="1"/>
  <c r="P29" i="1" s="1"/>
  <c r="N29" i="1"/>
  <c r="Q29" i="1" s="1"/>
  <c r="O28" i="1"/>
  <c r="R28" i="1" s="1"/>
  <c r="N28" i="1"/>
  <c r="Q27" i="1"/>
  <c r="P27" i="1"/>
  <c r="O27" i="1"/>
  <c r="N27" i="1"/>
  <c r="R27" i="1" s="1"/>
  <c r="Q25" i="1"/>
  <c r="O25" i="1"/>
  <c r="P25" i="1" s="1"/>
  <c r="N25" i="1"/>
  <c r="R25" i="1" s="1"/>
  <c r="O22" i="1"/>
  <c r="P22" i="1" s="1"/>
  <c r="N22" i="1"/>
  <c r="Q22" i="1" s="1"/>
  <c r="O21" i="1"/>
  <c r="R21" i="1" s="1"/>
  <c r="N21" i="1"/>
  <c r="Q20" i="1"/>
  <c r="P20" i="1"/>
  <c r="O20" i="1"/>
  <c r="N20" i="1"/>
  <c r="S41" i="1" s="1"/>
  <c r="T17" i="1"/>
  <c r="Q17" i="1"/>
  <c r="P17" i="1"/>
  <c r="O17" i="1"/>
  <c r="N17" i="1"/>
  <c r="R17" i="1" s="1"/>
  <c r="Q16" i="1"/>
  <c r="O16" i="1"/>
  <c r="P16" i="1" s="1"/>
  <c r="N16" i="1"/>
  <c r="R16" i="1" s="1"/>
  <c r="O15" i="1"/>
  <c r="P15" i="1" s="1"/>
  <c r="N15" i="1"/>
  <c r="S17" i="1" s="1"/>
  <c r="O11" i="1"/>
  <c r="P11" i="1" s="1"/>
  <c r="N11" i="1"/>
  <c r="Q11" i="1" s="1"/>
  <c r="O10" i="1"/>
  <c r="R10" i="1" s="1"/>
  <c r="N10" i="1"/>
  <c r="Q6" i="1"/>
  <c r="P6" i="1"/>
  <c r="O6" i="1"/>
  <c r="N6" i="1"/>
  <c r="R6" i="1" s="1"/>
  <c r="Q3" i="1"/>
  <c r="O3" i="1"/>
  <c r="P3" i="1" s="1"/>
  <c r="N3" i="1"/>
  <c r="R3" i="1" s="1"/>
  <c r="O2" i="1"/>
  <c r="N2" i="1"/>
  <c r="N48" i="1" s="1"/>
  <c r="AP6" i="6" l="1"/>
  <c r="AP7" i="6"/>
  <c r="U17" i="1"/>
  <c r="R29" i="1"/>
  <c r="R15" i="1"/>
  <c r="T41" i="1"/>
  <c r="U41" i="1" s="1"/>
  <c r="R11" i="1"/>
  <c r="R22" i="1"/>
  <c r="R38" i="1"/>
  <c r="AG30" i="6"/>
  <c r="AH39" i="6"/>
  <c r="AG39" i="6"/>
  <c r="AH43" i="6"/>
  <c r="AG43" i="6"/>
  <c r="AH47" i="6"/>
  <c r="O48" i="1"/>
  <c r="O49" i="1"/>
  <c r="P10" i="1"/>
  <c r="S12" i="1"/>
  <c r="P28" i="1"/>
  <c r="AG4" i="6"/>
  <c r="AE34" i="6"/>
  <c r="AH40" i="6"/>
  <c r="AH44" i="6"/>
  <c r="AG44" i="6"/>
  <c r="AG47" i="6"/>
  <c r="AG51" i="6"/>
  <c r="AG57" i="6"/>
  <c r="AG59" i="6"/>
  <c r="AG61" i="6"/>
  <c r="AG63" i="6"/>
  <c r="AG69" i="6"/>
  <c r="AG71" i="6"/>
  <c r="P2" i="1"/>
  <c r="Q21" i="1"/>
  <c r="Q28" i="1"/>
  <c r="AG7" i="6"/>
  <c r="AG8" i="6"/>
  <c r="AG10" i="6"/>
  <c r="AG14" i="6"/>
  <c r="AG16" i="6"/>
  <c r="AG18" i="6"/>
  <c r="AG20" i="6"/>
  <c r="AG22" i="6"/>
  <c r="AG24" i="6"/>
  <c r="AG26" i="6"/>
  <c r="AG28" i="6"/>
  <c r="R2" i="1"/>
  <c r="R34" i="1"/>
  <c r="AH35" i="6"/>
  <c r="AG35" i="6"/>
  <c r="P21" i="1"/>
  <c r="P32" i="1"/>
  <c r="P37" i="1"/>
  <c r="AE2" i="6"/>
  <c r="AE5" i="6"/>
  <c r="AH32" i="6"/>
  <c r="AH36" i="6"/>
  <c r="AG36" i="6"/>
  <c r="AE38" i="6"/>
  <c r="AG40" i="6"/>
  <c r="AE42" i="6"/>
  <c r="AG49" i="6"/>
  <c r="AG53" i="6"/>
  <c r="AG55" i="6"/>
  <c r="AG65" i="6"/>
  <c r="AG67" i="6"/>
  <c r="Q10" i="1"/>
  <c r="T12" i="1"/>
  <c r="R20" i="1"/>
  <c r="Q32" i="1"/>
  <c r="Q37" i="1"/>
  <c r="S44" i="1"/>
  <c r="N49" i="1"/>
  <c r="Q2" i="1"/>
  <c r="Q15" i="1"/>
  <c r="T44" i="1"/>
  <c r="U44" i="1" s="1"/>
  <c r="R42" i="1"/>
  <c r="P44" i="1"/>
  <c r="AG2" i="6"/>
  <c r="AE3" i="6"/>
  <c r="AG5" i="6"/>
  <c r="AJ6" i="6"/>
  <c r="AJ11" i="6"/>
  <c r="AJ17" i="6"/>
  <c r="AJ27" i="6"/>
  <c r="AG34" i="6"/>
  <c r="AG38" i="6"/>
  <c r="AG42" i="6"/>
  <c r="AG46" i="6"/>
  <c r="AG48" i="6"/>
  <c r="AG50" i="6"/>
  <c r="AG52" i="6"/>
  <c r="AG54" i="6"/>
  <c r="AG56" i="6"/>
  <c r="AG58" i="6"/>
  <c r="AG60" i="6"/>
  <c r="AG62" i="6"/>
  <c r="AG64" i="6"/>
  <c r="AG66" i="6"/>
  <c r="AG68" i="6"/>
  <c r="AG70" i="6"/>
  <c r="AG72" i="6"/>
  <c r="AR8" i="6" l="1"/>
  <c r="AR5" i="6" a="1"/>
  <c r="AR5" i="6" s="1"/>
  <c r="AH17" i="6"/>
  <c r="AG17" i="6"/>
  <c r="AH11" i="6"/>
  <c r="AG11" i="6"/>
  <c r="AH27" i="6"/>
  <c r="AG27" i="6"/>
  <c r="AN7" i="6"/>
  <c r="AN6" i="6"/>
  <c r="AQ6" i="6"/>
  <c r="AQ7" i="6"/>
  <c r="U12" i="1"/>
  <c r="U51" i="1" s="1"/>
  <c r="T51" i="1"/>
  <c r="T50" i="1"/>
  <c r="P49" i="1"/>
  <c r="P48" i="1"/>
  <c r="AH6" i="6"/>
  <c r="AG6" i="6"/>
  <c r="AO7" i="6"/>
  <c r="AO6" i="6"/>
  <c r="U50" i="1"/>
  <c r="S50" i="1"/>
  <c r="S51" i="1"/>
  <c r="AS7" i="6" l="1"/>
  <c r="AS6" i="6"/>
  <c r="V50" i="1"/>
  <c r="AR7" i="6"/>
  <c r="AR6" i="6"/>
</calcChain>
</file>

<file path=xl/comments1.xml><?xml version="1.0" encoding="utf-8"?>
<comments xmlns="http://schemas.openxmlformats.org/spreadsheetml/2006/main">
  <authors>
    <author/>
  </authors>
  <commentList>
    <comment ref="AT1" authorId="0" shapeId="0">
      <text>
        <r>
          <rPr>
            <sz val="10"/>
            <rFont val="Arial"/>
            <family val="2"/>
            <charset val="1"/>
          </rPr>
          <t>ONLY INCLUDE IF HAS FULL CYCLE (surrounded by water contact)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E1" authorId="0" shapeId="0">
      <text>
        <r>
          <rPr>
            <sz val="10"/>
            <rFont val="Arial"/>
            <family val="2"/>
            <charset val="1"/>
          </rPr>
          <t>This would be preparation for the next jump?</t>
        </r>
      </text>
    </comment>
    <comment ref="AV1" authorId="0" shapeId="0">
      <text>
        <r>
          <rPr>
            <sz val="10"/>
            <rFont val="Arial"/>
            <family val="2"/>
            <charset val="1"/>
          </rPr>
          <t>ONLY INCLUDE IF HAS FULL CYCLE (surrounded by water contact)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L1" authorId="0" shapeId="0">
      <text>
        <r>
          <rPr>
            <sz val="10"/>
            <rFont val="Arial"/>
            <family val="2"/>
            <charset val="1"/>
          </rPr>
          <t>This would be preparation for the next jump?</t>
        </r>
      </text>
    </comment>
    <comment ref="BD1" authorId="0" shapeId="0">
      <text>
        <r>
          <rPr>
            <sz val="10"/>
            <rFont val="Arial"/>
            <family val="2"/>
            <charset val="1"/>
          </rPr>
          <t>ONLY INCLUDE IF HAS FULL CYCLE (surrounded by water contact)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0"/>
            <rFont val="Arial"/>
            <family val="2"/>
            <charset val="1"/>
          </rPr>
          <t xml:space="preserve">How many times “in air”
</t>
        </r>
      </text>
    </comment>
    <comment ref="R1" authorId="0" shapeId="0">
      <text>
        <r>
          <rPr>
            <sz val="10"/>
            <rFont val="Arial"/>
            <family val="2"/>
            <charset val="1"/>
          </rPr>
          <t>For scale use in preference irder: stick dia → ruler → frog SVL</t>
        </r>
      </text>
    </comment>
    <comment ref="W1" authorId="0" shapeId="0">
      <text>
        <r>
          <rPr>
            <sz val="10"/>
            <rFont val="Arial"/>
            <family val="2"/>
            <charset val="1"/>
          </rPr>
          <t>ASK JAKE – I’ve been trying to do when knee no longer bends. Angle SOMETIMES (not always) pushes off as well after rest of leg is straight</t>
        </r>
      </text>
    </comment>
    <comment ref="Z1" authorId="0" shapeId="0">
      <text>
        <r>
          <rPr>
            <sz val="10"/>
            <rFont val="Arial"/>
            <family val="2"/>
            <charset val="1"/>
          </rPr>
          <t>Legs in position for next jump (re-curled up)</t>
        </r>
      </text>
    </comment>
    <comment ref="O2" authorId="0" shapeId="0">
      <text>
        <r>
          <rPr>
            <sz val="10"/>
            <rFont val="Arial"/>
            <family val="2"/>
            <charset val="1"/>
          </rPr>
          <t>Back toes still touching ground at this point</t>
        </r>
      </text>
    </comment>
    <comment ref="P7" authorId="0" shapeId="0">
      <text>
        <r>
          <rPr>
            <sz val="10"/>
            <rFont val="Arial"/>
            <family val="2"/>
            <charset val="1"/>
          </rPr>
          <t>Frog turned – distance may not be accurate</t>
        </r>
      </text>
    </comment>
    <comment ref="X7" authorId="0" shapeId="0">
      <text>
        <r>
          <rPr>
            <sz val="10"/>
            <rFont val="Arial"/>
            <family val="2"/>
            <charset val="1"/>
          </rPr>
          <t>Frog lands hind knee first slightly before cloaca. This is cloaca landing. I think frog is pressed against back of tank</t>
        </r>
      </text>
    </comment>
    <comment ref="Z7" authorId="0" shapeId="0">
      <text>
        <r>
          <rPr>
            <sz val="10"/>
            <rFont val="Arial"/>
            <family val="2"/>
            <charset val="1"/>
          </rPr>
          <t>Frog landed in gap between edge of foam and tank – don’t use this sequence</t>
        </r>
      </text>
    </comment>
    <comment ref="X8" authorId="0" shapeId="0">
      <text>
        <r>
          <rPr>
            <sz val="10"/>
            <rFont val="Arial"/>
            <family val="2"/>
            <charset val="1"/>
          </rPr>
          <t>Front legs catch frog first. This is belly contact</t>
        </r>
      </text>
    </comment>
    <comment ref="Y8" authorId="0" shapeId="0">
      <text>
        <r>
          <rPr>
            <sz val="10"/>
            <rFont val="Arial"/>
            <family val="2"/>
            <charset val="1"/>
          </rPr>
          <t>Frog essentially retracts in air????? so counting from that</t>
        </r>
      </text>
    </comment>
    <comment ref="O12" authorId="0" shapeId="0">
      <text>
        <r>
          <rPr>
            <sz val="10"/>
            <rFont val="Arial"/>
            <family val="2"/>
            <charset val="1"/>
          </rPr>
          <t>Basically dives down – basicallly no height?</t>
        </r>
      </text>
    </comment>
    <comment ref="X12" authorId="0" shapeId="0">
      <text>
        <r>
          <rPr>
            <sz val="10"/>
            <rFont val="Arial"/>
            <family val="2"/>
            <charset val="1"/>
          </rPr>
          <t>Lands on head</t>
        </r>
      </text>
    </comment>
    <comment ref="M15" authorId="0" shapeId="0">
      <text>
        <r>
          <rPr>
            <sz val="10"/>
            <rFont val="Arial"/>
            <family val="2"/>
            <charset val="1"/>
          </rPr>
          <t>Facing away from camera, so may not be accurate</t>
        </r>
      </text>
    </comment>
    <comment ref="X18" authorId="0" shapeId="0">
      <text>
        <r>
          <rPr>
            <sz val="10"/>
            <rFont val="Arial"/>
            <family val="2"/>
            <charset val="1"/>
          </rPr>
          <t>Back legs hit first. This is belly contact time</t>
        </r>
      </text>
    </comment>
    <comment ref="X19" authorId="0" shapeId="0">
      <text>
        <r>
          <rPr>
            <sz val="10"/>
            <rFont val="Arial"/>
            <family val="2"/>
            <charset val="1"/>
          </rPr>
          <t>Back leg hits first. This is belly contact</t>
        </r>
      </text>
    </comment>
    <comment ref="Y19" authorId="0" shapeId="0">
      <text>
        <r>
          <rPr>
            <sz val="10"/>
            <rFont val="Arial"/>
            <family val="2"/>
            <charset val="1"/>
          </rPr>
          <t>Frog retracts midair? Counting from that</t>
        </r>
      </text>
    </comment>
    <comment ref="M25" authorId="0" shapeId="0">
      <text>
        <r>
          <rPr>
            <sz val="10"/>
            <rFont val="Arial"/>
            <family val="2"/>
            <charset val="1"/>
          </rPr>
          <t xml:space="preserve">Facing away from camera so location is estimate
</t>
        </r>
      </text>
    </comment>
    <comment ref="V25" authorId="0" shapeId="0">
      <text>
        <r>
          <rPr>
            <sz val="10"/>
            <rFont val="Arial"/>
            <family val="2"/>
            <charset val="1"/>
          </rPr>
          <t xml:space="preserve">Jumping at angle, so one leg extending before other
</t>
        </r>
      </text>
    </comment>
    <comment ref="X25" authorId="0" shapeId="0">
      <text>
        <r>
          <rPr>
            <sz val="10"/>
            <rFont val="Arial"/>
            <family val="2"/>
            <charset val="1"/>
          </rPr>
          <t>Head hits first</t>
        </r>
      </text>
    </comment>
    <comment ref="Y25" authorId="0" shapeId="0">
      <text>
        <r>
          <rPr>
            <sz val="10"/>
            <rFont val="Arial"/>
            <family val="2"/>
            <charset val="1"/>
          </rPr>
          <t>When leg farther from camera begins retraction – close to camera sorta did midair</t>
        </r>
      </text>
    </comment>
    <comment ref="X30" authorId="0" shapeId="0">
      <text>
        <r>
          <rPr>
            <sz val="10"/>
            <rFont val="Arial"/>
            <family val="2"/>
            <charset val="1"/>
          </rPr>
          <t>Catches self with front leg – this is when belly touch down</t>
        </r>
      </text>
    </comment>
    <comment ref="E31" authorId="0" shapeId="0">
      <text>
        <r>
          <rPr>
            <sz val="10"/>
            <rFont val="Arial"/>
            <family val="2"/>
            <charset val="1"/>
          </rPr>
          <t>Basically jumps the length of legs – measuring when extension ends/retraction begins is diffcult</t>
        </r>
      </text>
    </comment>
    <comment ref="G34" authorId="0" shapeId="0">
      <text>
        <r>
          <rPr>
            <sz val="10"/>
            <rFont val="Arial"/>
            <family val="2"/>
            <charset val="1"/>
          </rPr>
          <t xml:space="preserve">From prev jump
</t>
        </r>
      </text>
    </comment>
    <comment ref="G36" authorId="0" shapeId="0">
      <text>
        <r>
          <rPr>
            <sz val="10"/>
            <rFont val="Arial"/>
            <family val="2"/>
            <charset val="1"/>
          </rPr>
          <t>From prev jump</t>
        </r>
      </text>
    </comment>
    <comment ref="G39" authorId="0" shapeId="0">
      <text>
        <r>
          <rPr>
            <sz val="10"/>
            <rFont val="Arial"/>
            <family val="2"/>
            <charset val="1"/>
          </rPr>
          <t>From prev jump</t>
        </r>
      </text>
    </comment>
    <comment ref="G41" authorId="0" shapeId="0">
      <text>
        <r>
          <rPr>
            <sz val="10"/>
            <rFont val="Arial"/>
            <family val="2"/>
            <charset val="1"/>
          </rPr>
          <t>From prev jump</t>
        </r>
      </text>
    </comment>
    <comment ref="G43" authorId="0" shapeId="0">
      <text>
        <r>
          <rPr>
            <sz val="10"/>
            <rFont val="Arial"/>
            <family val="2"/>
            <charset val="1"/>
          </rPr>
          <t>From prev jump</t>
        </r>
      </text>
    </comment>
    <comment ref="X43" authorId="0" shapeId="0">
      <text>
        <r>
          <rPr>
            <sz val="10"/>
            <rFont val="Arial"/>
            <family val="2"/>
            <charset val="1"/>
          </rPr>
          <t>Legs touch first but just bc of body angle – this is belly touch</t>
        </r>
      </text>
    </comment>
    <comment ref="P46" authorId="0" shapeId="0">
      <text>
        <r>
          <rPr>
            <sz val="10"/>
            <rFont val="Arial"/>
            <family val="2"/>
            <charset val="1"/>
          </rPr>
          <t>Jump at large angle</t>
        </r>
      </text>
    </comment>
    <comment ref="X48" authorId="0" shapeId="0">
      <text>
        <r>
          <rPr>
            <sz val="10"/>
            <rFont val="Arial"/>
            <family val="2"/>
            <charset val="1"/>
          </rPr>
          <t xml:space="preserve">Back leg hits first
</t>
        </r>
      </text>
    </comment>
    <comment ref="P57" authorId="0" shapeId="0">
      <text>
        <r>
          <rPr>
            <sz val="10"/>
            <rFont val="Arial"/>
            <family val="2"/>
            <charset val="1"/>
          </rPr>
          <t>Frog landed on close wall – not count?</t>
        </r>
      </text>
    </comment>
    <comment ref="X57" authorId="0" shapeId="0">
      <text>
        <r>
          <rPr>
            <sz val="10"/>
            <rFont val="Arial"/>
            <family val="2"/>
            <charset val="1"/>
          </rPr>
          <t>Fall on ground after landed on wall – maybe ok to count?</t>
        </r>
      </text>
    </comment>
    <comment ref="G58" authorId="0" shapeId="0">
      <text>
        <r>
          <rPr>
            <sz val="10"/>
            <rFont val="Arial"/>
            <family val="2"/>
            <charset val="1"/>
          </rPr>
          <t>Not very close to frog when jump happens</t>
        </r>
      </text>
    </comment>
    <comment ref="G63" authorId="0" shapeId="0">
      <text>
        <r>
          <rPr>
            <sz val="10"/>
            <rFont val="Arial"/>
            <family val="2"/>
            <charset val="1"/>
          </rPr>
          <t>Not very close to frog when jump happens</t>
        </r>
      </text>
    </comment>
    <comment ref="Z65" authorId="0" shapeId="0">
      <text>
        <r>
          <rPr>
            <sz val="10"/>
            <rFont val="Arial"/>
            <family val="2"/>
            <charset val="1"/>
          </rPr>
          <t>Back leg got stuck – idt I should include this one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72" authorId="0" shapeId="0">
      <text>
        <r>
          <rPr>
            <sz val="10"/>
            <rFont val="Arial"/>
            <family val="2"/>
            <charset val="1"/>
          </rPr>
          <t>Basically jumps the length of legs – measuring when extension ends/retraction begins is diffcult</t>
        </r>
      </text>
    </comment>
  </commentList>
</comments>
</file>

<file path=xl/sharedStrings.xml><?xml version="1.0" encoding="utf-8"?>
<sst xmlns="http://schemas.openxmlformats.org/spreadsheetml/2006/main" count="1357" uniqueCount="332">
  <si>
    <t>FROG</t>
  </si>
  <si>
    <t>Sequence</t>
  </si>
  <si>
    <t>ID</t>
  </si>
  <si>
    <t>file location</t>
  </si>
  <si>
    <t>FPS</t>
  </si>
  <si>
    <t># Launch</t>
  </si>
  <si>
    <t># Land</t>
  </si>
  <si>
    <t>Frames Launch transition</t>
  </si>
  <si>
    <t>Frames above WS</t>
  </si>
  <si>
    <t>Frames land transition</t>
  </si>
  <si>
    <t>Frames below WS</t>
  </si>
  <si>
    <t>Time above WS (ms)</t>
  </si>
  <si>
    <t>Time below WS (ms)</t>
  </si>
  <si>
    <t>Total time during cycle (ms)</t>
  </si>
  <si>
    <t>Fraction time below WS</t>
  </si>
  <si>
    <t>Fraction time above WS</t>
  </si>
  <si>
    <t>Per Frog AVG time above (ms)</t>
  </si>
  <si>
    <t>Per frog AVG time below</t>
  </si>
  <si>
    <t>AC01</t>
  </si>
  <si>
    <t>AC01_01</t>
  </si>
  <si>
    <t>/media/talcat/data/Acris spp/2013_10_31/2013-10-31 AC 01 01_000000</t>
  </si>
  <si>
    <t>AC01_02</t>
  </si>
  <si>
    <t>/media/talcat/data/Acris spp/2013_10_31/2013-10-31 AC 01 02_000000</t>
  </si>
  <si>
    <t>AC01_03</t>
  </si>
  <si>
    <t>/media/talcat/data/Acris spp/2013_10_31/2013-10-31 AC 01 03_000000</t>
  </si>
  <si>
    <t>AC01_04</t>
  </si>
  <si>
    <t>/media/talcat/data/Acris spp/2013_10_31/2013-10-31 AC 01 04_000000</t>
  </si>
  <si>
    <t>AC01_05</t>
  </si>
  <si>
    <t>/media/talcat/data/Acris spp/2013_10_31/2013-10-31 AC 01 05_000000</t>
  </si>
  <si>
    <t>AC01_06</t>
  </si>
  <si>
    <t>/media/talcat/data/Acris spp/2013_10_31/2013-10-31 AC 01 06_000000</t>
  </si>
  <si>
    <t>AC01_07</t>
  </si>
  <si>
    <t>/media/talcat/data/Acris spp/2013_10_31/2013-10-31 AC 01 07_000000</t>
  </si>
  <si>
    <t>AC01_08</t>
  </si>
  <si>
    <t>/media/talcat/data/Acris spp/2013_10_31/2013-10-31 AC 01 08_000000</t>
  </si>
  <si>
    <t>AC01_09</t>
  </si>
  <si>
    <t>/media/talcat/data/Acris spp/2013_10_31/2013-10-31 AC 01 09_000000</t>
  </si>
  <si>
    <t>AC01_10</t>
  </si>
  <si>
    <t>/media/talcat/data/Acris spp/2013_10_31/2013-10-31 AC 01 10_000000</t>
  </si>
  <si>
    <t>AC01_11</t>
  </si>
  <si>
    <t>/media/talcat/data/Acris spp/2013_10_31/2013-10-31 AC 01 11_000000</t>
  </si>
  <si>
    <t>AC02</t>
  </si>
  <si>
    <t>AC02_01</t>
  </si>
  <si>
    <t>/media/talcat/data/Acris spp/2013_10_31/2013-10-31 AC 02 1_000000</t>
  </si>
  <si>
    <t>AC02_02</t>
  </si>
  <si>
    <t>/media/talcat/data/Acris spp/2013_10_31/2013-10-31 AC 02 2_000000</t>
  </si>
  <si>
    <t>AC02_03</t>
  </si>
  <si>
    <t>/media/talcat/data/Acris spp/2013_10_31/2013-10-31 AC 02 3_000000</t>
  </si>
  <si>
    <t>AC02_04</t>
  </si>
  <si>
    <t>/media/talcat/data/Acris spp/2013_10_31/2013-10-31 AC 02 4_000000</t>
  </si>
  <si>
    <t>AC02_05</t>
  </si>
  <si>
    <t>/media/talcat/data/Acris spp/2013_10_31/2013-10-31 AC 02 5_000000</t>
  </si>
  <si>
    <t>AC03</t>
  </si>
  <si>
    <t>AC03_01</t>
  </si>
  <si>
    <t>/media/talcat/data/Acris spp/2013_10_31/2013-10-31 AC 03 1_000000</t>
  </si>
  <si>
    <t>AC03_02</t>
  </si>
  <si>
    <t>/media/talcat/data/Acris spp/2013_10_31/2013-10-31 AC 03 2_000000</t>
  </si>
  <si>
    <t>AC03_03</t>
  </si>
  <si>
    <t>/media/talcat/data/Acris spp/2013_10_31/2013-10-31 AC 03 3_000000</t>
  </si>
  <si>
    <t>AC03_04</t>
  </si>
  <si>
    <t>/media/talcat/data/Acris spp/2013_10_31/2013-10-31 AC 03 4_000000</t>
  </si>
  <si>
    <t>AC03_05</t>
  </si>
  <si>
    <t>/media/talcat/data/Acris spp/2013_10_31/2013-10-31 AC 03 5_000000</t>
  </si>
  <si>
    <t>AC03_06</t>
  </si>
  <si>
    <t>/media/talcat/data/Acris spp/2013_10_31/2013-10-31 AC 03 6_000000</t>
  </si>
  <si>
    <t>AC03_07</t>
  </si>
  <si>
    <t>/media/talcat/data/Acris spp/2013_10_31/2013-10-31 AC 03 7_000000</t>
  </si>
  <si>
    <t>AC03_08</t>
  </si>
  <si>
    <t>/media/talcat/data/Acris spp/2013_10_31/2013-10-31 AC 03 8_000000</t>
  </si>
  <si>
    <t>AC03_09</t>
  </si>
  <si>
    <t>/media/talcat/data/Acris spp/2013_10_31/2013-10-31 AC 03 9_000000</t>
  </si>
  <si>
    <t>AC03_10</t>
  </si>
  <si>
    <t>/media/talcat/data/Acris spp/2013_10_31/2013-10-31 AC 03 10_000000</t>
  </si>
  <si>
    <t>AC03_11</t>
  </si>
  <si>
    <t>/media/talcat/data/Acris spp/2013_10_31/2013-10-31 AC 03 11_000000</t>
  </si>
  <si>
    <t>AC03_12</t>
  </si>
  <si>
    <t>/media/talcat/data/Acris spp/2013_10_31/2013-10-31 AC 03 12_000000</t>
  </si>
  <si>
    <t>AC03_13</t>
  </si>
  <si>
    <t>/media/talcat/data/Acris spp/2013_10_31/2013-10-31 AC 03 13_000000</t>
  </si>
  <si>
    <t>AC03_14</t>
  </si>
  <si>
    <t>/media/talcat/data/Acris spp/2013_10_31/2013-10-31 AC 03 14_000000</t>
  </si>
  <si>
    <t>AC03_15</t>
  </si>
  <si>
    <t>/media/talcat/data/Acris spp/2013_10_31/2013-10-31 AC 03 15_000000</t>
  </si>
  <si>
    <t>AC03_16</t>
  </si>
  <si>
    <t>/media/talcat/data/Acris spp/2013_10_31/2013-10-31 AC 03 16_000000</t>
  </si>
  <si>
    <t>AC03_17</t>
  </si>
  <si>
    <t>/media/talcat/data/Acris spp/2013_10_31/2013-10-31 AC 03 17_000000</t>
  </si>
  <si>
    <t>AC03_18</t>
  </si>
  <si>
    <t>/media/talcat/data/Acris spp/2013_10_31/2013-10-31 AC 03 18_000000</t>
  </si>
  <si>
    <t>AC03_19</t>
  </si>
  <si>
    <t>/media/talcat/data/Acris spp/2013_10_31/2013-10-31 AC 03 19_000000</t>
  </si>
  <si>
    <t>AC03_20</t>
  </si>
  <si>
    <t>/media/talcat/data/Acris spp/2013_10_31/2013-10-31 AC 03 20_000000</t>
  </si>
  <si>
    <t>AC03_21</t>
  </si>
  <si>
    <t>/media/talcat/data/Acris spp/2013_10_31/2013-10-31 AC 03 21_000000</t>
  </si>
  <si>
    <t>AC03_22</t>
  </si>
  <si>
    <t>/media/talcat/data/Acris spp/2013_10_31/2013-10-31 AC 03 22_000000</t>
  </si>
  <si>
    <t>AC03_23</t>
  </si>
  <si>
    <t>/media/talcat/data/Acris spp/2013_10_31/2013-10-31 AC 03 23_000000</t>
  </si>
  <si>
    <t>AC03_24</t>
  </si>
  <si>
    <t>/media/talcat/data/Acris spp/2013_10_31/2013-10-31 AC 03 24_000000</t>
  </si>
  <si>
    <t>AC04</t>
  </si>
  <si>
    <t>AC04_01</t>
  </si>
  <si>
    <t>/media/talcat/data/Acris spp/2013_10_31/2013-10-31 AC 04 1_000000</t>
  </si>
  <si>
    <t>AC04_02</t>
  </si>
  <si>
    <t>/media/talcat/data/Acris spp/2013_10_31/2013-10-31 AC 04 2_000000</t>
  </si>
  <si>
    <t>AC04_03</t>
  </si>
  <si>
    <t>/media/talcat/data/Acris spp/2013_10_31/2013-10-31 AC 04 3_000000</t>
  </si>
  <si>
    <t>AC08</t>
  </si>
  <si>
    <t>AC08_01</t>
  </si>
  <si>
    <t>/media/talcat/data/Acris spp/2013_10_31/2013-10-31 AC 08 1_000000</t>
  </si>
  <si>
    <t>AC08_02</t>
  </si>
  <si>
    <t>/media/talcat/data/Acris spp/2013_10_31/2013-10-31 AC 08 2_000000</t>
  </si>
  <si>
    <t>min</t>
  </si>
  <si>
    <t>max</t>
  </si>
  <si>
    <t>Frog</t>
  </si>
  <si>
    <t>Jmp #</t>
  </si>
  <si>
    <t>fps</t>
  </si>
  <si>
    <t>px/SVL</t>
  </si>
  <si>
    <t>Frame start of jump (water exit)</t>
  </si>
  <si>
    <t>Frame water land</t>
  </si>
  <si>
    <t>Amount of jump</t>
  </si>
  <si>
    <t>Jump contains max height</t>
  </si>
  <si>
    <t>Actual height (px)</t>
  </si>
  <si>
    <t>Actual range (px)</t>
  </si>
  <si>
    <t>fit height (px)</t>
  </si>
  <si>
    <t>fit range (px)</t>
  </si>
  <si>
    <t>Body Angle @ WC launch</t>
  </si>
  <si>
    <t>Body Angle @ WC land</t>
  </si>
  <si>
    <t>Idx of Max Velocity</t>
  </si>
  <si>
    <t>Frame of Max Velocity</t>
  </si>
  <si>
    <t>Vx @ Max Velocity (px/sec)</t>
  </si>
  <si>
    <t>Vy @ Max Velocity (px/sec)</t>
  </si>
  <si>
    <t>V @ Max Velocity (px/sec)</t>
  </si>
  <si>
    <t>V angle (trajectory angle) at Max V</t>
  </si>
  <si>
    <t>Body Angle @ Max Velocity</t>
  </si>
  <si>
    <t>Frame start propulsion</t>
  </si>
  <si>
    <t>Frame End propulsion</t>
  </si>
  <si>
    <t>Propulsion Time (frames)</t>
  </si>
  <si>
    <t>Frame start prep (HL)</t>
  </si>
  <si>
    <t>Frame end prep (HL)</t>
  </si>
  <si>
    <t>Duration HL prep (frames)</t>
  </si>
  <si>
    <t>Wait time (btw prev land and prep start)</t>
  </si>
  <si>
    <t>Avg hor Velocity above water (px/sec)</t>
  </si>
  <si>
    <t>Avg hor Velocity below water (px/sec) – after jump</t>
  </si>
  <si>
    <t>Avg hor vel total (launch  land  launch) (px/sec)</t>
  </si>
  <si>
    <t>Horizontal distance below WS (px) – after jump</t>
  </si>
  <si>
    <t>Max vertical distance below WS (px) – before jump</t>
  </si>
  <si>
    <t>AVG Underwater angle ( before jump)</t>
  </si>
  <si>
    <t>AVG Above water angle (during jump)</t>
  </si>
  <si>
    <t>True</t>
  </si>
  <si>
    <t>False</t>
  </si>
  <si>
    <t>Frame water exit</t>
  </si>
  <si>
    <t>Avg hor Velocity below water (px/sec) – BEFORE jump</t>
  </si>
  <si>
    <t>Avg hor Velocity below water (px/sec) – AFTER jump</t>
  </si>
  <si>
    <t>Horizontal distance below WS (px) – BEFORE jump</t>
  </si>
  <si>
    <t>Horizontal distance below WS (px) – AFTER jump</t>
  </si>
  <si>
    <t>Max vertical distance below WS (px) – BEFORE jump</t>
  </si>
  <si>
    <t>Max vertical distance below WS (px) – AFTER jump</t>
  </si>
  <si>
    <t>AVG Underwater angle ( BEFORE jump)</t>
  </si>
  <si>
    <t>AVG Underwater angle ( AFTER jump)</t>
  </si>
  <si>
    <t xml:space="preserve">This was using the idx of max Vy, not V → </t>
  </si>
  <si>
    <t>DATE</t>
  </si>
  <si>
    <t>NOTES</t>
  </si>
  <si>
    <t># JUMPS</t>
  </si>
  <si>
    <t># land</t>
  </si>
  <si>
    <t>enter from high or wall</t>
  </si>
  <si>
    <t>Other Notes</t>
  </si>
  <si>
    <t>only half of second jump</t>
  </si>
  <si>
    <t>Y</t>
  </si>
  <si>
    <t>jump perpendicular to camera</t>
  </si>
  <si>
    <t>jump away from camera</t>
  </si>
  <si>
    <t>PARALLEL TO CAMERA</t>
  </si>
  <si>
    <t>N</t>
  </si>
  <si>
    <t>first launch/last land barely off cam</t>
  </si>
  <si>
    <t>starts high in air before landing</t>
  </si>
  <si>
    <t>final land barely off cam</t>
  </si>
  <si>
    <t>jumps onto near wall</t>
  </si>
  <si>
    <t>land on wall</t>
  </si>
  <si>
    <t>jumping towards camera, to near wall</t>
  </si>
  <si>
    <t>starts middle of sequence, away from camera</t>
  </si>
  <si>
    <t>really high jump from lily pad</t>
  </si>
  <si>
    <t>jumping away from camera, onto far wall</t>
  </si>
  <si>
    <t>jumping slightly towards camera</t>
  </si>
  <si>
    <t>only have launch, jump offscreen</t>
  </si>
  <si>
    <t>turns around midair?</t>
  </si>
  <si>
    <t>2 jumps parallel to camera</t>
  </si>
  <si>
    <t>jump towards camers?</t>
  </si>
  <si>
    <t>see landing of prev, launch in next</t>
  </si>
  <si>
    <t>N?</t>
  </si>
  <si>
    <t>Unclear – looks like it may be a jump</t>
  </si>
  <si>
    <t>jumping towards camera</t>
  </si>
  <si>
    <t>last land right off screen</t>
  </si>
  <si>
    <t>starts high, see only launch of second jump</t>
  </si>
  <si>
    <t>first jump is away from camera</t>
  </si>
  <si>
    <t>lands on near wall, very close to wall</t>
  </si>
  <si>
    <t>starts high, away from camera, land on far wall</t>
  </si>
  <si>
    <t>starts high in air, jump towards camera</t>
  </si>
  <si>
    <t>very close to near wall. Ju,ps on near wall at end</t>
  </si>
  <si>
    <t>start high,pure vert before skitter</t>
  </si>
  <si>
    <t>very low to surface (swimming)</t>
  </si>
  <si>
    <t>AG06</t>
  </si>
  <si>
    <t>/media/talcat/data/Acris spp/2013_10_31/2013-10-31 AG 06 1_000000</t>
  </si>
  <si>
    <t>just swimming basically</t>
  </si>
  <si>
    <t>clear pointy stick diameter (px)</t>
  </si>
  <si>
    <t>cm/px from stick</t>
  </si>
  <si>
    <t>2 inch in px</t>
  </si>
  <si>
    <t>cm/px from ruler</t>
  </si>
  <si>
    <t>SVL in px</t>
  </si>
  <si>
    <t>cm/px from SVL</t>
  </si>
  <si>
    <t>jump start x pos (px)</t>
  </si>
  <si>
    <t>jump start y pos (px)</t>
  </si>
  <si>
    <t>jump highest y pos (px)</t>
  </si>
  <si>
    <t>jump end x pos (px)</t>
  </si>
  <si>
    <t>jump distance (px)</t>
  </si>
  <si>
    <t>jump distance (cm)</t>
  </si>
  <si>
    <t>jump height (px)</t>
  </si>
  <si>
    <t>jump height (cm)</t>
  </si>
  <si>
    <t>frame start exend</t>
  </si>
  <si>
    <t>frame max extend</t>
  </si>
  <si>
    <t>frame land ground</t>
  </si>
  <si>
    <t>frame begin retract</t>
  </si>
  <si>
    <t>frame finish retract</t>
  </si>
  <si>
    <t>time extend (sec)</t>
  </si>
  <si>
    <t>time from land to retract (sec)</t>
  </si>
  <si>
    <t>time to retract (sec)</t>
  </si>
  <si>
    <t>time from land to full retraction (sec)</t>
  </si>
  <si>
    <t>Preferred Scale (stick – ruler – SVL)</t>
  </si>
  <si>
    <t>INCLUDE DATA</t>
  </si>
  <si>
    <t>AVERAGES</t>
  </si>
  <si>
    <t>AC01_01_201511_1503</t>
  </si>
  <si>
    <t>low short jump</t>
  </si>
  <si>
    <t>jumps off screen + jump angled back slighly</t>
  </si>
  <si>
    <t xml:space="preserve"> -</t>
  </si>
  <si>
    <t>AC01_02_201511_1510</t>
  </si>
  <si>
    <t>lands so that bottom of body is not really on screen – cutting this sequence</t>
  </si>
  <si>
    <t xml:space="preserve"> - </t>
  </si>
  <si>
    <t>All frogs</t>
  </si>
  <si>
    <t>3a</t>
  </si>
  <si>
    <t>AC01_03a_201511_1518</t>
  </si>
  <si>
    <t>might hit back of glass at end of jump – frog turns while landing to face away from camera</t>
  </si>
  <si>
    <t>All frogs STD</t>
  </si>
  <si>
    <t>jumps directly from weird position landed on in prev frame – only count landing timings</t>
  </si>
  <si>
    <t>jumps off screen</t>
  </si>
  <si>
    <t>AC01_04_201511_1521</t>
  </si>
  <si>
    <t>jump vertically from back wall – only do timing of landing</t>
  </si>
  <si>
    <t>AC01_05_201511_1526</t>
  </si>
  <si>
    <t>snout just on screen but definitely start of jump so do distances – very short</t>
  </si>
  <si>
    <t>not oriented correctly for jump distance</t>
  </si>
  <si>
    <t>AC01_06_upsidedown_201511_1530</t>
  </si>
  <si>
    <t>landed upside down lol? - twists in air don’t analyze</t>
  </si>
  <si>
    <t>AC01_07_201511_1533</t>
  </si>
  <si>
    <t>starts with legs off screen</t>
  </si>
  <si>
    <t>AC01_08_201511_1744</t>
  </si>
  <si>
    <t>starts offscreen – almost flips over in landing – bounces on landing actually….probably shouldn’t count this</t>
  </si>
  <si>
    <t>jumps off screen – hind limbs bend midair?</t>
  </si>
  <si>
    <t>AC01_09_201511_1747</t>
  </si>
  <si>
    <t>starts barely seeing snout – does a double bounce on landing so don’t count?</t>
  </si>
  <si>
    <t>jumps off screen – hind limbs bend midair? - also does backward bend thing</t>
  </si>
  <si>
    <t>10a</t>
  </si>
  <si>
    <t>AC01_10a_201511_1751</t>
  </si>
  <si>
    <t>starts offscreen – bounces and turns away from camera on landing? Don’t analyze?</t>
  </si>
  <si>
    <t>starts facing away from camera but jumps horizontally – bends one hind limb midair – might have landed against far wall</t>
  </si>
  <si>
    <t>10b</t>
  </si>
  <si>
    <t>AC01_10b_201511_1753</t>
  </si>
  <si>
    <t>first jump barely see snout, see landing</t>
  </si>
  <si>
    <t>jumps off screen – legs go higher than head during jump</t>
  </si>
  <si>
    <t>AC02_01_201511_1540</t>
  </si>
  <si>
    <t>see snout of first jump</t>
  </si>
  <si>
    <t>very small jump/barely jump</t>
  </si>
  <si>
    <t>short jump</t>
  </si>
  <si>
    <t>jumps off screen – looks like its going to land vertically</t>
  </si>
  <si>
    <t>AC02_02_201511_1757</t>
  </si>
  <si>
    <t>starts barely seeing snout</t>
  </si>
  <si>
    <t>AC02_03_201511_1800</t>
  </si>
  <si>
    <t>starts offscreen</t>
  </si>
  <si>
    <t>AC02_04_201511_1803</t>
  </si>
  <si>
    <t>starts offscreen – jumps to very end of tank</t>
  </si>
  <si>
    <t>AC02_05_201511_1806</t>
  </si>
  <si>
    <t>starts offscreen -  very long jump</t>
  </si>
  <si>
    <t>AC02_06_201511_1809</t>
  </si>
  <si>
    <t>full one jump on screen</t>
  </si>
  <si>
    <t>AC02_07_201511_1812</t>
  </si>
  <si>
    <t>see snout of first jump – so can get height but not extension</t>
  </si>
  <si>
    <t>lands offscreen</t>
  </si>
  <si>
    <t>AC04_01_201511_1646</t>
  </si>
  <si>
    <t>jump highly angled</t>
  </si>
  <si>
    <t>jump highly angled + lands off screen/vertically</t>
  </si>
  <si>
    <t>2a</t>
  </si>
  <si>
    <t>AC04_02a_201511_1651</t>
  </si>
  <si>
    <t>cant see start of jump, frog turns while landing</t>
  </si>
  <si>
    <t xml:space="preserve"> </t>
  </si>
  <si>
    <t>2b</t>
  </si>
  <si>
    <t>AC04_02b_201511_1649</t>
  </si>
  <si>
    <t xml:space="preserve">full short jump – </t>
  </si>
  <si>
    <t>AC04_3_201511_1655</t>
  </si>
  <si>
    <t>AC04_4_201511_1659</t>
  </si>
  <si>
    <t>AC04_05_201511_1815</t>
  </si>
  <si>
    <t>lands on wall</t>
  </si>
  <si>
    <t>AC04_06_201511_1820</t>
  </si>
  <si>
    <t>AC04_07_201511_1823</t>
  </si>
  <si>
    <t>AC04_08_201511_1827</t>
  </si>
  <si>
    <t>1402?</t>
  </si>
  <si>
    <t>9a</t>
  </si>
  <si>
    <t>AC04_09a_201511_1830</t>
  </si>
  <si>
    <t>turns on land</t>
  </si>
  <si>
    <t>9b</t>
  </si>
  <si>
    <t>AC04_09b_201511_1832</t>
  </si>
  <si>
    <t>Number seq</t>
  </si>
  <si>
    <t>AVERAGE</t>
  </si>
  <si>
    <t>ALL AVERAGE</t>
  </si>
  <si>
    <t>Actual height (cm)</t>
  </si>
  <si>
    <t>Actual range (cm)</t>
  </si>
  <si>
    <t>fit height (cm)</t>
  </si>
  <si>
    <t>fit range (cm)</t>
  </si>
  <si>
    <t>SVL</t>
  </si>
  <si>
    <t>Propulsion time (sec)</t>
  </si>
  <si>
    <t>Duration HL prep (sec)</t>
  </si>
  <si>
    <t>V @ Max Velocity (cm/sec)</t>
  </si>
  <si>
    <t>Number Trials per Frog</t>
  </si>
  <si>
    <t>-</t>
  </si>
  <si>
    <t>lower leg</t>
  </si>
  <si>
    <t>offscreen</t>
  </si>
  <si>
    <t>body</t>
  </si>
  <si>
    <t>leg didn’t leave wateR?</t>
  </si>
  <si>
    <t>Not orthogonal to camera</t>
  </si>
  <si>
    <t>foot never leave water</t>
  </si>
  <si>
    <t>arm</t>
  </si>
  <si>
    <t>Skittering</t>
  </si>
  <si>
    <t>terrestrial</t>
  </si>
  <si>
    <t>upper leg</t>
  </si>
  <si>
    <t>arm/head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</si>
</sst>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Courier New"/>
      <family val="3"/>
      <charset val="1"/>
    </font>
    <font>
      <sz val="10"/>
      <color rgb="FF000000"/>
      <name val="Arial"/>
      <family val="2"/>
      <charset val="1"/>
    </font>
    <font>
      <b/>
      <sz val="12"/>
      <name val="Arial"/>
      <family val="2"/>
      <charset val="1"/>
    </font>
    <font>
      <sz val="10"/>
      <color rgb="FFCCCCCC"/>
      <name val="Arial"/>
      <family val="2"/>
      <charset val="1"/>
    </font>
    <font>
      <sz val="10"/>
      <color rgb="FFB2B2B2"/>
      <name val="Arial"/>
      <family val="2"/>
      <charset val="1"/>
    </font>
    <font>
      <b/>
      <sz val="10"/>
      <color rgb="FFCCCCCC"/>
      <name val="Arial"/>
      <family val="2"/>
      <charset val="1"/>
    </font>
    <font>
      <sz val="10"/>
      <color rgb="FF8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111111"/>
        <bgColor rgb="FF000000"/>
      </patternFill>
    </fill>
    <fill>
      <patternFill patternType="solid">
        <fgColor rgb="FF000000"/>
        <bgColor rgb="FF111111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FF6600"/>
      </left>
      <right style="double">
        <color rgb="FFFF6600"/>
      </right>
      <top style="double">
        <color rgb="FFFF6600"/>
      </top>
      <bottom/>
      <diagonal/>
    </border>
    <border>
      <left style="double">
        <color rgb="FFFF6600"/>
      </left>
      <right/>
      <top/>
      <bottom/>
      <diagonal/>
    </border>
    <border>
      <left/>
      <right style="double">
        <color rgb="FFFF6600"/>
      </right>
      <top/>
      <bottom/>
      <diagonal/>
    </border>
    <border>
      <left style="double">
        <color rgb="FFFF6600"/>
      </left>
      <right/>
      <top/>
      <bottom style="double">
        <color rgb="FFFF6600"/>
      </bottom>
      <diagonal/>
    </border>
    <border>
      <left/>
      <right/>
      <top/>
      <bottom style="double">
        <color rgb="FFFF6600"/>
      </bottom>
      <diagonal/>
    </border>
    <border>
      <left/>
      <right style="double">
        <color rgb="FFFF6600"/>
      </right>
      <top/>
      <bottom style="double">
        <color rgb="FFFF66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0" fontId="4" fillId="0" borderId="1" xfId="0" applyFont="1" applyBorder="1" applyAlignment="1">
      <alignment wrapText="1"/>
    </xf>
    <xf numFmtId="0" fontId="0" fillId="3" borderId="0" xfId="0" applyFont="1" applyFill="1"/>
    <xf numFmtId="0" fontId="0" fillId="4" borderId="0" xfId="0" applyFill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  <xf numFmtId="164" fontId="0" fillId="0" borderId="0" xfId="0" applyNumberFormat="1" applyFont="1"/>
    <xf numFmtId="0" fontId="0" fillId="0" borderId="3" xfId="0" applyBorder="1"/>
    <xf numFmtId="0" fontId="0" fillId="0" borderId="4" xfId="0" applyFont="1" applyBorder="1" applyAlignment="1">
      <alignment wrapText="1"/>
    </xf>
    <xf numFmtId="0" fontId="0" fillId="0" borderId="4" xfId="0" applyBorder="1"/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wrapText="1"/>
    </xf>
    <xf numFmtId="164" fontId="6" fillId="0" borderId="0" xfId="0" applyNumberFormat="1" applyFont="1"/>
    <xf numFmtId="0" fontId="0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0" fillId="0" borderId="5" xfId="0" applyFont="1" applyBorder="1" applyAlignment="1">
      <alignment wrapText="1"/>
    </xf>
    <xf numFmtId="0" fontId="0" fillId="0" borderId="6" xfId="0" applyBorder="1"/>
    <xf numFmtId="0" fontId="0" fillId="0" borderId="7" xfId="0" applyBorder="1"/>
    <xf numFmtId="0" fontId="4" fillId="0" borderId="0" xfId="0" applyFont="1"/>
    <xf numFmtId="0" fontId="7" fillId="0" borderId="0" xfId="0" applyFont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164" fontId="0" fillId="6" borderId="0" xfId="0" applyNumberFormat="1" applyFill="1"/>
    <xf numFmtId="0" fontId="8" fillId="0" borderId="0" xfId="0" applyFont="1"/>
    <xf numFmtId="0" fontId="9" fillId="6" borderId="0" xfId="0" applyFont="1" applyFill="1"/>
    <xf numFmtId="0" fontId="9" fillId="6" borderId="0" xfId="0" applyFont="1" applyFill="1" applyAlignment="1">
      <alignment wrapText="1"/>
    </xf>
    <xf numFmtId="0" fontId="4" fillId="6" borderId="0" xfId="0" applyFont="1" applyFill="1"/>
    <xf numFmtId="0" fontId="0" fillId="0" borderId="3" xfId="0" applyFont="1" applyFill="1" applyBorder="1" applyAlignment="1">
      <alignment wrapText="1"/>
    </xf>
    <xf numFmtId="0" fontId="1" fillId="7" borderId="0" xfId="0" applyFont="1" applyFill="1" applyAlignment="1">
      <alignment horizontal="center"/>
    </xf>
    <xf numFmtId="0" fontId="0" fillId="7" borderId="0" xfId="0" applyFill="1"/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LANDING POSITION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'landing position histogram'!$L$5</c:f>
              <c:strCache>
                <c:ptCount val="1"/>
                <c:pt idx="0">
                  <c:v>lower leg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'landing position histogram'!$M$4:$N$4</c:f>
              <c:strCache>
                <c:ptCount val="2"/>
                <c:pt idx="0">
                  <c:v>Skittering</c:v>
                </c:pt>
                <c:pt idx="1">
                  <c:v>terrestrial</c:v>
                </c:pt>
              </c:strCache>
            </c:strRef>
          </c:cat>
          <c:val>
            <c:numRef>
              <c:f>'landing position histogram'!$M$5:$N$5</c:f>
              <c:numCache>
                <c:formatCode>General</c:formatCode>
                <c:ptCount val="2"/>
                <c:pt idx="0">
                  <c:v>21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63-467A-92F6-F1E1CFB265CD}"/>
            </c:ext>
          </c:extLst>
        </c:ser>
        <c:ser>
          <c:idx val="2"/>
          <c:order val="2"/>
          <c:tx>
            <c:strRef>
              <c:f>'landing position histogram'!$L$7</c:f>
              <c:strCache>
                <c:ptCount val="1"/>
                <c:pt idx="0">
                  <c:v>body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'landing position histogram'!$M$4:$N$4</c:f>
              <c:strCache>
                <c:ptCount val="2"/>
                <c:pt idx="0">
                  <c:v>Skittering</c:v>
                </c:pt>
                <c:pt idx="1">
                  <c:v>terrestrial</c:v>
                </c:pt>
              </c:strCache>
            </c:strRef>
          </c:cat>
          <c:val>
            <c:numRef>
              <c:f>'landing position histogram'!$M$7:$N$7</c:f>
              <c:numCache>
                <c:formatCode>General</c:formatCode>
                <c:ptCount val="2"/>
                <c:pt idx="0">
                  <c:v>0</c:v>
                </c:pt>
                <c:pt idx="1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4E-4769-B7E6-D7DDB2C1494F}"/>
            </c:ext>
          </c:extLst>
        </c:ser>
        <c:ser>
          <c:idx val="3"/>
          <c:order val="3"/>
          <c:tx>
            <c:strRef>
              <c:f>'landing position histogram'!$L$8</c:f>
              <c:strCache>
                <c:ptCount val="1"/>
                <c:pt idx="0">
                  <c:v>arm/head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'landing position histogram'!$M$4:$N$4</c:f>
              <c:strCache>
                <c:ptCount val="2"/>
                <c:pt idx="0">
                  <c:v>Skittering</c:v>
                </c:pt>
                <c:pt idx="1">
                  <c:v>terrestrial</c:v>
                </c:pt>
              </c:strCache>
            </c:strRef>
          </c:cat>
          <c:val>
            <c:numRef>
              <c:f>'landing position histogram'!$M$8:$N$8</c:f>
              <c:numCache>
                <c:formatCode>General</c:formatCode>
                <c:ptCount val="2"/>
                <c:pt idx="0">
                  <c:v>0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4E-4769-B7E6-D7DDB2C1494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15954320"/>
        <c:axId val="161595681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'landing position histogram'!$L$6</c15:sqref>
                        </c15:formulaRef>
                      </c:ext>
                    </c:extLst>
                    <c:strCache>
                      <c:ptCount val="1"/>
                      <c:pt idx="0">
                        <c:v>upper leg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'landing position histogram'!$M$4:$N$4</c15:sqref>
                        </c15:formulaRef>
                      </c:ext>
                    </c:extLst>
                    <c:strCache>
                      <c:ptCount val="2"/>
                      <c:pt idx="0">
                        <c:v>Skittering</c:v>
                      </c:pt>
                      <c:pt idx="1">
                        <c:v>terrestrial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'landing position histogram'!$M$6:$N$6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F663-467A-92F6-F1E1CFB265CD}"/>
                  </c:ext>
                </c:extLst>
              </c15:ser>
            </c15:filteredBarSeries>
          </c:ext>
        </c:extLst>
      </c:barChart>
      <c:catAx>
        <c:axId val="1615954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956816"/>
        <c:crosses val="autoZero"/>
        <c:auto val="1"/>
        <c:lblAlgn val="ctr"/>
        <c:lblOffset val="100"/>
        <c:tickMarkSkip val="4"/>
        <c:noMultiLvlLbl val="0"/>
      </c:catAx>
      <c:valAx>
        <c:axId val="161595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954320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180975</xdr:colOff>
      <xdr:row>51</xdr:row>
      <xdr:rowOff>114300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381000</xdr:colOff>
      <xdr:row>51</xdr:row>
      <xdr:rowOff>133350</xdr:rowOff>
    </xdr:to>
    <xdr:sp macro="" textlink="">
      <xdr:nvSpPr>
        <xdr:cNvPr id="3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381000</xdr:colOff>
      <xdr:row>51</xdr:row>
      <xdr:rowOff>133350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6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6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6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6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5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5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4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2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2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1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1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1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1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1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0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0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0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0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10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619125</xdr:colOff>
      <xdr:row>21</xdr:row>
      <xdr:rowOff>447675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328611</xdr:colOff>
      <xdr:row>11</xdr:row>
      <xdr:rowOff>47624</xdr:rowOff>
    </xdr:from>
    <xdr:to>
      <xdr:col>19</xdr:col>
      <xdr:colOff>523874</xdr:colOff>
      <xdr:row>34</xdr:row>
      <xdr:rowOff>104774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indowProtection="1" zoomScaleNormal="100" workbookViewId="0">
      <selection activeCell="M27" sqref="M27"/>
    </sheetView>
  </sheetViews>
  <sheetFormatPr defaultRowHeight="12.75" x14ac:dyDescent="0.2"/>
  <cols>
    <col min="1" max="1" width="6.7109375"/>
    <col min="2" max="2" width="8.42578125"/>
    <col min="3" max="3" width="9.7109375"/>
    <col min="4" max="4" width="19.5703125"/>
    <col min="5" max="1025" width="8.28515625"/>
  </cols>
  <sheetData>
    <row r="1" spans="1:11" x14ac:dyDescent="0.2">
      <c r="A1" s="14" t="s">
        <v>0</v>
      </c>
      <c r="B1" s="14" t="s">
        <v>162</v>
      </c>
      <c r="C1" s="14" t="s">
        <v>1</v>
      </c>
      <c r="D1" s="14" t="s">
        <v>3</v>
      </c>
      <c r="E1" s="14" t="s">
        <v>4</v>
      </c>
      <c r="F1" s="12" t="s">
        <v>163</v>
      </c>
      <c r="G1" t="s">
        <v>164</v>
      </c>
      <c r="H1" t="s">
        <v>5</v>
      </c>
      <c r="I1" t="s">
        <v>165</v>
      </c>
      <c r="J1" t="s">
        <v>166</v>
      </c>
      <c r="K1" t="s">
        <v>167</v>
      </c>
    </row>
    <row r="2" spans="1:11" x14ac:dyDescent="0.2">
      <c r="A2" s="15" t="s">
        <v>18</v>
      </c>
      <c r="B2" s="15"/>
      <c r="C2" s="15">
        <v>1</v>
      </c>
      <c r="D2" s="15" t="s">
        <v>20</v>
      </c>
      <c r="E2" s="15">
        <v>500</v>
      </c>
      <c r="F2" s="15" t="s">
        <v>168</v>
      </c>
      <c r="G2" s="15">
        <v>2</v>
      </c>
      <c r="H2" s="15">
        <v>2</v>
      </c>
      <c r="I2" s="15">
        <v>1</v>
      </c>
      <c r="J2" s="15" t="s">
        <v>169</v>
      </c>
      <c r="K2" s="15"/>
    </row>
    <row r="3" spans="1:11" x14ac:dyDescent="0.2">
      <c r="C3">
        <v>2</v>
      </c>
      <c r="D3" t="s">
        <v>22</v>
      </c>
      <c r="E3">
        <v>500</v>
      </c>
      <c r="F3" t="s">
        <v>170</v>
      </c>
      <c r="G3">
        <v>2</v>
      </c>
      <c r="H3">
        <v>3</v>
      </c>
      <c r="I3">
        <v>2</v>
      </c>
      <c r="J3" t="s">
        <v>169</v>
      </c>
    </row>
    <row r="4" spans="1:11" x14ac:dyDescent="0.2">
      <c r="C4">
        <v>3</v>
      </c>
      <c r="D4" t="s">
        <v>24</v>
      </c>
      <c r="E4">
        <v>500</v>
      </c>
      <c r="F4" t="s">
        <v>171</v>
      </c>
      <c r="G4">
        <v>1</v>
      </c>
      <c r="H4">
        <v>1</v>
      </c>
      <c r="I4">
        <v>1</v>
      </c>
      <c r="J4" t="s">
        <v>169</v>
      </c>
    </row>
    <row r="5" spans="1:11" x14ac:dyDescent="0.2">
      <c r="A5" s="6"/>
      <c r="B5" s="6"/>
      <c r="C5" s="6">
        <v>4</v>
      </c>
      <c r="D5" s="6" t="s">
        <v>26</v>
      </c>
      <c r="E5" s="6">
        <v>500</v>
      </c>
      <c r="F5" s="6" t="s">
        <v>172</v>
      </c>
      <c r="G5" s="6">
        <v>2</v>
      </c>
      <c r="H5" s="6">
        <v>1</v>
      </c>
      <c r="I5" s="6">
        <v>1</v>
      </c>
      <c r="J5" s="6" t="s">
        <v>173</v>
      </c>
      <c r="K5" s="6" t="s">
        <v>174</v>
      </c>
    </row>
    <row r="6" spans="1:11" x14ac:dyDescent="0.2">
      <c r="A6" s="6"/>
      <c r="B6" s="6"/>
      <c r="C6" s="6">
        <v>5</v>
      </c>
      <c r="D6" s="6" t="s">
        <v>28</v>
      </c>
      <c r="E6" s="6">
        <v>500</v>
      </c>
      <c r="F6" s="6" t="s">
        <v>172</v>
      </c>
      <c r="G6" s="6">
        <v>2</v>
      </c>
      <c r="H6" s="6">
        <v>2</v>
      </c>
      <c r="I6" s="6">
        <v>2</v>
      </c>
      <c r="J6" s="6" t="s">
        <v>173</v>
      </c>
      <c r="K6" s="6"/>
    </row>
    <row r="7" spans="1:11" x14ac:dyDescent="0.2">
      <c r="A7" s="6"/>
      <c r="B7" s="6"/>
      <c r="C7" s="6">
        <v>6</v>
      </c>
      <c r="D7" s="6" t="s">
        <v>30</v>
      </c>
      <c r="E7" s="6">
        <v>500</v>
      </c>
      <c r="F7" s="6" t="s">
        <v>172</v>
      </c>
      <c r="G7" s="6">
        <v>2</v>
      </c>
      <c r="H7" s="6">
        <v>2</v>
      </c>
      <c r="I7" s="6">
        <v>2</v>
      </c>
      <c r="J7" s="6" t="s">
        <v>173</v>
      </c>
      <c r="K7" s="6"/>
    </row>
    <row r="8" spans="1:11" x14ac:dyDescent="0.2">
      <c r="A8" s="15"/>
      <c r="B8" s="15"/>
      <c r="C8" s="15">
        <v>7</v>
      </c>
      <c r="D8" s="15" t="s">
        <v>32</v>
      </c>
      <c r="E8" s="15">
        <v>500</v>
      </c>
      <c r="F8" s="15" t="s">
        <v>175</v>
      </c>
      <c r="G8" s="15">
        <v>1</v>
      </c>
      <c r="H8" s="15">
        <v>1</v>
      </c>
      <c r="I8" s="15">
        <v>0</v>
      </c>
      <c r="J8" s="15" t="s">
        <v>169</v>
      </c>
      <c r="K8" s="15" t="s">
        <v>176</v>
      </c>
    </row>
    <row r="9" spans="1:11" x14ac:dyDescent="0.2">
      <c r="C9">
        <v>8</v>
      </c>
      <c r="D9" t="s">
        <v>34</v>
      </c>
      <c r="E9">
        <v>250</v>
      </c>
      <c r="F9" t="s">
        <v>177</v>
      </c>
      <c r="G9">
        <v>1</v>
      </c>
      <c r="H9">
        <v>1</v>
      </c>
      <c r="I9">
        <v>0</v>
      </c>
      <c r="J9" t="s">
        <v>169</v>
      </c>
      <c r="K9" t="s">
        <v>178</v>
      </c>
    </row>
    <row r="10" spans="1:11" x14ac:dyDescent="0.2">
      <c r="C10">
        <v>9</v>
      </c>
      <c r="D10" t="s">
        <v>36</v>
      </c>
      <c r="E10">
        <v>250</v>
      </c>
      <c r="F10" t="s">
        <v>179</v>
      </c>
      <c r="G10">
        <v>2</v>
      </c>
      <c r="H10">
        <v>2</v>
      </c>
      <c r="I10">
        <v>1</v>
      </c>
      <c r="J10" t="s">
        <v>169</v>
      </c>
      <c r="K10" t="s">
        <v>178</v>
      </c>
    </row>
    <row r="11" spans="1:11" x14ac:dyDescent="0.2">
      <c r="A11" s="6"/>
      <c r="B11" s="6"/>
      <c r="C11" s="6">
        <v>10</v>
      </c>
      <c r="D11" s="6" t="s">
        <v>38</v>
      </c>
      <c r="E11" s="6">
        <v>250</v>
      </c>
      <c r="F11" s="6" t="s">
        <v>172</v>
      </c>
      <c r="G11" s="6">
        <v>1.5</v>
      </c>
      <c r="H11" s="6">
        <v>3</v>
      </c>
      <c r="I11" s="6">
        <v>2</v>
      </c>
      <c r="J11" s="6" t="s">
        <v>173</v>
      </c>
      <c r="K11" s="6"/>
    </row>
    <row r="12" spans="1:11" x14ac:dyDescent="0.2">
      <c r="A12" s="15"/>
      <c r="B12" s="15"/>
      <c r="C12" s="15">
        <v>11</v>
      </c>
      <c r="D12" s="15" t="s">
        <v>40</v>
      </c>
      <c r="E12" s="15">
        <v>250</v>
      </c>
      <c r="F12" s="15" t="s">
        <v>175</v>
      </c>
      <c r="G12" s="15">
        <v>1</v>
      </c>
      <c r="H12" s="15">
        <v>1</v>
      </c>
      <c r="I12" s="15">
        <v>1</v>
      </c>
      <c r="J12" s="15" t="s">
        <v>169</v>
      </c>
      <c r="K12" s="15"/>
    </row>
    <row r="13" spans="1:11" x14ac:dyDescent="0.2">
      <c r="A13" t="s">
        <v>41</v>
      </c>
      <c r="C13">
        <v>1</v>
      </c>
      <c r="D13" t="s">
        <v>43</v>
      </c>
      <c r="E13">
        <v>250</v>
      </c>
      <c r="F13" t="s">
        <v>180</v>
      </c>
      <c r="G13">
        <v>2</v>
      </c>
      <c r="H13">
        <v>1</v>
      </c>
      <c r="I13">
        <v>2</v>
      </c>
      <c r="J13" t="s">
        <v>173</v>
      </c>
    </row>
    <row r="14" spans="1:11" x14ac:dyDescent="0.2">
      <c r="C14">
        <v>2</v>
      </c>
      <c r="D14" t="s">
        <v>45</v>
      </c>
      <c r="E14">
        <v>250</v>
      </c>
      <c r="F14" t="s">
        <v>181</v>
      </c>
      <c r="G14">
        <v>0</v>
      </c>
      <c r="H14">
        <v>0</v>
      </c>
      <c r="I14">
        <v>0</v>
      </c>
      <c r="J14" t="s">
        <v>173</v>
      </c>
    </row>
    <row r="15" spans="1:11" x14ac:dyDescent="0.2">
      <c r="A15" s="16"/>
      <c r="B15" s="16"/>
      <c r="C15" s="16">
        <v>3</v>
      </c>
      <c r="D15" s="16" t="s">
        <v>47</v>
      </c>
      <c r="E15" s="16">
        <v>250</v>
      </c>
      <c r="F15" s="16" t="s">
        <v>182</v>
      </c>
      <c r="G15" s="16">
        <v>3</v>
      </c>
      <c r="H15" s="16">
        <v>3</v>
      </c>
      <c r="I15" s="16">
        <v>2</v>
      </c>
      <c r="J15" s="16" t="s">
        <v>169</v>
      </c>
      <c r="K15" s="16" t="s">
        <v>178</v>
      </c>
    </row>
    <row r="16" spans="1:11" x14ac:dyDescent="0.2">
      <c r="A16" s="16"/>
      <c r="B16" s="16"/>
      <c r="C16" s="16">
        <v>4</v>
      </c>
      <c r="D16" s="16" t="s">
        <v>49</v>
      </c>
      <c r="E16" s="16">
        <v>250</v>
      </c>
      <c r="F16" s="16" t="s">
        <v>182</v>
      </c>
      <c r="G16" s="16">
        <v>3</v>
      </c>
      <c r="H16" s="16">
        <v>3</v>
      </c>
      <c r="I16" s="16">
        <v>3</v>
      </c>
      <c r="J16" s="16" t="s">
        <v>173</v>
      </c>
      <c r="K16" s="16" t="s">
        <v>178</v>
      </c>
    </row>
    <row r="17" spans="1:11" x14ac:dyDescent="0.2">
      <c r="A17" s="16"/>
      <c r="B17" s="16"/>
      <c r="C17" s="16">
        <v>5</v>
      </c>
      <c r="D17" s="16" t="s">
        <v>51</v>
      </c>
      <c r="E17" s="16">
        <v>250</v>
      </c>
      <c r="F17" s="16" t="s">
        <v>183</v>
      </c>
      <c r="G17" s="16">
        <v>3</v>
      </c>
      <c r="H17" s="16">
        <v>3</v>
      </c>
      <c r="I17" s="16">
        <v>2</v>
      </c>
      <c r="J17" s="16" t="s">
        <v>169</v>
      </c>
      <c r="K17" s="16"/>
    </row>
    <row r="18" spans="1:11" x14ac:dyDescent="0.2">
      <c r="A18" s="15" t="s">
        <v>52</v>
      </c>
      <c r="B18" s="15"/>
      <c r="C18" s="15">
        <v>1</v>
      </c>
      <c r="D18" s="15" t="s">
        <v>54</v>
      </c>
      <c r="E18" s="15">
        <v>250</v>
      </c>
      <c r="F18" s="15" t="s">
        <v>172</v>
      </c>
      <c r="G18" s="15">
        <v>1</v>
      </c>
      <c r="H18" s="15">
        <v>1</v>
      </c>
      <c r="I18" s="15">
        <v>1</v>
      </c>
      <c r="J18" s="15" t="s">
        <v>169</v>
      </c>
      <c r="K18" s="15"/>
    </row>
    <row r="19" spans="1:11" x14ac:dyDescent="0.2">
      <c r="C19">
        <v>2</v>
      </c>
      <c r="D19" t="s">
        <v>56</v>
      </c>
      <c r="E19">
        <v>250</v>
      </c>
      <c r="F19" t="s">
        <v>184</v>
      </c>
      <c r="G19">
        <v>0.5</v>
      </c>
      <c r="H19">
        <v>1</v>
      </c>
      <c r="I19">
        <v>0</v>
      </c>
      <c r="J19" t="s">
        <v>169</v>
      </c>
    </row>
    <row r="20" spans="1:11" x14ac:dyDescent="0.2">
      <c r="A20" s="15"/>
      <c r="B20" s="15"/>
      <c r="C20" s="15">
        <v>3</v>
      </c>
      <c r="D20" s="15" t="s">
        <v>58</v>
      </c>
      <c r="E20" s="15">
        <v>250</v>
      </c>
      <c r="F20" s="15" t="s">
        <v>185</v>
      </c>
      <c r="G20" s="15">
        <v>1</v>
      </c>
      <c r="H20" s="15">
        <v>2</v>
      </c>
      <c r="I20" s="15">
        <v>1</v>
      </c>
      <c r="J20" s="15" t="s">
        <v>173</v>
      </c>
      <c r="K20" s="15"/>
    </row>
    <row r="21" spans="1:11" x14ac:dyDescent="0.2">
      <c r="A21" s="6"/>
      <c r="B21" s="6"/>
      <c r="C21" s="6">
        <v>4</v>
      </c>
      <c r="D21" s="6" t="s">
        <v>60</v>
      </c>
      <c r="E21" s="6">
        <v>250</v>
      </c>
      <c r="F21" s="6" t="s">
        <v>186</v>
      </c>
      <c r="G21" s="6">
        <v>3</v>
      </c>
      <c r="H21" s="6">
        <v>3</v>
      </c>
      <c r="I21" s="6">
        <v>2</v>
      </c>
      <c r="J21" s="6" t="s">
        <v>169</v>
      </c>
      <c r="K21" s="6"/>
    </row>
    <row r="22" spans="1:11" x14ac:dyDescent="0.2">
      <c r="C22">
        <v>5</v>
      </c>
      <c r="D22" t="s">
        <v>62</v>
      </c>
      <c r="E22">
        <v>250</v>
      </c>
      <c r="F22" t="s">
        <v>187</v>
      </c>
      <c r="G22">
        <v>2</v>
      </c>
      <c r="H22">
        <v>2</v>
      </c>
      <c r="I22">
        <v>1</v>
      </c>
      <c r="J22" t="s">
        <v>169</v>
      </c>
    </row>
    <row r="23" spans="1:11" x14ac:dyDescent="0.2">
      <c r="A23" s="6"/>
      <c r="B23" s="6"/>
      <c r="C23" s="6">
        <v>6</v>
      </c>
      <c r="D23" s="6" t="s">
        <v>64</v>
      </c>
      <c r="E23" s="6">
        <v>250</v>
      </c>
      <c r="F23" s="6" t="s">
        <v>172</v>
      </c>
      <c r="G23" s="6">
        <v>1</v>
      </c>
      <c r="H23" s="6">
        <v>1</v>
      </c>
      <c r="I23" s="6">
        <v>2</v>
      </c>
      <c r="J23" s="6" t="s">
        <v>173</v>
      </c>
      <c r="K23" s="6"/>
    </row>
    <row r="24" spans="1:11" x14ac:dyDescent="0.2">
      <c r="A24" s="15"/>
      <c r="B24" s="15"/>
      <c r="C24" s="15">
        <v>7</v>
      </c>
      <c r="D24" s="15" t="s">
        <v>66</v>
      </c>
      <c r="E24" s="15">
        <v>250</v>
      </c>
      <c r="F24" s="15" t="s">
        <v>188</v>
      </c>
      <c r="G24" s="15">
        <v>0.5</v>
      </c>
      <c r="H24" s="15">
        <v>1</v>
      </c>
      <c r="I24" s="15">
        <v>1</v>
      </c>
      <c r="J24" s="15" t="s">
        <v>189</v>
      </c>
      <c r="K24" s="15" t="s">
        <v>190</v>
      </c>
    </row>
    <row r="25" spans="1:11" x14ac:dyDescent="0.2">
      <c r="C25">
        <v>8</v>
      </c>
      <c r="D25" t="s">
        <v>68</v>
      </c>
      <c r="E25">
        <v>250</v>
      </c>
      <c r="F25" t="s">
        <v>191</v>
      </c>
      <c r="G25">
        <v>2</v>
      </c>
      <c r="H25">
        <v>2</v>
      </c>
      <c r="I25">
        <v>2</v>
      </c>
      <c r="J25" t="s">
        <v>169</v>
      </c>
    </row>
    <row r="26" spans="1:11" x14ac:dyDescent="0.2">
      <c r="A26" s="6"/>
      <c r="B26" s="6"/>
      <c r="C26" s="6">
        <v>9</v>
      </c>
      <c r="D26" s="6" t="s">
        <v>70</v>
      </c>
      <c r="E26" s="6">
        <v>250</v>
      </c>
      <c r="F26" s="6" t="s">
        <v>172</v>
      </c>
      <c r="G26" s="6">
        <v>1</v>
      </c>
      <c r="H26" s="6">
        <v>1</v>
      </c>
      <c r="I26" s="6">
        <v>1</v>
      </c>
      <c r="J26" s="6" t="s">
        <v>189</v>
      </c>
      <c r="K26" s="6" t="s">
        <v>192</v>
      </c>
    </row>
    <row r="27" spans="1:11" x14ac:dyDescent="0.2">
      <c r="A27" s="15"/>
      <c r="B27" s="15"/>
      <c r="C27" s="15">
        <v>10</v>
      </c>
      <c r="D27" s="15" t="s">
        <v>72</v>
      </c>
      <c r="E27" s="15">
        <v>250</v>
      </c>
      <c r="F27" s="15" t="s">
        <v>175</v>
      </c>
      <c r="G27" s="15">
        <v>2</v>
      </c>
      <c r="H27" s="15">
        <v>2</v>
      </c>
      <c r="I27" s="15">
        <v>1</v>
      </c>
      <c r="J27" s="15" t="s">
        <v>169</v>
      </c>
      <c r="K27" s="15" t="s">
        <v>192</v>
      </c>
    </row>
    <row r="28" spans="1:11" x14ac:dyDescent="0.2">
      <c r="A28" s="15"/>
      <c r="B28" s="15"/>
      <c r="C28" s="15">
        <v>11</v>
      </c>
      <c r="D28" s="15" t="s">
        <v>74</v>
      </c>
      <c r="E28" s="15">
        <v>250</v>
      </c>
      <c r="F28" s="15" t="s">
        <v>193</v>
      </c>
      <c r="G28" s="15">
        <v>1.5</v>
      </c>
      <c r="H28" s="15">
        <v>2</v>
      </c>
      <c r="I28" s="15">
        <v>1</v>
      </c>
      <c r="J28" s="15" t="s">
        <v>169</v>
      </c>
      <c r="K28" s="15"/>
    </row>
    <row r="29" spans="1:11" x14ac:dyDescent="0.2">
      <c r="A29" s="15"/>
      <c r="B29" s="15"/>
      <c r="C29" s="15">
        <v>12</v>
      </c>
      <c r="D29" s="15" t="s">
        <v>76</v>
      </c>
      <c r="E29" s="15">
        <v>250</v>
      </c>
      <c r="F29" s="15" t="s">
        <v>194</v>
      </c>
      <c r="G29" s="15">
        <v>2.5</v>
      </c>
      <c r="H29" s="15">
        <v>2</v>
      </c>
      <c r="I29" s="15">
        <v>2</v>
      </c>
      <c r="J29" s="15" t="s">
        <v>173</v>
      </c>
      <c r="K29" s="15"/>
    </row>
    <row r="30" spans="1:11" x14ac:dyDescent="0.2">
      <c r="A30" s="16"/>
      <c r="B30" s="16"/>
      <c r="C30" s="16">
        <v>13</v>
      </c>
      <c r="D30" s="16" t="s">
        <v>78</v>
      </c>
      <c r="E30" s="16">
        <v>500</v>
      </c>
      <c r="F30" s="16" t="s">
        <v>195</v>
      </c>
      <c r="G30" s="16">
        <v>2</v>
      </c>
      <c r="H30" s="16">
        <v>2</v>
      </c>
      <c r="I30" s="16">
        <v>1</v>
      </c>
      <c r="J30" s="16" t="s">
        <v>173</v>
      </c>
      <c r="K30" s="16" t="s">
        <v>178</v>
      </c>
    </row>
    <row r="31" spans="1:11" x14ac:dyDescent="0.2">
      <c r="A31" s="6"/>
      <c r="B31" s="6"/>
      <c r="C31" s="6">
        <v>14</v>
      </c>
      <c r="D31" s="6" t="s">
        <v>80</v>
      </c>
      <c r="E31" s="6">
        <v>500</v>
      </c>
      <c r="F31" s="6" t="s">
        <v>172</v>
      </c>
      <c r="G31" s="6">
        <v>2</v>
      </c>
      <c r="H31" s="6">
        <v>1</v>
      </c>
      <c r="I31" s="6">
        <v>2</v>
      </c>
      <c r="J31" s="6" t="s">
        <v>173</v>
      </c>
      <c r="K31" s="6"/>
    </row>
    <row r="32" spans="1:11" x14ac:dyDescent="0.2">
      <c r="A32" s="6"/>
      <c r="B32" s="6"/>
      <c r="C32" s="6">
        <v>15</v>
      </c>
      <c r="D32" s="6" t="s">
        <v>82</v>
      </c>
      <c r="E32" s="6">
        <v>500</v>
      </c>
      <c r="F32" s="6" t="s">
        <v>172</v>
      </c>
      <c r="G32" s="6">
        <v>2</v>
      </c>
      <c r="H32" s="6">
        <v>2</v>
      </c>
      <c r="I32" s="6">
        <v>1</v>
      </c>
      <c r="J32" s="6" t="s">
        <v>173</v>
      </c>
      <c r="K32" s="6"/>
    </row>
    <row r="33" spans="1:11" x14ac:dyDescent="0.2">
      <c r="A33" s="15"/>
      <c r="B33" s="15"/>
      <c r="C33" s="15">
        <v>16</v>
      </c>
      <c r="D33" s="15" t="s">
        <v>84</v>
      </c>
      <c r="E33" s="15">
        <v>500</v>
      </c>
      <c r="F33" s="15" t="s">
        <v>175</v>
      </c>
      <c r="G33" s="15">
        <v>1</v>
      </c>
      <c r="H33" s="15">
        <v>1</v>
      </c>
      <c r="I33" s="15">
        <v>0</v>
      </c>
      <c r="J33" s="15" t="s">
        <v>169</v>
      </c>
      <c r="K33" s="15" t="s">
        <v>192</v>
      </c>
    </row>
    <row r="34" spans="1:11" x14ac:dyDescent="0.2">
      <c r="C34">
        <v>17</v>
      </c>
      <c r="D34" t="s">
        <v>86</v>
      </c>
      <c r="E34">
        <v>500</v>
      </c>
      <c r="F34" t="s">
        <v>196</v>
      </c>
      <c r="G34">
        <v>2</v>
      </c>
      <c r="H34">
        <v>2</v>
      </c>
      <c r="I34">
        <v>1</v>
      </c>
      <c r="J34" t="s">
        <v>169</v>
      </c>
      <c r="K34" t="s">
        <v>178</v>
      </c>
    </row>
    <row r="35" spans="1:11" x14ac:dyDescent="0.2">
      <c r="A35" s="6"/>
      <c r="B35" s="6"/>
      <c r="C35" s="6">
        <v>18</v>
      </c>
      <c r="D35" s="6" t="s">
        <v>88</v>
      </c>
      <c r="E35" s="6">
        <v>500</v>
      </c>
      <c r="F35" s="6" t="s">
        <v>172</v>
      </c>
      <c r="G35" s="6">
        <v>2</v>
      </c>
      <c r="H35" s="6">
        <v>2</v>
      </c>
      <c r="I35" s="6">
        <v>1</v>
      </c>
      <c r="J35" s="6" t="s">
        <v>173</v>
      </c>
      <c r="K35" s="6" t="s">
        <v>192</v>
      </c>
    </row>
    <row r="36" spans="1:11" x14ac:dyDescent="0.2">
      <c r="A36" s="15"/>
      <c r="B36" s="15"/>
      <c r="C36" s="15">
        <v>19</v>
      </c>
      <c r="D36" s="15" t="s">
        <v>90</v>
      </c>
      <c r="E36" s="15">
        <v>500</v>
      </c>
      <c r="F36" s="15" t="s">
        <v>175</v>
      </c>
      <c r="G36" s="15">
        <v>2</v>
      </c>
      <c r="H36" s="15">
        <v>2</v>
      </c>
      <c r="I36" s="15">
        <v>1</v>
      </c>
      <c r="J36" s="15" t="s">
        <v>169</v>
      </c>
      <c r="K36" s="15"/>
    </row>
    <row r="37" spans="1:11" x14ac:dyDescent="0.2">
      <c r="A37" s="6"/>
      <c r="B37" s="6"/>
      <c r="C37" s="6">
        <v>20</v>
      </c>
      <c r="D37" s="6" t="s">
        <v>92</v>
      </c>
      <c r="E37" s="6">
        <v>500</v>
      </c>
      <c r="F37" s="6" t="s">
        <v>172</v>
      </c>
      <c r="G37" s="6">
        <v>2</v>
      </c>
      <c r="H37" s="6">
        <v>2</v>
      </c>
      <c r="I37" s="6">
        <v>1</v>
      </c>
      <c r="J37" s="6" t="s">
        <v>169</v>
      </c>
      <c r="K37" s="6"/>
    </row>
    <row r="38" spans="1:11" x14ac:dyDescent="0.2">
      <c r="A38" s="6"/>
      <c r="B38" s="6"/>
      <c r="C38" s="6">
        <v>21</v>
      </c>
      <c r="D38" s="6" t="s">
        <v>94</v>
      </c>
      <c r="E38" s="6">
        <v>500</v>
      </c>
      <c r="F38" s="6" t="s">
        <v>172</v>
      </c>
      <c r="G38" s="6">
        <v>2</v>
      </c>
      <c r="H38" s="6">
        <v>2</v>
      </c>
      <c r="I38" s="6">
        <v>2</v>
      </c>
      <c r="J38" s="6" t="s">
        <v>173</v>
      </c>
      <c r="K38" s="6"/>
    </row>
    <row r="39" spans="1:11" x14ac:dyDescent="0.2">
      <c r="A39" s="6"/>
      <c r="B39" s="6"/>
      <c r="C39" s="6">
        <v>22</v>
      </c>
      <c r="D39" s="6" t="s">
        <v>96</v>
      </c>
      <c r="E39" s="6">
        <v>500</v>
      </c>
      <c r="F39" s="6" t="s">
        <v>172</v>
      </c>
      <c r="G39" s="6">
        <v>2</v>
      </c>
      <c r="H39" s="6">
        <v>2</v>
      </c>
      <c r="I39" s="6">
        <v>1</v>
      </c>
      <c r="J39" s="6" t="s">
        <v>173</v>
      </c>
      <c r="K39" s="6" t="s">
        <v>192</v>
      </c>
    </row>
    <row r="40" spans="1:11" x14ac:dyDescent="0.2">
      <c r="A40" s="6"/>
      <c r="B40" s="6"/>
      <c r="C40" s="6">
        <v>23</v>
      </c>
      <c r="D40" s="6" t="s">
        <v>98</v>
      </c>
      <c r="E40" s="6">
        <v>500</v>
      </c>
      <c r="F40" s="6" t="s">
        <v>172</v>
      </c>
      <c r="G40" s="6">
        <v>1.5</v>
      </c>
      <c r="H40" s="6">
        <v>2</v>
      </c>
      <c r="I40" s="6">
        <v>1</v>
      </c>
      <c r="J40" s="6" t="s">
        <v>189</v>
      </c>
      <c r="K40" s="6"/>
    </row>
    <row r="41" spans="1:11" x14ac:dyDescent="0.2">
      <c r="A41" s="15"/>
      <c r="B41" s="15"/>
      <c r="C41" s="15">
        <v>24</v>
      </c>
      <c r="D41" s="15" t="s">
        <v>100</v>
      </c>
      <c r="E41" s="15">
        <v>500</v>
      </c>
      <c r="F41" s="15" t="s">
        <v>175</v>
      </c>
      <c r="G41" s="15">
        <v>1</v>
      </c>
      <c r="H41" s="15">
        <v>1</v>
      </c>
      <c r="I41" s="15">
        <v>1</v>
      </c>
      <c r="J41" s="15" t="s">
        <v>169</v>
      </c>
      <c r="K41" s="15"/>
    </row>
    <row r="42" spans="1:11" x14ac:dyDescent="0.2">
      <c r="A42" t="s">
        <v>101</v>
      </c>
      <c r="C42">
        <v>1</v>
      </c>
      <c r="D42" t="s">
        <v>103</v>
      </c>
      <c r="E42">
        <v>250</v>
      </c>
      <c r="F42" t="s">
        <v>197</v>
      </c>
      <c r="G42">
        <v>2</v>
      </c>
      <c r="H42">
        <v>2</v>
      </c>
      <c r="I42">
        <v>1</v>
      </c>
      <c r="J42" t="s">
        <v>169</v>
      </c>
    </row>
    <row r="43" spans="1:11" x14ac:dyDescent="0.2">
      <c r="A43" s="16"/>
      <c r="B43" s="16"/>
      <c r="C43" s="16">
        <v>2</v>
      </c>
      <c r="D43" s="16" t="s">
        <v>105</v>
      </c>
      <c r="E43" s="16">
        <v>250</v>
      </c>
      <c r="F43" s="16" t="s">
        <v>198</v>
      </c>
      <c r="G43" s="16">
        <v>2</v>
      </c>
      <c r="H43" s="16">
        <v>2</v>
      </c>
      <c r="I43" s="16">
        <v>1</v>
      </c>
      <c r="J43" s="16" t="s">
        <v>173</v>
      </c>
      <c r="K43" s="16" t="s">
        <v>178</v>
      </c>
    </row>
    <row r="44" spans="1:11" x14ac:dyDescent="0.2">
      <c r="A44" s="6"/>
      <c r="B44" s="6"/>
      <c r="C44" s="6">
        <v>3</v>
      </c>
      <c r="D44" s="6" t="s">
        <v>107</v>
      </c>
      <c r="E44" s="6">
        <v>250</v>
      </c>
      <c r="F44" s="6" t="s">
        <v>172</v>
      </c>
      <c r="G44" s="6">
        <v>2</v>
      </c>
      <c r="H44" s="6">
        <v>2</v>
      </c>
      <c r="I44" s="6">
        <v>1</v>
      </c>
      <c r="J44" s="6" t="s">
        <v>173</v>
      </c>
      <c r="K44" s="6"/>
    </row>
    <row r="45" spans="1:11" x14ac:dyDescent="0.2">
      <c r="A45" s="15" t="s">
        <v>108</v>
      </c>
      <c r="B45" s="15"/>
      <c r="C45" s="15">
        <v>1</v>
      </c>
      <c r="D45" s="15" t="s">
        <v>110</v>
      </c>
      <c r="E45" s="15">
        <v>250</v>
      </c>
      <c r="F45" s="15" t="s">
        <v>199</v>
      </c>
      <c r="G45" s="15">
        <v>2</v>
      </c>
      <c r="H45" s="15">
        <v>2</v>
      </c>
      <c r="I45" s="15">
        <v>2</v>
      </c>
      <c r="J45" s="15" t="s">
        <v>169</v>
      </c>
      <c r="K45" s="15"/>
    </row>
    <row r="46" spans="1:11" x14ac:dyDescent="0.2">
      <c r="A46" s="15"/>
      <c r="B46" s="15"/>
      <c r="C46" s="15">
        <v>2</v>
      </c>
      <c r="D46" s="15" t="s">
        <v>112</v>
      </c>
      <c r="E46" s="15">
        <v>250</v>
      </c>
      <c r="F46" s="15" t="s">
        <v>200</v>
      </c>
      <c r="G46" s="15">
        <v>4</v>
      </c>
      <c r="H46" s="15">
        <v>4</v>
      </c>
      <c r="I46" s="15">
        <v>4</v>
      </c>
      <c r="J46" s="15" t="s">
        <v>173</v>
      </c>
      <c r="K46" s="15"/>
    </row>
    <row r="47" spans="1:11" x14ac:dyDescent="0.2">
      <c r="A47" t="s">
        <v>201</v>
      </c>
      <c r="C47">
        <v>1</v>
      </c>
      <c r="D47" t="s">
        <v>202</v>
      </c>
      <c r="E47">
        <v>250</v>
      </c>
      <c r="F47" t="s">
        <v>203</v>
      </c>
      <c r="G47">
        <v>0</v>
      </c>
      <c r="H47">
        <v>0</v>
      </c>
      <c r="I47">
        <v>0</v>
      </c>
      <c r="J47">
        <v>0</v>
      </c>
    </row>
    <row r="50" spans="8:8" x14ac:dyDescent="0.2">
      <c r="H50">
        <f>AVERAGE(H2:H47)</f>
        <v>1.7826086956521738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windowProtection="1" zoomScaleNormal="100" workbookViewId="0">
      <pane xSplit="3" ySplit="1" topLeftCell="G2" activePane="bottomRight" state="frozen"/>
      <selection pane="topRight" activeCell="D1" sqref="D1"/>
      <selection pane="bottomLeft" activeCell="A17" sqref="A17"/>
      <selection pane="bottomRight" activeCell="P42" sqref="P42"/>
    </sheetView>
  </sheetViews>
  <sheetFormatPr defaultRowHeight="12.75" x14ac:dyDescent="0.2"/>
  <cols>
    <col min="1" max="1" width="9.7109375" style="1"/>
    <col min="2" max="1025" width="8.5703125"/>
  </cols>
  <sheetData>
    <row r="1" spans="1:23" s="3" customFormat="1" ht="76.5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1" t="s">
        <v>5</v>
      </c>
      <c r="H1" s="1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4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W1" s="3" t="s">
        <v>319</v>
      </c>
    </row>
    <row r="2" spans="1:23" s="47" customFormat="1" x14ac:dyDescent="0.2">
      <c r="A2" s="46" t="s">
        <v>18</v>
      </c>
      <c r="B2" s="47">
        <v>1</v>
      </c>
      <c r="C2" s="47" t="s">
        <v>19</v>
      </c>
      <c r="D2" s="47" t="s">
        <v>20</v>
      </c>
      <c r="F2" s="47">
        <v>500</v>
      </c>
      <c r="G2" s="47">
        <v>2</v>
      </c>
      <c r="H2" s="47">
        <v>1</v>
      </c>
      <c r="J2" s="47">
        <v>15</v>
      </c>
      <c r="K2" s="47">
        <v>56</v>
      </c>
      <c r="L2" s="47">
        <v>13</v>
      </c>
      <c r="M2" s="47">
        <v>60</v>
      </c>
      <c r="N2" s="47">
        <f>K2/F2*1000</f>
        <v>112</v>
      </c>
      <c r="O2" s="47">
        <f>M2/F2*1000</f>
        <v>120</v>
      </c>
      <c r="P2" s="47">
        <f>O2+N2</f>
        <v>232</v>
      </c>
      <c r="Q2" s="47">
        <f>N2/(N2+O2)</f>
        <v>0.48275862068965519</v>
      </c>
      <c r="R2" s="47">
        <f>O2/(N2+O2)</f>
        <v>0.51724137931034486</v>
      </c>
    </row>
    <row r="3" spans="1:23" x14ac:dyDescent="0.2">
      <c r="A3"/>
      <c r="B3">
        <v>2</v>
      </c>
      <c r="C3" t="s">
        <v>21</v>
      </c>
      <c r="D3" t="s">
        <v>22</v>
      </c>
      <c r="F3">
        <v>500</v>
      </c>
      <c r="G3">
        <v>3</v>
      </c>
      <c r="H3">
        <v>2</v>
      </c>
      <c r="J3">
        <v>13</v>
      </c>
      <c r="K3">
        <v>77</v>
      </c>
      <c r="L3">
        <v>12</v>
      </c>
      <c r="M3">
        <v>45</v>
      </c>
      <c r="N3">
        <f>K3/F3*1000</f>
        <v>154</v>
      </c>
      <c r="O3">
        <f>M3/F3*1000</f>
        <v>90</v>
      </c>
      <c r="P3">
        <f>O3+N3</f>
        <v>244</v>
      </c>
      <c r="Q3">
        <f>N3/(N3+O3)</f>
        <v>0.63114754098360659</v>
      </c>
      <c r="R3">
        <f>O3/(N3+O3)</f>
        <v>0.36885245901639346</v>
      </c>
    </row>
    <row r="4" spans="1:23" x14ac:dyDescent="0.2">
      <c r="A4"/>
      <c r="B4">
        <v>3</v>
      </c>
      <c r="C4" t="s">
        <v>23</v>
      </c>
      <c r="D4" t="s">
        <v>24</v>
      </c>
      <c r="F4">
        <v>500</v>
      </c>
      <c r="G4">
        <v>1</v>
      </c>
      <c r="H4">
        <v>1</v>
      </c>
    </row>
    <row r="5" spans="1:23" x14ac:dyDescent="0.2">
      <c r="A5" s="5"/>
      <c r="B5" s="6">
        <v>4</v>
      </c>
      <c r="C5" s="6" t="s">
        <v>25</v>
      </c>
      <c r="D5" s="6" t="s">
        <v>26</v>
      </c>
      <c r="E5" s="6"/>
      <c r="F5" s="6">
        <v>500</v>
      </c>
      <c r="G5" s="6">
        <v>1</v>
      </c>
      <c r="H5" s="6">
        <v>1</v>
      </c>
    </row>
    <row r="6" spans="1:23" x14ac:dyDescent="0.2">
      <c r="A6" s="5"/>
      <c r="B6" s="6">
        <v>5</v>
      </c>
      <c r="C6" s="6" t="s">
        <v>27</v>
      </c>
      <c r="D6" s="6" t="s">
        <v>28</v>
      </c>
      <c r="E6" s="6"/>
      <c r="F6" s="6">
        <v>500</v>
      </c>
      <c r="G6" s="6">
        <v>2</v>
      </c>
      <c r="H6" s="6">
        <v>2</v>
      </c>
      <c r="J6">
        <v>11</v>
      </c>
      <c r="K6">
        <v>89</v>
      </c>
      <c r="L6">
        <v>14</v>
      </c>
      <c r="M6">
        <v>46</v>
      </c>
      <c r="N6">
        <f>K6/F6*1000</f>
        <v>178</v>
      </c>
      <c r="O6">
        <f>M6/F6*1000</f>
        <v>92</v>
      </c>
      <c r="P6">
        <f>O6+N6</f>
        <v>270</v>
      </c>
      <c r="Q6">
        <f>N6/(N6+O6)</f>
        <v>0.65925925925925921</v>
      </c>
      <c r="R6">
        <f>O6/(N6+O6)</f>
        <v>0.34074074074074073</v>
      </c>
    </row>
    <row r="7" spans="1:23" x14ac:dyDescent="0.2">
      <c r="A7" s="5"/>
      <c r="B7" s="6">
        <v>6</v>
      </c>
      <c r="C7" s="6" t="s">
        <v>29</v>
      </c>
      <c r="D7" s="6" t="s">
        <v>30</v>
      </c>
      <c r="E7" s="6"/>
      <c r="F7" s="6">
        <v>500</v>
      </c>
      <c r="G7" s="6">
        <v>2</v>
      </c>
      <c r="H7" s="6">
        <v>2</v>
      </c>
    </row>
    <row r="8" spans="1:23" x14ac:dyDescent="0.2">
      <c r="A8"/>
      <c r="B8">
        <v>7</v>
      </c>
      <c r="C8" t="s">
        <v>31</v>
      </c>
      <c r="D8" t="s">
        <v>32</v>
      </c>
      <c r="F8">
        <v>500</v>
      </c>
      <c r="G8">
        <v>1</v>
      </c>
      <c r="H8">
        <v>0</v>
      </c>
    </row>
    <row r="9" spans="1:23" x14ac:dyDescent="0.2">
      <c r="A9"/>
      <c r="B9">
        <v>8</v>
      </c>
      <c r="C9" t="s">
        <v>33</v>
      </c>
      <c r="D9" t="s">
        <v>34</v>
      </c>
      <c r="F9">
        <v>250</v>
      </c>
      <c r="G9">
        <v>1</v>
      </c>
      <c r="H9">
        <v>0</v>
      </c>
    </row>
    <row r="10" spans="1:23" x14ac:dyDescent="0.2">
      <c r="A10"/>
      <c r="B10">
        <v>9</v>
      </c>
      <c r="C10" t="s">
        <v>35</v>
      </c>
      <c r="D10" t="s">
        <v>36</v>
      </c>
      <c r="F10">
        <v>250</v>
      </c>
      <c r="G10">
        <v>2</v>
      </c>
      <c r="H10">
        <v>1</v>
      </c>
      <c r="J10">
        <v>6</v>
      </c>
      <c r="K10">
        <v>52</v>
      </c>
      <c r="L10">
        <v>8</v>
      </c>
      <c r="M10">
        <v>28</v>
      </c>
      <c r="N10">
        <f>K10/F10*1000</f>
        <v>208</v>
      </c>
      <c r="O10">
        <f>M10/F10*1000</f>
        <v>112</v>
      </c>
      <c r="P10">
        <f>O10+N10</f>
        <v>320</v>
      </c>
      <c r="Q10">
        <f>N10/(N10+O10)</f>
        <v>0.65</v>
      </c>
      <c r="R10">
        <f>O10/(N10+O10)</f>
        <v>0.35</v>
      </c>
    </row>
    <row r="11" spans="1:23" x14ac:dyDescent="0.2">
      <c r="A11" s="5"/>
      <c r="B11" s="6">
        <v>10</v>
      </c>
      <c r="C11" s="6" t="s">
        <v>37</v>
      </c>
      <c r="D11" s="6" t="s">
        <v>38</v>
      </c>
      <c r="E11" s="6"/>
      <c r="F11" s="6">
        <v>250</v>
      </c>
      <c r="G11" s="6">
        <v>3</v>
      </c>
      <c r="H11" s="6">
        <v>2</v>
      </c>
      <c r="J11">
        <v>9</v>
      </c>
      <c r="K11">
        <v>42</v>
      </c>
      <c r="L11">
        <v>8</v>
      </c>
      <c r="M11">
        <v>39</v>
      </c>
      <c r="N11">
        <f>K11/F11*1000</f>
        <v>168</v>
      </c>
      <c r="O11">
        <f>M11/F11*1000</f>
        <v>156</v>
      </c>
      <c r="P11">
        <f>O11+N11</f>
        <v>324</v>
      </c>
      <c r="Q11">
        <f>N11/(N11+O11)</f>
        <v>0.51851851851851849</v>
      </c>
      <c r="R11">
        <f>O11/(N11+O11)</f>
        <v>0.48148148148148145</v>
      </c>
    </row>
    <row r="12" spans="1:23" x14ac:dyDescent="0.2">
      <c r="A12"/>
      <c r="B12">
        <v>11</v>
      </c>
      <c r="C12" t="s">
        <v>39</v>
      </c>
      <c r="D12" t="s">
        <v>40</v>
      </c>
      <c r="F12">
        <v>250</v>
      </c>
      <c r="G12">
        <v>1</v>
      </c>
      <c r="H12">
        <v>1</v>
      </c>
      <c r="S12">
        <f>AVERAGE(N2:N12)</f>
        <v>164</v>
      </c>
      <c r="T12">
        <f>AVERAGE(O2:O11)</f>
        <v>114</v>
      </c>
      <c r="U12">
        <f>T12+S12</f>
        <v>278</v>
      </c>
      <c r="W12">
        <f>COUNT(R2:R12)</f>
        <v>5</v>
      </c>
    </row>
    <row r="13" spans="1:23" s="47" customFormat="1" x14ac:dyDescent="0.2">
      <c r="A13" s="46" t="s">
        <v>41</v>
      </c>
      <c r="B13" s="47">
        <v>1</v>
      </c>
      <c r="C13" s="47" t="s">
        <v>42</v>
      </c>
      <c r="D13" s="47" t="s">
        <v>43</v>
      </c>
      <c r="F13" s="47">
        <v>250</v>
      </c>
      <c r="G13" s="47">
        <v>1</v>
      </c>
      <c r="H13" s="47">
        <v>2</v>
      </c>
    </row>
    <row r="14" spans="1:23" x14ac:dyDescent="0.2">
      <c r="A14"/>
      <c r="B14">
        <v>2</v>
      </c>
      <c r="C14" t="s">
        <v>44</v>
      </c>
      <c r="D14" t="s">
        <v>45</v>
      </c>
      <c r="F14">
        <v>250</v>
      </c>
      <c r="G14">
        <v>0</v>
      </c>
      <c r="H14">
        <v>0</v>
      </c>
    </row>
    <row r="15" spans="1:23" x14ac:dyDescent="0.2">
      <c r="A15"/>
      <c r="B15">
        <v>3</v>
      </c>
      <c r="C15" t="s">
        <v>46</v>
      </c>
      <c r="D15" t="s">
        <v>47</v>
      </c>
      <c r="F15">
        <v>250</v>
      </c>
      <c r="G15">
        <v>3</v>
      </c>
      <c r="H15">
        <v>2</v>
      </c>
      <c r="J15">
        <v>6</v>
      </c>
      <c r="K15">
        <v>36</v>
      </c>
      <c r="L15">
        <v>9</v>
      </c>
      <c r="M15">
        <v>29</v>
      </c>
      <c r="N15">
        <f>K15/F15*1000</f>
        <v>144</v>
      </c>
      <c r="O15">
        <f>M15/F15*1000</f>
        <v>116</v>
      </c>
      <c r="P15">
        <f>O15+N15</f>
        <v>260</v>
      </c>
      <c r="Q15">
        <f>N15/(N15+O15)</f>
        <v>0.55384615384615388</v>
      </c>
      <c r="R15">
        <f>O15/(N15+O15)</f>
        <v>0.44615384615384618</v>
      </c>
    </row>
    <row r="16" spans="1:23" x14ac:dyDescent="0.2">
      <c r="A16"/>
      <c r="B16">
        <v>4</v>
      </c>
      <c r="C16" t="s">
        <v>48</v>
      </c>
      <c r="D16" t="s">
        <v>49</v>
      </c>
      <c r="F16">
        <v>250</v>
      </c>
      <c r="G16">
        <v>3</v>
      </c>
      <c r="H16">
        <v>3</v>
      </c>
      <c r="J16">
        <v>10</v>
      </c>
      <c r="K16">
        <v>48</v>
      </c>
      <c r="L16">
        <v>8</v>
      </c>
      <c r="M16">
        <v>30</v>
      </c>
      <c r="N16">
        <f>K16/F16*1000</f>
        <v>192</v>
      </c>
      <c r="O16">
        <f>M16/F16*1000</f>
        <v>120</v>
      </c>
      <c r="P16">
        <f>O16+N16</f>
        <v>312</v>
      </c>
      <c r="Q16">
        <f>N16/(N16+O16)</f>
        <v>0.61538461538461542</v>
      </c>
      <c r="R16">
        <f>O16/(N16+O16)</f>
        <v>0.38461538461538464</v>
      </c>
    </row>
    <row r="17" spans="1:23" x14ac:dyDescent="0.2">
      <c r="A17"/>
      <c r="B17">
        <v>5</v>
      </c>
      <c r="C17" t="s">
        <v>50</v>
      </c>
      <c r="D17" t="s">
        <v>51</v>
      </c>
      <c r="F17">
        <v>250</v>
      </c>
      <c r="G17">
        <v>3</v>
      </c>
      <c r="H17">
        <v>2</v>
      </c>
      <c r="J17">
        <v>13</v>
      </c>
      <c r="K17">
        <v>6</v>
      </c>
      <c r="L17">
        <v>13</v>
      </c>
      <c r="M17">
        <v>39</v>
      </c>
      <c r="N17">
        <f>K17/F17*1000</f>
        <v>24</v>
      </c>
      <c r="O17">
        <f>M17/F17*1000</f>
        <v>156</v>
      </c>
      <c r="P17">
        <f>O17+N17</f>
        <v>180</v>
      </c>
      <c r="Q17">
        <f>N17/(N17+O17)</f>
        <v>0.13333333333333333</v>
      </c>
      <c r="R17">
        <f>O17/(N17+O17)</f>
        <v>0.8666666666666667</v>
      </c>
      <c r="S17">
        <f>AVERAGE(N13:N17)</f>
        <v>120</v>
      </c>
      <c r="T17">
        <f>AVERAGE(O14:O18)</f>
        <v>130.66666666666666</v>
      </c>
      <c r="U17">
        <f>T17+S17</f>
        <v>250.66666666666666</v>
      </c>
      <c r="W17">
        <f>COUNT(R13:R17)</f>
        <v>3</v>
      </c>
    </row>
    <row r="18" spans="1:23" s="47" customFormat="1" x14ac:dyDescent="0.2">
      <c r="A18" s="46" t="s">
        <v>52</v>
      </c>
      <c r="B18" s="47">
        <v>1</v>
      </c>
      <c r="C18" s="47" t="s">
        <v>53</v>
      </c>
      <c r="D18" s="47" t="s">
        <v>54</v>
      </c>
      <c r="F18" s="47">
        <v>250</v>
      </c>
      <c r="G18" s="47">
        <v>1</v>
      </c>
      <c r="H18" s="47">
        <v>1</v>
      </c>
    </row>
    <row r="19" spans="1:23" x14ac:dyDescent="0.2">
      <c r="A19"/>
      <c r="B19">
        <v>2</v>
      </c>
      <c r="C19" t="s">
        <v>55</v>
      </c>
      <c r="D19" t="s">
        <v>56</v>
      </c>
      <c r="F19">
        <v>250</v>
      </c>
      <c r="G19">
        <v>1</v>
      </c>
      <c r="H19">
        <v>0</v>
      </c>
    </row>
    <row r="20" spans="1:23" x14ac:dyDescent="0.2">
      <c r="A20"/>
      <c r="B20">
        <v>3</v>
      </c>
      <c r="C20" t="s">
        <v>57</v>
      </c>
      <c r="D20" t="s">
        <v>58</v>
      </c>
      <c r="F20">
        <v>250</v>
      </c>
      <c r="G20">
        <v>2</v>
      </c>
      <c r="H20">
        <v>1</v>
      </c>
      <c r="J20">
        <v>7</v>
      </c>
      <c r="K20">
        <v>64</v>
      </c>
      <c r="L20">
        <v>6</v>
      </c>
      <c r="M20">
        <v>31</v>
      </c>
      <c r="N20">
        <f>K20/F20*1000</f>
        <v>256</v>
      </c>
      <c r="O20">
        <f>M20/F20*1000</f>
        <v>124</v>
      </c>
      <c r="P20">
        <f>O20+N20</f>
        <v>380</v>
      </c>
      <c r="Q20">
        <f>N20/(N20+O20)</f>
        <v>0.67368421052631577</v>
      </c>
      <c r="R20">
        <f>O20/(N20+O20)</f>
        <v>0.32631578947368423</v>
      </c>
    </row>
    <row r="21" spans="1:23" x14ac:dyDescent="0.2">
      <c r="A21" s="5"/>
      <c r="B21" s="6">
        <v>4</v>
      </c>
      <c r="C21" s="6" t="s">
        <v>59</v>
      </c>
      <c r="D21" s="6" t="s">
        <v>60</v>
      </c>
      <c r="E21" s="6"/>
      <c r="F21" s="6">
        <v>250</v>
      </c>
      <c r="G21" s="6">
        <v>3</v>
      </c>
      <c r="H21" s="6">
        <v>2</v>
      </c>
      <c r="J21">
        <v>6</v>
      </c>
      <c r="K21">
        <v>43</v>
      </c>
      <c r="L21">
        <v>8</v>
      </c>
      <c r="M21">
        <v>30</v>
      </c>
      <c r="N21">
        <f>K21/F21*1000</f>
        <v>172</v>
      </c>
      <c r="O21">
        <f>M21/F21*1000</f>
        <v>120</v>
      </c>
      <c r="P21">
        <f>O21+N21</f>
        <v>292</v>
      </c>
      <c r="Q21">
        <f>N21/(N21+O21)</f>
        <v>0.58904109589041098</v>
      </c>
      <c r="R21">
        <f>O21/(N21+O21)</f>
        <v>0.41095890410958902</v>
      </c>
    </row>
    <row r="22" spans="1:23" x14ac:dyDescent="0.2">
      <c r="A22"/>
      <c r="B22">
        <v>5</v>
      </c>
      <c r="C22" t="s">
        <v>61</v>
      </c>
      <c r="D22" t="s">
        <v>62</v>
      </c>
      <c r="F22">
        <v>250</v>
      </c>
      <c r="G22">
        <v>2</v>
      </c>
      <c r="H22">
        <v>1</v>
      </c>
      <c r="J22">
        <v>7</v>
      </c>
      <c r="K22">
        <v>34</v>
      </c>
      <c r="L22">
        <v>7</v>
      </c>
      <c r="M22">
        <v>28</v>
      </c>
      <c r="N22">
        <f>K22/F22*1000</f>
        <v>136</v>
      </c>
      <c r="O22">
        <f>M22/F22*1000</f>
        <v>112</v>
      </c>
      <c r="P22">
        <f>O22+N22</f>
        <v>248</v>
      </c>
      <c r="Q22">
        <f>N22/(N22+O22)</f>
        <v>0.54838709677419351</v>
      </c>
      <c r="R22">
        <f>O22/(N22+O22)</f>
        <v>0.45161290322580644</v>
      </c>
    </row>
    <row r="23" spans="1:23" x14ac:dyDescent="0.2">
      <c r="A23" s="5"/>
      <c r="B23" s="6">
        <v>6</v>
      </c>
      <c r="C23" s="6" t="s">
        <v>63</v>
      </c>
      <c r="D23" s="6" t="s">
        <v>64</v>
      </c>
      <c r="E23" s="6"/>
      <c r="F23" s="6">
        <v>250</v>
      </c>
      <c r="G23" s="6">
        <v>1</v>
      </c>
      <c r="H23" s="6">
        <v>2</v>
      </c>
    </row>
    <row r="24" spans="1:23" x14ac:dyDescent="0.2">
      <c r="A24"/>
      <c r="B24">
        <v>7</v>
      </c>
      <c r="C24" t="s">
        <v>65</v>
      </c>
      <c r="D24" t="s">
        <v>66</v>
      </c>
      <c r="F24">
        <v>250</v>
      </c>
      <c r="G24">
        <v>1</v>
      </c>
      <c r="H24">
        <v>1</v>
      </c>
    </row>
    <row r="25" spans="1:23" x14ac:dyDescent="0.2">
      <c r="A25"/>
      <c r="B25">
        <v>8</v>
      </c>
      <c r="C25" t="s">
        <v>67</v>
      </c>
      <c r="D25" t="s">
        <v>68</v>
      </c>
      <c r="F25">
        <v>250</v>
      </c>
      <c r="G25">
        <v>2</v>
      </c>
      <c r="H25">
        <v>2</v>
      </c>
      <c r="J25">
        <v>8</v>
      </c>
      <c r="K25">
        <v>28</v>
      </c>
      <c r="L25">
        <v>8</v>
      </c>
      <c r="M25">
        <v>36</v>
      </c>
      <c r="N25">
        <f>K25/F25*1000</f>
        <v>112</v>
      </c>
      <c r="O25">
        <f>M25/F25*1000</f>
        <v>144</v>
      </c>
      <c r="P25">
        <f>O25+N25</f>
        <v>256</v>
      </c>
      <c r="Q25">
        <f>N25/(N25+O25)</f>
        <v>0.4375</v>
      </c>
      <c r="R25">
        <f>O25/(N25+O25)</f>
        <v>0.5625</v>
      </c>
    </row>
    <row r="26" spans="1:23" x14ac:dyDescent="0.2">
      <c r="A26" s="5"/>
      <c r="B26" s="6">
        <v>9</v>
      </c>
      <c r="C26" s="6" t="s">
        <v>69</v>
      </c>
      <c r="D26" s="6" t="s">
        <v>70</v>
      </c>
      <c r="E26" s="6"/>
      <c r="F26" s="6">
        <v>250</v>
      </c>
      <c r="G26" s="6">
        <v>1</v>
      </c>
      <c r="H26" s="6">
        <v>1</v>
      </c>
    </row>
    <row r="27" spans="1:23" x14ac:dyDescent="0.2">
      <c r="A27"/>
      <c r="B27">
        <v>10</v>
      </c>
      <c r="C27" t="s">
        <v>71</v>
      </c>
      <c r="D27" t="s">
        <v>72</v>
      </c>
      <c r="F27">
        <v>250</v>
      </c>
      <c r="G27">
        <v>2</v>
      </c>
      <c r="H27">
        <v>1</v>
      </c>
      <c r="J27">
        <v>7</v>
      </c>
      <c r="K27">
        <v>32</v>
      </c>
      <c r="L27">
        <v>8</v>
      </c>
      <c r="M27">
        <v>46</v>
      </c>
      <c r="N27">
        <f t="shared" ref="N27:N32" si="0">K27/F27*1000</f>
        <v>128</v>
      </c>
      <c r="O27">
        <f t="shared" ref="O27:O32" si="1">M27/F27*1000</f>
        <v>184</v>
      </c>
      <c r="P27">
        <f t="shared" ref="P27:P32" si="2">O27+N27</f>
        <v>312</v>
      </c>
      <c r="Q27">
        <f t="shared" ref="Q27:Q32" si="3">N27/(N27+O27)</f>
        <v>0.41025641025641024</v>
      </c>
      <c r="R27">
        <f t="shared" ref="R27:R32" si="4">O27/(N27+O27)</f>
        <v>0.58974358974358976</v>
      </c>
    </row>
    <row r="28" spans="1:23" x14ac:dyDescent="0.2">
      <c r="A28"/>
      <c r="B28">
        <v>11</v>
      </c>
      <c r="C28" t="s">
        <v>73</v>
      </c>
      <c r="D28" t="s">
        <v>74</v>
      </c>
      <c r="F28">
        <v>250</v>
      </c>
      <c r="G28">
        <v>2</v>
      </c>
      <c r="H28">
        <v>1</v>
      </c>
      <c r="J28">
        <v>7</v>
      </c>
      <c r="K28">
        <v>32</v>
      </c>
      <c r="L28">
        <v>8</v>
      </c>
      <c r="M28">
        <v>30</v>
      </c>
      <c r="N28">
        <f t="shared" si="0"/>
        <v>128</v>
      </c>
      <c r="O28">
        <f t="shared" si="1"/>
        <v>120</v>
      </c>
      <c r="P28">
        <f t="shared" si="2"/>
        <v>248</v>
      </c>
      <c r="Q28">
        <f t="shared" si="3"/>
        <v>0.5161290322580645</v>
      </c>
      <c r="R28">
        <f t="shared" si="4"/>
        <v>0.4838709677419355</v>
      </c>
    </row>
    <row r="29" spans="1:23" x14ac:dyDescent="0.2">
      <c r="A29"/>
      <c r="B29">
        <v>12</v>
      </c>
      <c r="C29" t="s">
        <v>75</v>
      </c>
      <c r="D29" t="s">
        <v>76</v>
      </c>
      <c r="F29">
        <v>250</v>
      </c>
      <c r="G29">
        <v>2</v>
      </c>
      <c r="H29">
        <v>2</v>
      </c>
      <c r="J29">
        <v>6</v>
      </c>
      <c r="K29">
        <v>54</v>
      </c>
      <c r="L29">
        <v>8</v>
      </c>
      <c r="M29">
        <v>28</v>
      </c>
      <c r="N29">
        <f t="shared" si="0"/>
        <v>216</v>
      </c>
      <c r="O29">
        <f t="shared" si="1"/>
        <v>112</v>
      </c>
      <c r="P29">
        <f t="shared" si="2"/>
        <v>328</v>
      </c>
      <c r="Q29">
        <f t="shared" si="3"/>
        <v>0.65853658536585369</v>
      </c>
      <c r="R29">
        <f t="shared" si="4"/>
        <v>0.34146341463414637</v>
      </c>
    </row>
    <row r="30" spans="1:23" x14ac:dyDescent="0.2">
      <c r="A30"/>
      <c r="B30">
        <v>13</v>
      </c>
      <c r="C30" t="s">
        <v>77</v>
      </c>
      <c r="D30" t="s">
        <v>78</v>
      </c>
      <c r="F30">
        <v>500</v>
      </c>
      <c r="G30">
        <v>2</v>
      </c>
      <c r="H30">
        <v>1</v>
      </c>
      <c r="J30">
        <v>14</v>
      </c>
      <c r="K30">
        <v>43</v>
      </c>
      <c r="L30">
        <v>23</v>
      </c>
      <c r="M30">
        <v>103</v>
      </c>
      <c r="N30">
        <f t="shared" si="0"/>
        <v>86</v>
      </c>
      <c r="O30">
        <f t="shared" si="1"/>
        <v>206</v>
      </c>
      <c r="P30">
        <f t="shared" si="2"/>
        <v>292</v>
      </c>
      <c r="Q30">
        <f t="shared" si="3"/>
        <v>0.29452054794520549</v>
      </c>
      <c r="R30">
        <f t="shared" si="4"/>
        <v>0.70547945205479456</v>
      </c>
    </row>
    <row r="31" spans="1:23" x14ac:dyDescent="0.2">
      <c r="A31" s="5"/>
      <c r="B31" s="6">
        <v>14</v>
      </c>
      <c r="C31" s="6" t="s">
        <v>79</v>
      </c>
      <c r="D31" s="6" t="s">
        <v>80</v>
      </c>
      <c r="E31" s="6"/>
      <c r="F31" s="6">
        <v>500</v>
      </c>
      <c r="G31" s="6">
        <v>1</v>
      </c>
      <c r="H31" s="6">
        <v>2</v>
      </c>
      <c r="J31">
        <v>13</v>
      </c>
      <c r="K31">
        <v>48</v>
      </c>
      <c r="L31">
        <v>23</v>
      </c>
      <c r="M31">
        <v>138</v>
      </c>
      <c r="N31">
        <f t="shared" si="0"/>
        <v>96</v>
      </c>
      <c r="O31">
        <f t="shared" si="1"/>
        <v>276</v>
      </c>
      <c r="P31">
        <f t="shared" si="2"/>
        <v>372</v>
      </c>
      <c r="Q31">
        <f t="shared" si="3"/>
        <v>0.25806451612903225</v>
      </c>
      <c r="R31">
        <f t="shared" si="4"/>
        <v>0.74193548387096775</v>
      </c>
    </row>
    <row r="32" spans="1:23" x14ac:dyDescent="0.2">
      <c r="A32" s="5"/>
      <c r="B32" s="6">
        <v>15</v>
      </c>
      <c r="C32" s="6" t="s">
        <v>81</v>
      </c>
      <c r="D32" s="6" t="s">
        <v>82</v>
      </c>
      <c r="E32" s="6"/>
      <c r="F32" s="6">
        <v>500</v>
      </c>
      <c r="G32" s="6">
        <v>2</v>
      </c>
      <c r="H32" s="6">
        <v>1</v>
      </c>
      <c r="J32">
        <v>12</v>
      </c>
      <c r="K32">
        <v>84</v>
      </c>
      <c r="L32">
        <v>13</v>
      </c>
      <c r="M32">
        <v>82</v>
      </c>
      <c r="N32">
        <f t="shared" si="0"/>
        <v>168</v>
      </c>
      <c r="O32">
        <f t="shared" si="1"/>
        <v>164</v>
      </c>
      <c r="P32">
        <f t="shared" si="2"/>
        <v>332</v>
      </c>
      <c r="Q32">
        <f t="shared" si="3"/>
        <v>0.50602409638554213</v>
      </c>
      <c r="R32">
        <f t="shared" si="4"/>
        <v>0.49397590361445781</v>
      </c>
    </row>
    <row r="33" spans="1:23" x14ac:dyDescent="0.2">
      <c r="A33"/>
      <c r="B33">
        <v>16</v>
      </c>
      <c r="C33" t="s">
        <v>83</v>
      </c>
      <c r="D33" t="s">
        <v>84</v>
      </c>
      <c r="F33">
        <v>500</v>
      </c>
      <c r="G33">
        <v>1</v>
      </c>
      <c r="H33">
        <v>0</v>
      </c>
    </row>
    <row r="34" spans="1:23" x14ac:dyDescent="0.2">
      <c r="A34"/>
      <c r="B34">
        <v>17</v>
      </c>
      <c r="C34" t="s">
        <v>85</v>
      </c>
      <c r="D34" t="s">
        <v>86</v>
      </c>
      <c r="F34">
        <v>500</v>
      </c>
      <c r="G34">
        <v>2</v>
      </c>
      <c r="H34">
        <v>1</v>
      </c>
      <c r="J34">
        <v>18</v>
      </c>
      <c r="K34">
        <v>44</v>
      </c>
      <c r="L34">
        <v>20</v>
      </c>
      <c r="M34">
        <v>68</v>
      </c>
      <c r="N34">
        <f t="shared" ref="N34:N40" si="5">K34/F34*1000</f>
        <v>88</v>
      </c>
      <c r="O34">
        <f t="shared" ref="O34:O40" si="6">M34/F34*1000</f>
        <v>136</v>
      </c>
      <c r="P34">
        <f t="shared" ref="P34:P40" si="7">O34+N34</f>
        <v>224</v>
      </c>
      <c r="Q34">
        <f t="shared" ref="Q34:Q40" si="8">N34/(N34+O34)</f>
        <v>0.39285714285714285</v>
      </c>
      <c r="R34">
        <f t="shared" ref="R34:R40" si="9">O34/(N34+O34)</f>
        <v>0.6071428571428571</v>
      </c>
    </row>
    <row r="35" spans="1:23" x14ac:dyDescent="0.2">
      <c r="A35" s="5"/>
      <c r="B35" s="6">
        <v>18</v>
      </c>
      <c r="C35" s="6" t="s">
        <v>87</v>
      </c>
      <c r="D35" s="6" t="s">
        <v>88</v>
      </c>
      <c r="E35" s="6"/>
      <c r="F35" s="6">
        <v>500</v>
      </c>
      <c r="G35" s="6">
        <v>2</v>
      </c>
      <c r="H35" s="6">
        <v>1</v>
      </c>
      <c r="J35">
        <v>12</v>
      </c>
      <c r="K35">
        <v>79</v>
      </c>
      <c r="L35">
        <v>10</v>
      </c>
      <c r="M35">
        <v>64</v>
      </c>
      <c r="N35">
        <f t="shared" si="5"/>
        <v>158</v>
      </c>
      <c r="O35">
        <f t="shared" si="6"/>
        <v>128</v>
      </c>
      <c r="P35">
        <f t="shared" si="7"/>
        <v>286</v>
      </c>
      <c r="Q35">
        <f t="shared" si="8"/>
        <v>0.55244755244755239</v>
      </c>
      <c r="R35">
        <f t="shared" si="9"/>
        <v>0.44755244755244755</v>
      </c>
    </row>
    <row r="36" spans="1:23" x14ac:dyDescent="0.2">
      <c r="A36"/>
      <c r="B36">
        <v>19</v>
      </c>
      <c r="C36" t="s">
        <v>89</v>
      </c>
      <c r="D36" t="s">
        <v>90</v>
      </c>
      <c r="F36">
        <v>500</v>
      </c>
      <c r="G36">
        <v>2</v>
      </c>
      <c r="H36">
        <v>1</v>
      </c>
      <c r="J36">
        <v>15</v>
      </c>
      <c r="K36">
        <v>48</v>
      </c>
      <c r="L36">
        <v>13</v>
      </c>
      <c r="M36">
        <v>67</v>
      </c>
      <c r="N36">
        <f t="shared" si="5"/>
        <v>96</v>
      </c>
      <c r="O36">
        <f t="shared" si="6"/>
        <v>134</v>
      </c>
      <c r="P36">
        <f t="shared" si="7"/>
        <v>230</v>
      </c>
      <c r="Q36">
        <f t="shared" si="8"/>
        <v>0.41739130434782606</v>
      </c>
      <c r="R36">
        <f t="shared" si="9"/>
        <v>0.58260869565217388</v>
      </c>
    </row>
    <row r="37" spans="1:23" x14ac:dyDescent="0.2">
      <c r="A37" s="5"/>
      <c r="B37" s="6">
        <v>20</v>
      </c>
      <c r="C37" s="6" t="s">
        <v>91</v>
      </c>
      <c r="D37" s="6" t="s">
        <v>92</v>
      </c>
      <c r="E37" s="6"/>
      <c r="F37" s="6">
        <v>500</v>
      </c>
      <c r="G37" s="6">
        <v>2</v>
      </c>
      <c r="H37" s="6">
        <v>1</v>
      </c>
      <c r="J37">
        <v>13</v>
      </c>
      <c r="K37">
        <v>46</v>
      </c>
      <c r="L37">
        <v>19</v>
      </c>
      <c r="M37">
        <v>77</v>
      </c>
      <c r="N37">
        <f t="shared" si="5"/>
        <v>92</v>
      </c>
      <c r="O37">
        <f t="shared" si="6"/>
        <v>154</v>
      </c>
      <c r="P37">
        <f t="shared" si="7"/>
        <v>246</v>
      </c>
      <c r="Q37">
        <f t="shared" si="8"/>
        <v>0.37398373983739835</v>
      </c>
      <c r="R37">
        <f t="shared" si="9"/>
        <v>0.62601626016260159</v>
      </c>
    </row>
    <row r="38" spans="1:23" x14ac:dyDescent="0.2">
      <c r="A38" s="5"/>
      <c r="B38" s="6">
        <v>21</v>
      </c>
      <c r="C38" s="6" t="s">
        <v>93</v>
      </c>
      <c r="D38" s="6" t="s">
        <v>94</v>
      </c>
      <c r="E38" s="6"/>
      <c r="F38" s="6">
        <v>500</v>
      </c>
      <c r="G38" s="6">
        <v>2</v>
      </c>
      <c r="H38" s="6">
        <v>2</v>
      </c>
      <c r="J38">
        <v>21</v>
      </c>
      <c r="K38">
        <v>73</v>
      </c>
      <c r="L38">
        <v>11</v>
      </c>
      <c r="M38">
        <v>176</v>
      </c>
      <c r="N38">
        <f t="shared" si="5"/>
        <v>146</v>
      </c>
      <c r="O38">
        <f t="shared" si="6"/>
        <v>352</v>
      </c>
      <c r="P38">
        <f t="shared" si="7"/>
        <v>498</v>
      </c>
      <c r="Q38">
        <f t="shared" si="8"/>
        <v>0.29317269076305219</v>
      </c>
      <c r="R38">
        <f t="shared" si="9"/>
        <v>0.70682730923694781</v>
      </c>
    </row>
    <row r="39" spans="1:23" x14ac:dyDescent="0.2">
      <c r="A39" s="5"/>
      <c r="B39" s="6">
        <v>22</v>
      </c>
      <c r="C39" s="6" t="s">
        <v>95</v>
      </c>
      <c r="D39" s="6" t="s">
        <v>96</v>
      </c>
      <c r="E39" s="6"/>
      <c r="F39" s="6">
        <v>500</v>
      </c>
      <c r="G39" s="6">
        <v>2</v>
      </c>
      <c r="H39" s="6">
        <v>1</v>
      </c>
      <c r="J39">
        <v>21</v>
      </c>
      <c r="K39">
        <v>70</v>
      </c>
      <c r="L39">
        <v>12</v>
      </c>
      <c r="M39">
        <v>187</v>
      </c>
      <c r="N39">
        <f t="shared" si="5"/>
        <v>140</v>
      </c>
      <c r="O39">
        <f t="shared" si="6"/>
        <v>374</v>
      </c>
      <c r="P39">
        <f t="shared" si="7"/>
        <v>514</v>
      </c>
      <c r="Q39">
        <f t="shared" si="8"/>
        <v>0.2723735408560311</v>
      </c>
      <c r="R39">
        <f t="shared" si="9"/>
        <v>0.72762645914396884</v>
      </c>
    </row>
    <row r="40" spans="1:23" x14ac:dyDescent="0.2">
      <c r="A40" s="5"/>
      <c r="B40" s="6">
        <v>23</v>
      </c>
      <c r="C40" s="6" t="s">
        <v>97</v>
      </c>
      <c r="D40" s="6" t="s">
        <v>98</v>
      </c>
      <c r="E40" s="6"/>
      <c r="F40" s="6">
        <v>500</v>
      </c>
      <c r="G40" s="6">
        <v>2</v>
      </c>
      <c r="H40" s="6">
        <v>1</v>
      </c>
      <c r="J40">
        <v>16</v>
      </c>
      <c r="K40">
        <v>86</v>
      </c>
      <c r="L40">
        <v>11</v>
      </c>
      <c r="M40">
        <v>63</v>
      </c>
      <c r="N40">
        <f t="shared" si="5"/>
        <v>172</v>
      </c>
      <c r="O40">
        <f t="shared" si="6"/>
        <v>126</v>
      </c>
      <c r="P40">
        <f t="shared" si="7"/>
        <v>298</v>
      </c>
      <c r="Q40">
        <f t="shared" si="8"/>
        <v>0.57718120805369133</v>
      </c>
      <c r="R40">
        <f t="shared" si="9"/>
        <v>0.42281879194630873</v>
      </c>
    </row>
    <row r="41" spans="1:23" x14ac:dyDescent="0.2">
      <c r="A41"/>
      <c r="B41">
        <v>24</v>
      </c>
      <c r="C41" t="s">
        <v>99</v>
      </c>
      <c r="D41" t="s">
        <v>100</v>
      </c>
      <c r="F41">
        <v>500</v>
      </c>
      <c r="G41">
        <v>1</v>
      </c>
      <c r="H41">
        <v>1</v>
      </c>
      <c r="S41">
        <f>AVERAGE(N18:N41)</f>
        <v>140.58823529411765</v>
      </c>
      <c r="T41">
        <f>AVERAGE(O18:O41)</f>
        <v>174.47058823529412</v>
      </c>
      <c r="U41">
        <f>T41+S41</f>
        <v>315.05882352941177</v>
      </c>
      <c r="W41">
        <f>COUNT(R18:R41)</f>
        <v>17</v>
      </c>
    </row>
    <row r="42" spans="1:23" s="47" customFormat="1" x14ac:dyDescent="0.2">
      <c r="A42" s="46" t="s">
        <v>101</v>
      </c>
      <c r="B42" s="47">
        <v>1</v>
      </c>
      <c r="C42" s="47" t="s">
        <v>102</v>
      </c>
      <c r="D42" s="47" t="s">
        <v>103</v>
      </c>
      <c r="F42" s="47">
        <v>250</v>
      </c>
      <c r="G42" s="47">
        <v>2</v>
      </c>
      <c r="H42" s="47">
        <v>1</v>
      </c>
      <c r="J42" s="47">
        <v>6</v>
      </c>
      <c r="K42" s="47">
        <v>49</v>
      </c>
      <c r="L42" s="47">
        <v>7</v>
      </c>
      <c r="M42" s="47">
        <v>29</v>
      </c>
      <c r="N42" s="47">
        <f>K42/F42*1000</f>
        <v>196</v>
      </c>
      <c r="O42" s="47">
        <f>M42/F42*1000</f>
        <v>116</v>
      </c>
      <c r="P42" s="47">
        <f>O42+N42</f>
        <v>312</v>
      </c>
      <c r="Q42" s="47">
        <f>N42/(N42+O42)</f>
        <v>0.62820512820512819</v>
      </c>
      <c r="R42" s="47">
        <f>O42/(N42+O42)</f>
        <v>0.37179487179487181</v>
      </c>
    </row>
    <row r="43" spans="1:23" x14ac:dyDescent="0.2">
      <c r="A43"/>
      <c r="B43">
        <v>2</v>
      </c>
      <c r="C43" t="s">
        <v>104</v>
      </c>
      <c r="D43" t="s">
        <v>105</v>
      </c>
      <c r="F43">
        <v>250</v>
      </c>
      <c r="G43">
        <v>2</v>
      </c>
      <c r="H43">
        <v>1</v>
      </c>
      <c r="J43">
        <v>10</v>
      </c>
      <c r="K43">
        <v>19</v>
      </c>
      <c r="L43">
        <v>11</v>
      </c>
      <c r="M43">
        <v>64</v>
      </c>
      <c r="N43">
        <f>K43/F43*1000</f>
        <v>76</v>
      </c>
      <c r="O43">
        <f>M43/F43*1000</f>
        <v>256</v>
      </c>
      <c r="P43">
        <f>O43+N43</f>
        <v>332</v>
      </c>
      <c r="Q43">
        <f>N43/(N43+O43)</f>
        <v>0.2289156626506024</v>
      </c>
      <c r="R43">
        <f>O43/(N43+O43)</f>
        <v>0.77108433734939763</v>
      </c>
    </row>
    <row r="44" spans="1:23" x14ac:dyDescent="0.2">
      <c r="A44" s="5"/>
      <c r="B44" s="6">
        <v>3</v>
      </c>
      <c r="C44" s="6" t="s">
        <v>106</v>
      </c>
      <c r="D44" s="6" t="s">
        <v>107</v>
      </c>
      <c r="E44" s="6"/>
      <c r="F44" s="6">
        <v>250</v>
      </c>
      <c r="G44" s="6">
        <v>2</v>
      </c>
      <c r="H44" s="6">
        <v>1</v>
      </c>
      <c r="J44">
        <v>11</v>
      </c>
      <c r="K44">
        <v>17</v>
      </c>
      <c r="L44">
        <v>13</v>
      </c>
      <c r="M44">
        <v>53</v>
      </c>
      <c r="N44">
        <f>K44/F44*1000</f>
        <v>68</v>
      </c>
      <c r="O44">
        <f>M44/F44*1000</f>
        <v>212</v>
      </c>
      <c r="P44">
        <f>O44+N44</f>
        <v>280</v>
      </c>
      <c r="Q44">
        <f>N44/(N44+O44)</f>
        <v>0.24285714285714285</v>
      </c>
      <c r="R44">
        <f>O44/(N44+O44)</f>
        <v>0.75714285714285712</v>
      </c>
      <c r="S44">
        <f>AVERAGE(N42:N44)</f>
        <v>113.33333333333333</v>
      </c>
      <c r="T44">
        <f>AVERAGE(O42:O44)</f>
        <v>194.66666666666666</v>
      </c>
      <c r="U44">
        <f>T44+S44</f>
        <v>308</v>
      </c>
      <c r="W44">
        <f>COUNT(R42:R44)</f>
        <v>3</v>
      </c>
    </row>
    <row r="45" spans="1:23" s="47" customFormat="1" x14ac:dyDescent="0.2">
      <c r="A45" s="46" t="s">
        <v>108</v>
      </c>
      <c r="B45" s="47">
        <v>1</v>
      </c>
      <c r="C45" s="47" t="s">
        <v>109</v>
      </c>
      <c r="D45" s="47" t="s">
        <v>110</v>
      </c>
      <c r="F45" s="47">
        <v>250</v>
      </c>
      <c r="G45" s="47">
        <v>2</v>
      </c>
      <c r="H45" s="47">
        <v>2</v>
      </c>
      <c r="J45" s="47">
        <v>7</v>
      </c>
      <c r="K45" s="47">
        <v>29</v>
      </c>
      <c r="L45" s="47">
        <v>8</v>
      </c>
      <c r="M45" s="47">
        <v>32</v>
      </c>
      <c r="N45" s="47">
        <f>K45/F45*1000</f>
        <v>116</v>
      </c>
      <c r="O45" s="47">
        <f>M45/F45*1000</f>
        <v>128</v>
      </c>
      <c r="P45" s="47">
        <f>O45+N45</f>
        <v>244</v>
      </c>
      <c r="Q45" s="47">
        <f>N45/(N45+O45)</f>
        <v>0.47540983606557374</v>
      </c>
      <c r="R45" s="47">
        <f>O45/(N45+O45)</f>
        <v>0.52459016393442626</v>
      </c>
    </row>
    <row r="46" spans="1:23" x14ac:dyDescent="0.2">
      <c r="B46">
        <v>2</v>
      </c>
      <c r="C46" t="s">
        <v>111</v>
      </c>
      <c r="D46" t="s">
        <v>112</v>
      </c>
      <c r="F46">
        <v>250</v>
      </c>
      <c r="G46">
        <v>4</v>
      </c>
      <c r="H46">
        <v>4</v>
      </c>
      <c r="J46">
        <v>12</v>
      </c>
      <c r="K46">
        <v>14</v>
      </c>
      <c r="L46">
        <v>7</v>
      </c>
      <c r="M46">
        <v>31</v>
      </c>
      <c r="N46">
        <f>K46/F46*1000</f>
        <v>56</v>
      </c>
      <c r="O46">
        <f>M46/F46*1000</f>
        <v>124</v>
      </c>
      <c r="P46">
        <f>O46+N46</f>
        <v>180</v>
      </c>
      <c r="Q46">
        <f>N46/(N46+O46)</f>
        <v>0.31111111111111112</v>
      </c>
      <c r="R46">
        <f>O46/(N46+O46)</f>
        <v>0.68888888888888888</v>
      </c>
      <c r="S46">
        <f>AVERAGE(N45:N46)</f>
        <v>86</v>
      </c>
      <c r="T46">
        <f>AVERAGE(O45:O46)</f>
        <v>126</v>
      </c>
      <c r="U46">
        <f>T46+S46</f>
        <v>212</v>
      </c>
      <c r="W46">
        <f>COUNT(R45:R46)</f>
        <v>2</v>
      </c>
    </row>
    <row r="48" spans="1:23" x14ac:dyDescent="0.2">
      <c r="M48" t="s">
        <v>113</v>
      </c>
      <c r="N48">
        <f>MIN(N2:N46)</f>
        <v>24</v>
      </c>
      <c r="O48">
        <f>MIN(O2:O46)</f>
        <v>90</v>
      </c>
      <c r="P48">
        <f>MIN(P2:P46)</f>
        <v>180</v>
      </c>
    </row>
    <row r="49" spans="13:23" x14ac:dyDescent="0.2">
      <c r="M49" t="s">
        <v>114</v>
      </c>
      <c r="N49">
        <f>MAX(N2:N46)</f>
        <v>256</v>
      </c>
      <c r="O49">
        <f>MAX(O2:O46)</f>
        <v>374</v>
      </c>
      <c r="P49">
        <f>MAX(P2:P46)</f>
        <v>514</v>
      </c>
    </row>
    <row r="50" spans="13:23" x14ac:dyDescent="0.2">
      <c r="S50">
        <f>AVERAGE(S12:S46)</f>
        <v>124.78431372549021</v>
      </c>
      <c r="T50">
        <f>AVERAGE(T12:T46)</f>
        <v>147.96078431372547</v>
      </c>
      <c r="U50">
        <f>SUM(S12,S17,S41,S44,S46,T46,T44,T41,T17,T12)/5</f>
        <v>272.74509803921569</v>
      </c>
      <c r="V50">
        <f>T50/(T50+S50)</f>
        <v>0.54248741912293308</v>
      </c>
      <c r="W50">
        <f>SUM(W12,W17,W41,W44,W46)</f>
        <v>30</v>
      </c>
    </row>
    <row r="51" spans="13:23" x14ac:dyDescent="0.2">
      <c r="S51">
        <f>STDEV(S12:S46)</f>
        <v>29.350773362259162</v>
      </c>
      <c r="T51">
        <f>STDEV(T12:T46)</f>
        <v>34.709172326614478</v>
      </c>
      <c r="U51">
        <f>STDEV(U46,U44,U41,U17,U12)</f>
        <v>42.539386277331111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35"/>
  <sheetViews>
    <sheetView windowProtection="1" tabSelected="1" zoomScaleNormal="100" workbookViewId="0">
      <pane xSplit="4" ySplit="1" topLeftCell="E2" activePane="bottomRight" state="frozen"/>
      <selection pane="topRight" activeCell="AC1" sqref="AC1"/>
      <selection pane="bottomLeft" activeCell="A2" sqref="A2"/>
      <selection pane="bottomRight" activeCell="K32" sqref="K32"/>
    </sheetView>
  </sheetViews>
  <sheetFormatPr defaultRowHeight="12.75" x14ac:dyDescent="0.2"/>
  <cols>
    <col min="1" max="1" width="6.28515625"/>
    <col min="2" max="2" width="8.28515625"/>
    <col min="4" max="4" width="3.5703125"/>
    <col min="5" max="7" width="10.7109375"/>
    <col min="8" max="9" width="10.28515625"/>
    <col min="10" max="14" width="8.5703125"/>
    <col min="15" max="15" width="8.7109375"/>
    <col min="16" max="42" width="8.5703125"/>
    <col min="43" max="43" width="9.28515625"/>
    <col min="44" max="44" width="8.7109375"/>
    <col min="45" max="45" width="8.5703125"/>
    <col min="46" max="46" width="10.85546875"/>
    <col min="47" max="1025" width="8.5703125"/>
  </cols>
  <sheetData>
    <row r="1" spans="1:47" s="3" customFormat="1" ht="102" x14ac:dyDescent="0.2">
      <c r="A1" s="3" t="s">
        <v>115</v>
      </c>
      <c r="B1" s="3" t="s">
        <v>1</v>
      </c>
      <c r="C1" s="3" t="s">
        <v>2</v>
      </c>
      <c r="D1" s="3" t="s">
        <v>116</v>
      </c>
      <c r="E1" s="3" t="s">
        <v>117</v>
      </c>
      <c r="F1" s="3" t="s">
        <v>118</v>
      </c>
      <c r="G1" s="3" t="s">
        <v>119</v>
      </c>
      <c r="H1" s="3" t="s">
        <v>120</v>
      </c>
      <c r="I1" s="3" t="s">
        <v>121</v>
      </c>
      <c r="J1" s="3" t="s">
        <v>122</v>
      </c>
      <c r="L1" s="3" t="s">
        <v>123</v>
      </c>
      <c r="M1" s="3" t="s">
        <v>124</v>
      </c>
      <c r="N1" s="3" t="s">
        <v>125</v>
      </c>
      <c r="O1" s="3" t="s">
        <v>126</v>
      </c>
      <c r="Q1" s="3" t="s">
        <v>127</v>
      </c>
      <c r="R1" s="3" t="s">
        <v>128</v>
      </c>
      <c r="T1" s="3" t="s">
        <v>129</v>
      </c>
      <c r="U1" s="3" t="s">
        <v>130</v>
      </c>
      <c r="V1" s="3" t="s">
        <v>131</v>
      </c>
      <c r="W1" s="3" t="s">
        <v>132</v>
      </c>
      <c r="X1" s="3" t="s">
        <v>133</v>
      </c>
      <c r="Y1" s="3" t="s">
        <v>134</v>
      </c>
      <c r="Z1" s="3" t="s">
        <v>135</v>
      </c>
      <c r="AC1" s="3" t="s">
        <v>136</v>
      </c>
      <c r="AD1" s="3" t="s">
        <v>137</v>
      </c>
      <c r="AE1" s="3" t="s">
        <v>138</v>
      </c>
      <c r="AG1" s="3" t="s">
        <v>139</v>
      </c>
      <c r="AH1" s="3" t="s">
        <v>140</v>
      </c>
      <c r="AI1" s="3" t="s">
        <v>141</v>
      </c>
      <c r="AK1" s="3" t="s">
        <v>142</v>
      </c>
      <c r="AM1" s="3" t="s">
        <v>143</v>
      </c>
      <c r="AN1" s="3" t="s">
        <v>144</v>
      </c>
      <c r="AO1" s="3" t="s">
        <v>145</v>
      </c>
      <c r="AQ1" s="3" t="s">
        <v>146</v>
      </c>
      <c r="AR1" s="3" t="s">
        <v>147</v>
      </c>
      <c r="AT1" s="3" t="s">
        <v>148</v>
      </c>
      <c r="AU1" s="3" t="s">
        <v>149</v>
      </c>
    </row>
    <row r="2" spans="1:47" s="7" customFormat="1" x14ac:dyDescent="0.2">
      <c r="A2" s="7" t="s">
        <v>18</v>
      </c>
      <c r="B2" s="8">
        <v>4</v>
      </c>
      <c r="C2" s="7" t="s">
        <v>25</v>
      </c>
      <c r="D2" s="8">
        <v>1</v>
      </c>
      <c r="E2">
        <v>500</v>
      </c>
      <c r="F2">
        <v>94.219028252821701</v>
      </c>
      <c r="G2"/>
      <c r="H2">
        <v>131</v>
      </c>
      <c r="I2" s="10"/>
      <c r="J2" s="13" t="s">
        <v>150</v>
      </c>
      <c r="L2">
        <v>245.84834884534999</v>
      </c>
      <c r="M2"/>
      <c r="N2">
        <v>245.27350585110301</v>
      </c>
      <c r="O2">
        <v>690.19135019938301</v>
      </c>
      <c r="Q2"/>
      <c r="R2">
        <v>21.0041483656377</v>
      </c>
      <c r="T2"/>
      <c r="U2"/>
      <c r="V2"/>
      <c r="W2"/>
      <c r="X2"/>
      <c r="Y2"/>
      <c r="Z2"/>
      <c r="AC2"/>
      <c r="AE2"/>
      <c r="AG2"/>
      <c r="AI2"/>
      <c r="AM2"/>
      <c r="AN2">
        <v>401.12184593954998</v>
      </c>
      <c r="AO2"/>
      <c r="AQ2">
        <v>36.772679507208899</v>
      </c>
      <c r="AR2"/>
      <c r="AT2"/>
      <c r="AU2"/>
    </row>
    <row r="3" spans="1:47" x14ac:dyDescent="0.2">
      <c r="A3" t="s">
        <v>18</v>
      </c>
      <c r="B3">
        <v>4</v>
      </c>
      <c r="C3" t="s">
        <v>25</v>
      </c>
      <c r="D3">
        <v>2</v>
      </c>
      <c r="E3">
        <v>500</v>
      </c>
      <c r="F3">
        <v>94.219028252821701</v>
      </c>
      <c r="G3">
        <v>176</v>
      </c>
      <c r="J3" s="13" t="s">
        <v>150</v>
      </c>
      <c r="L3">
        <v>228.009526808885</v>
      </c>
      <c r="N3">
        <v>228.17793113886299</v>
      </c>
      <c r="O3">
        <v>665.89666891514696</v>
      </c>
      <c r="Q3">
        <v>21.0041483656377</v>
      </c>
      <c r="T3">
        <v>152</v>
      </c>
      <c r="U3">
        <v>185</v>
      </c>
      <c r="V3">
        <v>3399.7192778702602</v>
      </c>
      <c r="W3">
        <v>4131.8293098309896</v>
      </c>
      <c r="X3">
        <v>5350.7106643791803</v>
      </c>
      <c r="Y3">
        <v>50.552037608639097</v>
      </c>
      <c r="Z3">
        <v>53.759160305035998</v>
      </c>
      <c r="AC3">
        <v>170</v>
      </c>
      <c r="AD3" s="7">
        <f>AC3+AE3</f>
        <v>185</v>
      </c>
      <c r="AE3">
        <v>15</v>
      </c>
      <c r="AG3">
        <v>136</v>
      </c>
      <c r="AH3" s="7">
        <f>AG3+AI3</f>
        <v>168</v>
      </c>
      <c r="AI3">
        <v>32</v>
      </c>
      <c r="AK3">
        <f>AG3-H2</f>
        <v>5</v>
      </c>
      <c r="AR3">
        <v>34.065308197270902</v>
      </c>
      <c r="AT3">
        <v>29.6657235105213</v>
      </c>
    </row>
    <row r="4" spans="1:47" x14ac:dyDescent="0.2">
      <c r="A4" t="s">
        <v>18</v>
      </c>
      <c r="B4">
        <v>5</v>
      </c>
      <c r="C4" t="s">
        <v>27</v>
      </c>
      <c r="D4">
        <v>1</v>
      </c>
      <c r="E4">
        <v>500</v>
      </c>
      <c r="F4">
        <v>109.45465850830099</v>
      </c>
      <c r="G4">
        <v>75</v>
      </c>
      <c r="H4">
        <v>173</v>
      </c>
      <c r="J4" s="13" t="s">
        <v>150</v>
      </c>
      <c r="L4">
        <v>232.58420521081501</v>
      </c>
      <c r="M4">
        <v>584.37494251560599</v>
      </c>
      <c r="N4">
        <v>231.85585433596799</v>
      </c>
      <c r="O4">
        <v>581.97467248225905</v>
      </c>
      <c r="Q4">
        <v>42.348888052720703</v>
      </c>
      <c r="R4">
        <v>20.860298290143799</v>
      </c>
      <c r="T4">
        <v>20</v>
      </c>
      <c r="U4">
        <v>83</v>
      </c>
      <c r="V4">
        <v>3175.37126864633</v>
      </c>
      <c r="W4">
        <v>4569.8274672502603</v>
      </c>
      <c r="X4">
        <v>5564.7377093785399</v>
      </c>
      <c r="Y4">
        <v>55.206269695275203</v>
      </c>
      <c r="Z4">
        <v>57.228400496189302</v>
      </c>
      <c r="AC4">
        <v>70</v>
      </c>
      <c r="AD4" s="7">
        <f>AC4+AE4</f>
        <v>81</v>
      </c>
      <c r="AE4">
        <v>11</v>
      </c>
      <c r="AH4" s="7"/>
      <c r="AM4">
        <v>2982.1884381179002</v>
      </c>
      <c r="AN4">
        <v>757.95470669717497</v>
      </c>
      <c r="AO4">
        <v>2192.0001387973798</v>
      </c>
      <c r="AQ4">
        <v>82.1729966118764</v>
      </c>
      <c r="AR4">
        <v>55.555894575815699</v>
      </c>
      <c r="AU4">
        <v>50.088873703648403</v>
      </c>
    </row>
    <row r="5" spans="1:47" x14ac:dyDescent="0.2">
      <c r="A5" t="s">
        <v>18</v>
      </c>
      <c r="B5">
        <v>5</v>
      </c>
      <c r="C5" t="s">
        <v>27</v>
      </c>
      <c r="D5">
        <v>2</v>
      </c>
      <c r="E5">
        <v>500</v>
      </c>
      <c r="F5">
        <v>109.45465850830099</v>
      </c>
      <c r="G5">
        <v>227</v>
      </c>
      <c r="J5" s="13" t="s">
        <v>150</v>
      </c>
      <c r="L5">
        <v>291.84077293720497</v>
      </c>
      <c r="N5">
        <v>290.59678394930597</v>
      </c>
      <c r="O5">
        <v>662.79726747739801</v>
      </c>
      <c r="Q5">
        <v>20.860298290143799</v>
      </c>
      <c r="T5">
        <v>171</v>
      </c>
      <c r="U5">
        <v>234</v>
      </c>
      <c r="V5">
        <v>3192.7394776798601</v>
      </c>
      <c r="W5">
        <v>5071.76737413499</v>
      </c>
      <c r="X5">
        <v>5993.0300908368199</v>
      </c>
      <c r="Y5">
        <v>57.809084143265999</v>
      </c>
      <c r="Z5">
        <v>61.706310700822499</v>
      </c>
      <c r="AC5">
        <v>218</v>
      </c>
      <c r="AD5" s="7">
        <f>AC5+AE5</f>
        <v>232</v>
      </c>
      <c r="AE5">
        <v>14</v>
      </c>
      <c r="AG5">
        <v>185</v>
      </c>
      <c r="AH5" s="7">
        <f>AG5+AI5</f>
        <v>217</v>
      </c>
      <c r="AI5">
        <v>32</v>
      </c>
      <c r="AK5">
        <f>AG5-H4</f>
        <v>12</v>
      </c>
      <c r="AR5">
        <v>62.447276722804403</v>
      </c>
      <c r="AT5">
        <v>29.892102073330399</v>
      </c>
    </row>
    <row r="6" spans="1:47" x14ac:dyDescent="0.2">
      <c r="A6" t="s">
        <v>18</v>
      </c>
      <c r="B6">
        <v>6</v>
      </c>
      <c r="C6" t="s">
        <v>29</v>
      </c>
      <c r="D6">
        <v>1</v>
      </c>
      <c r="E6">
        <v>500</v>
      </c>
      <c r="F6">
        <v>92.386999745719393</v>
      </c>
      <c r="H6">
        <v>42</v>
      </c>
      <c r="J6" s="13" t="s">
        <v>151</v>
      </c>
      <c r="R6">
        <v>17.901835718657701</v>
      </c>
      <c r="AD6" s="7"/>
      <c r="AH6" s="7"/>
      <c r="AN6">
        <v>679.46542523862604</v>
      </c>
      <c r="AQ6">
        <v>104.10688684292001</v>
      </c>
    </row>
    <row r="7" spans="1:47" x14ac:dyDescent="0.2">
      <c r="A7" t="s">
        <v>18</v>
      </c>
      <c r="B7">
        <v>6</v>
      </c>
      <c r="C7" t="s">
        <v>29</v>
      </c>
      <c r="D7">
        <v>2</v>
      </c>
      <c r="E7">
        <v>500</v>
      </c>
      <c r="F7">
        <v>92.386999745719393</v>
      </c>
      <c r="G7">
        <v>119</v>
      </c>
      <c r="H7">
        <v>227</v>
      </c>
      <c r="J7" s="13" t="s">
        <v>150</v>
      </c>
      <c r="L7">
        <v>231.67427717744599</v>
      </c>
      <c r="M7">
        <v>661.32430748032095</v>
      </c>
      <c r="N7">
        <v>232.86142411967501</v>
      </c>
      <c r="O7">
        <v>660.45029169398003</v>
      </c>
      <c r="Q7">
        <v>17.901835718657701</v>
      </c>
      <c r="R7">
        <v>16.680122037961802</v>
      </c>
      <c r="T7">
        <v>109</v>
      </c>
      <c r="U7">
        <v>128</v>
      </c>
      <c r="V7">
        <v>3415.4655073448198</v>
      </c>
      <c r="W7">
        <v>4274.8389318538702</v>
      </c>
      <c r="X7">
        <v>5471.7138562936298</v>
      </c>
      <c r="Y7">
        <v>51.376215268814697</v>
      </c>
      <c r="Z7">
        <v>58.727543739788203</v>
      </c>
      <c r="AC7">
        <v>109</v>
      </c>
      <c r="AD7" s="7">
        <f>AC7+AE7</f>
        <v>126</v>
      </c>
      <c r="AE7">
        <v>17</v>
      </c>
      <c r="AG7">
        <v>84</v>
      </c>
      <c r="AH7" s="7">
        <f>AG7+AI7</f>
        <v>107</v>
      </c>
      <c r="AI7">
        <v>23</v>
      </c>
      <c r="AK7">
        <f>AG7-H6</f>
        <v>42</v>
      </c>
      <c r="AM7">
        <v>3062.3320379540601</v>
      </c>
      <c r="AN7">
        <v>678.61219909203498</v>
      </c>
      <c r="AO7">
        <v>2012.50723845524</v>
      </c>
      <c r="AQ7">
        <v>115.63262307730299</v>
      </c>
      <c r="AR7">
        <v>45.109612094675498</v>
      </c>
      <c r="AT7">
        <v>29.251940726831702</v>
      </c>
      <c r="AU7">
        <v>43.320038280947699</v>
      </c>
    </row>
    <row r="8" spans="1:47" x14ac:dyDescent="0.2">
      <c r="A8" t="s">
        <v>18</v>
      </c>
      <c r="B8">
        <v>6</v>
      </c>
      <c r="C8" t="s">
        <v>29</v>
      </c>
      <c r="D8">
        <v>3</v>
      </c>
      <c r="E8">
        <v>500</v>
      </c>
      <c r="F8">
        <v>92.386999745719393</v>
      </c>
      <c r="G8">
        <v>312</v>
      </c>
      <c r="J8" s="13" t="s">
        <v>151</v>
      </c>
      <c r="Q8">
        <v>16.680122037961802</v>
      </c>
      <c r="T8">
        <v>301</v>
      </c>
      <c r="U8">
        <v>320</v>
      </c>
      <c r="V8">
        <v>3265.9252938524</v>
      </c>
      <c r="W8">
        <v>3542.64567214821</v>
      </c>
      <c r="X8">
        <v>4818.36137949566</v>
      </c>
      <c r="Y8">
        <v>47.327388306671303</v>
      </c>
      <c r="Z8">
        <v>52.706870550837998</v>
      </c>
      <c r="AC8">
        <v>304</v>
      </c>
      <c r="AD8" s="7">
        <f>AC8+AE8</f>
        <v>317</v>
      </c>
      <c r="AE8">
        <v>13</v>
      </c>
      <c r="AG8">
        <v>250</v>
      </c>
      <c r="AH8" s="7">
        <f>AG8+AI8</f>
        <v>302</v>
      </c>
      <c r="AI8">
        <v>52</v>
      </c>
      <c r="AK8">
        <f>AG8-H7</f>
        <v>23</v>
      </c>
      <c r="AR8">
        <v>52.573139726283401</v>
      </c>
      <c r="AT8">
        <v>27.285626108413801</v>
      </c>
    </row>
    <row r="9" spans="1:47" x14ac:dyDescent="0.2">
      <c r="A9" t="s">
        <v>18</v>
      </c>
      <c r="B9">
        <v>10</v>
      </c>
      <c r="C9" t="s">
        <v>37</v>
      </c>
      <c r="D9">
        <v>1</v>
      </c>
      <c r="E9">
        <v>250</v>
      </c>
      <c r="F9">
        <v>78.758538062936594</v>
      </c>
      <c r="H9">
        <v>33</v>
      </c>
      <c r="J9" s="13" t="s">
        <v>151</v>
      </c>
      <c r="R9">
        <v>17.4923500819297</v>
      </c>
      <c r="AD9" s="7"/>
      <c r="AH9" s="7"/>
      <c r="AN9">
        <v>626.78436393196</v>
      </c>
      <c r="AQ9">
        <v>292.252474424865</v>
      </c>
    </row>
    <row r="10" spans="1:47" x14ac:dyDescent="0.2">
      <c r="A10" t="s">
        <v>18</v>
      </c>
      <c r="B10">
        <v>10</v>
      </c>
      <c r="C10" t="s">
        <v>37</v>
      </c>
      <c r="D10">
        <v>2</v>
      </c>
      <c r="E10">
        <v>250</v>
      </c>
      <c r="F10">
        <v>78.758538062936594</v>
      </c>
      <c r="G10">
        <v>150</v>
      </c>
      <c r="H10">
        <v>197</v>
      </c>
      <c r="J10" s="13" t="s">
        <v>150</v>
      </c>
      <c r="L10">
        <v>163.056699188544</v>
      </c>
      <c r="M10">
        <v>646.480562189181</v>
      </c>
      <c r="N10">
        <v>161.50836466056799</v>
      </c>
      <c r="O10">
        <v>637.02753479619901</v>
      </c>
      <c r="Q10">
        <v>17.4923500819297</v>
      </c>
      <c r="R10">
        <v>16.8147726844667</v>
      </c>
      <c r="T10">
        <v>134</v>
      </c>
      <c r="U10">
        <v>157</v>
      </c>
      <c r="V10">
        <v>3598.4565193070698</v>
      </c>
      <c r="W10">
        <v>2843.5346299757398</v>
      </c>
      <c r="X10">
        <v>4586.34696825424</v>
      </c>
      <c r="Y10">
        <v>38.316126666284497</v>
      </c>
      <c r="Z10">
        <v>40.758666294248002</v>
      </c>
      <c r="AC10">
        <v>148</v>
      </c>
      <c r="AD10" s="7">
        <f>AC10+AE10</f>
        <v>155</v>
      </c>
      <c r="AE10">
        <v>7</v>
      </c>
      <c r="AG10">
        <v>106</v>
      </c>
      <c r="AH10" s="7">
        <f>AG10+AI10</f>
        <v>147</v>
      </c>
      <c r="AI10">
        <v>41</v>
      </c>
      <c r="AK10">
        <f>AG10-H9</f>
        <v>73</v>
      </c>
      <c r="AM10">
        <v>3429.8494363340301</v>
      </c>
      <c r="AN10">
        <v>811.87196295714796</v>
      </c>
      <c r="AO10">
        <v>2194.3993927179699</v>
      </c>
      <c r="AQ10">
        <v>135.14684247586601</v>
      </c>
      <c r="AR10">
        <v>26.892169339985699</v>
      </c>
      <c r="AT10">
        <v>14.7746315042337</v>
      </c>
      <c r="AU10">
        <v>32.949125017388504</v>
      </c>
    </row>
    <row r="11" spans="1:47" x14ac:dyDescent="0.2">
      <c r="A11" t="s">
        <v>18</v>
      </c>
      <c r="B11">
        <v>10</v>
      </c>
      <c r="C11" t="s">
        <v>37</v>
      </c>
      <c r="D11">
        <v>3</v>
      </c>
      <c r="E11">
        <v>250</v>
      </c>
      <c r="F11">
        <v>78.758538062936594</v>
      </c>
      <c r="G11">
        <v>239</v>
      </c>
      <c r="J11" s="13" t="s">
        <v>151</v>
      </c>
      <c r="Q11">
        <v>16.8147726844667</v>
      </c>
      <c r="AC11">
        <v>238</v>
      </c>
      <c r="AD11" s="7">
        <f>AC11+AE11</f>
        <v>244</v>
      </c>
      <c r="AE11">
        <v>6</v>
      </c>
      <c r="AG11">
        <v>224</v>
      </c>
      <c r="AH11" s="7">
        <f>AG11+AI11</f>
        <v>237</v>
      </c>
      <c r="AI11">
        <v>13</v>
      </c>
      <c r="AK11">
        <f>AG11-H10</f>
        <v>27</v>
      </c>
      <c r="AR11">
        <v>30.579622108423301</v>
      </c>
      <c r="AT11">
        <v>27.391349330581001</v>
      </c>
    </row>
    <row r="12" spans="1:47" ht="13.5" x14ac:dyDescent="0.25">
      <c r="E12" s="9"/>
      <c r="F12" s="9"/>
      <c r="AD12" s="7"/>
      <c r="AH12" s="7"/>
    </row>
    <row r="13" spans="1:47" ht="13.5" x14ac:dyDescent="0.25">
      <c r="E13" s="9"/>
      <c r="F13" s="9"/>
      <c r="AD13" s="7"/>
      <c r="AH13" s="7"/>
      <c r="AQ13">
        <v>71.395735163934106</v>
      </c>
      <c r="AR13">
        <v>72.406665206164107</v>
      </c>
      <c r="AU13">
        <v>53.747871881586299</v>
      </c>
    </row>
    <row r="14" spans="1:47" x14ac:dyDescent="0.2">
      <c r="A14" t="s">
        <v>52</v>
      </c>
      <c r="B14">
        <v>4</v>
      </c>
      <c r="C14" t="s">
        <v>59</v>
      </c>
      <c r="D14">
        <v>1</v>
      </c>
      <c r="E14">
        <v>250</v>
      </c>
      <c r="F14">
        <v>102.04534566778899</v>
      </c>
      <c r="G14">
        <v>148</v>
      </c>
      <c r="H14">
        <v>202</v>
      </c>
      <c r="J14" s="13" t="s">
        <v>150</v>
      </c>
      <c r="L14">
        <v>263.91380323678698</v>
      </c>
      <c r="M14">
        <v>712.21255126337701</v>
      </c>
      <c r="N14">
        <v>265.34798172139199</v>
      </c>
      <c r="O14">
        <v>709.44442592131895</v>
      </c>
      <c r="Q14">
        <v>18.407936560267</v>
      </c>
      <c r="R14">
        <v>21.1174403347256</v>
      </c>
      <c r="T14">
        <v>25</v>
      </c>
      <c r="U14">
        <v>152</v>
      </c>
      <c r="V14">
        <v>3464.48867733932</v>
      </c>
      <c r="W14">
        <v>4599.3109469943201</v>
      </c>
      <c r="X14">
        <v>5758.1544771353701</v>
      </c>
      <c r="Y14">
        <v>53.010654283038299</v>
      </c>
      <c r="Z14">
        <v>56.242293372491503</v>
      </c>
      <c r="AC14">
        <v>138</v>
      </c>
      <c r="AD14" s="7">
        <f>AC14+AE14</f>
        <v>150</v>
      </c>
      <c r="AE14">
        <v>12</v>
      </c>
      <c r="AG14">
        <v>127</v>
      </c>
      <c r="AH14" s="7">
        <f>AG14+AI14</f>
        <v>135</v>
      </c>
      <c r="AI14">
        <v>8</v>
      </c>
      <c r="AM14">
        <v>3300.3887598394899</v>
      </c>
      <c r="AN14">
        <v>629.05171889140695</v>
      </c>
      <c r="AO14">
        <v>2388.2248921986802</v>
      </c>
      <c r="AR14">
        <v>55.487341883095802</v>
      </c>
      <c r="AT14">
        <v>17.491268940279799</v>
      </c>
    </row>
    <row r="15" spans="1:47" x14ac:dyDescent="0.2">
      <c r="A15" t="s">
        <v>52</v>
      </c>
      <c r="B15">
        <v>4</v>
      </c>
      <c r="C15" t="s">
        <v>59</v>
      </c>
      <c r="D15">
        <v>2</v>
      </c>
      <c r="E15">
        <v>250</v>
      </c>
      <c r="F15">
        <v>102.04534566778899</v>
      </c>
      <c r="G15">
        <v>230</v>
      </c>
      <c r="J15" s="13" t="s">
        <v>151</v>
      </c>
      <c r="Q15">
        <v>21.1174403347256</v>
      </c>
      <c r="T15">
        <v>107</v>
      </c>
      <c r="U15">
        <v>234</v>
      </c>
      <c r="V15">
        <v>4103.2217718700704</v>
      </c>
      <c r="W15">
        <v>5614.2471122913203</v>
      </c>
      <c r="X15">
        <v>6953.8622036261204</v>
      </c>
      <c r="Y15">
        <v>53.838470193943799</v>
      </c>
      <c r="Z15">
        <v>55.041522885898701</v>
      </c>
      <c r="AC15">
        <v>228</v>
      </c>
      <c r="AD15" s="7">
        <f>AC15+AE15</f>
        <v>234</v>
      </c>
      <c r="AE15">
        <v>6</v>
      </c>
      <c r="AG15">
        <v>210</v>
      </c>
      <c r="AH15" s="7">
        <f>AG15+AI15</f>
        <v>225</v>
      </c>
      <c r="AI15">
        <v>15</v>
      </c>
      <c r="AK15">
        <f>AG15-H14</f>
        <v>8</v>
      </c>
      <c r="AQ15">
        <v>47.884211052782902</v>
      </c>
    </row>
    <row r="16" spans="1:47" x14ac:dyDescent="0.2">
      <c r="A16" t="s">
        <v>52</v>
      </c>
      <c r="B16">
        <v>6</v>
      </c>
      <c r="C16" t="s">
        <v>63</v>
      </c>
      <c r="D16">
        <v>1</v>
      </c>
      <c r="E16">
        <v>250</v>
      </c>
      <c r="F16">
        <v>98.071794099896906</v>
      </c>
      <c r="H16">
        <v>58</v>
      </c>
      <c r="J16" s="13" t="s">
        <v>150</v>
      </c>
      <c r="L16">
        <v>337.964488267268</v>
      </c>
      <c r="N16">
        <v>329.03027098270798</v>
      </c>
      <c r="O16">
        <v>512.31462549310697</v>
      </c>
      <c r="R16">
        <v>33.706727975199797</v>
      </c>
      <c r="AD16" s="7"/>
      <c r="AH16" s="7"/>
      <c r="AN16">
        <v>350.54200863351502</v>
      </c>
      <c r="AR16">
        <v>65.736798721844707</v>
      </c>
      <c r="AT16">
        <v>16.369632391145402</v>
      </c>
      <c r="AU16">
        <v>49.986344224510901</v>
      </c>
    </row>
    <row r="17" spans="1:47" x14ac:dyDescent="0.2">
      <c r="A17" t="s">
        <v>52</v>
      </c>
      <c r="B17">
        <v>6</v>
      </c>
      <c r="C17" t="s">
        <v>63</v>
      </c>
      <c r="D17">
        <v>2</v>
      </c>
      <c r="E17">
        <v>250</v>
      </c>
      <c r="F17">
        <v>98.071794099896906</v>
      </c>
      <c r="G17">
        <v>90</v>
      </c>
      <c r="H17">
        <v>137</v>
      </c>
      <c r="J17" s="13" t="s">
        <v>150</v>
      </c>
      <c r="L17">
        <v>199.666867714814</v>
      </c>
      <c r="M17">
        <v>778.38846561446496</v>
      </c>
      <c r="N17">
        <v>198.619456524887</v>
      </c>
      <c r="O17">
        <v>775.42967684973098</v>
      </c>
      <c r="Q17">
        <v>33.706727975199797</v>
      </c>
      <c r="R17">
        <v>21.422125019932999</v>
      </c>
      <c r="T17">
        <v>82</v>
      </c>
      <c r="U17">
        <v>95</v>
      </c>
      <c r="V17">
        <v>4864.7854995918597</v>
      </c>
      <c r="W17">
        <v>3796.9343421127101</v>
      </c>
      <c r="X17">
        <v>6171.13023321937</v>
      </c>
      <c r="Y17">
        <v>37.971812987507803</v>
      </c>
      <c r="Z17">
        <v>39.899994302903899</v>
      </c>
      <c r="AC17">
        <v>85</v>
      </c>
      <c r="AD17" s="7">
        <f>AC17+AE17</f>
        <v>93</v>
      </c>
      <c r="AE17">
        <v>8</v>
      </c>
      <c r="AG17">
        <v>65</v>
      </c>
      <c r="AH17" s="7">
        <f>AG17+AI17</f>
        <v>83</v>
      </c>
      <c r="AI17">
        <v>18</v>
      </c>
      <c r="AK17">
        <f>AG17-H16</f>
        <v>7</v>
      </c>
      <c r="AM17">
        <v>4136.8620128766997</v>
      </c>
      <c r="AR17">
        <v>37.439989869646297</v>
      </c>
    </row>
    <row r="18" spans="1:47" x14ac:dyDescent="0.2">
      <c r="A18" t="s">
        <v>52</v>
      </c>
      <c r="B18">
        <v>9</v>
      </c>
      <c r="C18" t="s">
        <v>69</v>
      </c>
      <c r="D18">
        <v>1</v>
      </c>
      <c r="E18">
        <v>250</v>
      </c>
      <c r="F18">
        <v>127.599945431664</v>
      </c>
      <c r="G18">
        <v>43</v>
      </c>
      <c r="J18" s="13" t="s">
        <v>150</v>
      </c>
      <c r="L18">
        <v>258.571574309151</v>
      </c>
      <c r="N18">
        <v>257.081170059133</v>
      </c>
      <c r="O18">
        <v>989.06320923021804</v>
      </c>
      <c r="Q18">
        <v>28.361638392401701</v>
      </c>
      <c r="T18">
        <v>19</v>
      </c>
      <c r="U18">
        <v>49</v>
      </c>
      <c r="V18">
        <v>5517.7378350178597</v>
      </c>
      <c r="W18">
        <v>4505.51046449765</v>
      </c>
      <c r="X18">
        <v>7123.5563703592197</v>
      </c>
      <c r="Y18">
        <v>39.233367036017803</v>
      </c>
      <c r="Z18">
        <v>41.3037765635002</v>
      </c>
      <c r="AC18">
        <v>40</v>
      </c>
      <c r="AD18" s="7">
        <f>AC18+AE18</f>
        <v>48</v>
      </c>
      <c r="AE18">
        <v>8</v>
      </c>
      <c r="AH18" s="7"/>
      <c r="AQ18">
        <v>189.094207816081</v>
      </c>
    </row>
    <row r="19" spans="1:47" x14ac:dyDescent="0.2">
      <c r="A19" t="s">
        <v>52</v>
      </c>
      <c r="B19">
        <v>14</v>
      </c>
      <c r="C19" t="s">
        <v>79</v>
      </c>
      <c r="D19">
        <v>1</v>
      </c>
      <c r="E19">
        <v>500</v>
      </c>
      <c r="F19">
        <v>104.42319617049201</v>
      </c>
      <c r="H19">
        <v>135</v>
      </c>
      <c r="J19" s="13" t="s">
        <v>150</v>
      </c>
      <c r="L19">
        <v>80.303409034705496</v>
      </c>
      <c r="N19">
        <v>79.178618893669096</v>
      </c>
      <c r="O19">
        <v>409.08602799893703</v>
      </c>
      <c r="R19">
        <v>19.072360358633301</v>
      </c>
      <c r="AD19" s="7"/>
      <c r="AH19" s="7">
        <f>AG19+AI19</f>
        <v>0</v>
      </c>
      <c r="AN19">
        <v>603.53759111738202</v>
      </c>
      <c r="AR19">
        <v>30.896806178000698</v>
      </c>
      <c r="AT19">
        <v>12.938450630401601</v>
      </c>
      <c r="AU19">
        <v>35.0145842170772</v>
      </c>
    </row>
    <row r="20" spans="1:47" x14ac:dyDescent="0.2">
      <c r="A20" t="s">
        <v>52</v>
      </c>
      <c r="B20">
        <v>14</v>
      </c>
      <c r="C20" t="s">
        <v>79</v>
      </c>
      <c r="D20">
        <v>2</v>
      </c>
      <c r="E20">
        <v>500</v>
      </c>
      <c r="F20">
        <v>104.42319617049201</v>
      </c>
      <c r="G20">
        <v>292</v>
      </c>
      <c r="H20">
        <v>372</v>
      </c>
      <c r="J20" s="13" t="s">
        <v>150</v>
      </c>
      <c r="L20">
        <v>125.229336918774</v>
      </c>
      <c r="M20">
        <v>569.05107482103494</v>
      </c>
      <c r="N20">
        <v>124.198066510649</v>
      </c>
      <c r="O20">
        <v>558.47229803847904</v>
      </c>
      <c r="Q20">
        <v>19.072360358633301</v>
      </c>
      <c r="R20">
        <v>15.48440352405</v>
      </c>
      <c r="T20">
        <v>228</v>
      </c>
      <c r="U20">
        <v>307</v>
      </c>
      <c r="V20">
        <v>3857.6616504784301</v>
      </c>
      <c r="W20">
        <v>2439.11754765553</v>
      </c>
      <c r="X20">
        <v>4564.0823635045299</v>
      </c>
      <c r="Y20">
        <v>32.304298407615001</v>
      </c>
      <c r="Z20">
        <v>37.696505584987698</v>
      </c>
      <c r="AC20">
        <v>283</v>
      </c>
      <c r="AD20" s="7">
        <f t="shared" ref="AD20:AD32" si="0">AC20+AE20</f>
        <v>304</v>
      </c>
      <c r="AE20">
        <v>21</v>
      </c>
      <c r="AG20">
        <v>228</v>
      </c>
      <c r="AH20" s="7"/>
      <c r="AI20">
        <v>45</v>
      </c>
      <c r="AK20">
        <f>AG20-H19</f>
        <v>93</v>
      </c>
      <c r="AM20">
        <v>3550.0750002416298</v>
      </c>
      <c r="AQ20">
        <v>91.764713884502697</v>
      </c>
      <c r="AR20">
        <v>43.953957411590302</v>
      </c>
      <c r="AU20">
        <v>51.053788301616102</v>
      </c>
    </row>
    <row r="21" spans="1:47" x14ac:dyDescent="0.2">
      <c r="A21" t="s">
        <v>52</v>
      </c>
      <c r="B21">
        <v>15</v>
      </c>
      <c r="C21" t="s">
        <v>81</v>
      </c>
      <c r="D21">
        <v>1</v>
      </c>
      <c r="E21">
        <v>500</v>
      </c>
      <c r="F21">
        <v>105.265897657488</v>
      </c>
      <c r="G21">
        <v>102</v>
      </c>
      <c r="H21">
        <v>198</v>
      </c>
      <c r="J21" s="13" t="s">
        <v>150</v>
      </c>
      <c r="L21">
        <v>212.03565071282401</v>
      </c>
      <c r="M21">
        <v>625.11904862934898</v>
      </c>
      <c r="N21">
        <v>210.35802957118199</v>
      </c>
      <c r="O21">
        <v>621.85348206630204</v>
      </c>
      <c r="Q21">
        <v>73.743845703219904</v>
      </c>
      <c r="R21">
        <v>21.4329790582199</v>
      </c>
      <c r="T21">
        <v>60</v>
      </c>
      <c r="U21">
        <v>112</v>
      </c>
      <c r="V21">
        <v>3740.0989760867301</v>
      </c>
      <c r="W21">
        <v>3921.1532560529799</v>
      </c>
      <c r="X21">
        <v>5418.8359643358799</v>
      </c>
      <c r="Y21">
        <v>46.353788549581303</v>
      </c>
      <c r="Z21">
        <v>46.139306137540601</v>
      </c>
      <c r="AC21">
        <v>93</v>
      </c>
      <c r="AD21" s="7">
        <f t="shared" si="0"/>
        <v>110</v>
      </c>
      <c r="AE21">
        <v>17</v>
      </c>
      <c r="AG21">
        <v>62</v>
      </c>
      <c r="AH21" s="7">
        <f>AG21+AI21</f>
        <v>85</v>
      </c>
      <c r="AI21">
        <v>23</v>
      </c>
      <c r="AM21">
        <v>3258.2475712106898</v>
      </c>
      <c r="AN21">
        <v>524.765666199625</v>
      </c>
      <c r="AO21">
        <v>1958.72338686117</v>
      </c>
      <c r="AR21">
        <v>56.200803633435598</v>
      </c>
      <c r="AT21">
        <v>26.880680271197601</v>
      </c>
    </row>
    <row r="22" spans="1:47" x14ac:dyDescent="0.2">
      <c r="A22" t="s">
        <v>52</v>
      </c>
      <c r="B22">
        <v>15</v>
      </c>
      <c r="C22" t="s">
        <v>81</v>
      </c>
      <c r="D22">
        <v>2</v>
      </c>
      <c r="E22">
        <v>500</v>
      </c>
      <c r="F22">
        <v>105.265897657488</v>
      </c>
      <c r="G22">
        <v>285</v>
      </c>
      <c r="J22" s="13" t="s">
        <v>150</v>
      </c>
      <c r="L22">
        <v>243.84666489359901</v>
      </c>
      <c r="N22">
        <v>239.35697886422599</v>
      </c>
      <c r="O22">
        <v>601.54451309577496</v>
      </c>
      <c r="Q22">
        <v>21.4329790582199</v>
      </c>
      <c r="T22">
        <v>243</v>
      </c>
      <c r="U22">
        <v>295</v>
      </c>
      <c r="V22">
        <v>3467.61571935148</v>
      </c>
      <c r="W22">
        <v>4195.5430163429101</v>
      </c>
      <c r="X22">
        <v>5443.0634737321698</v>
      </c>
      <c r="Y22">
        <v>50.426273183416299</v>
      </c>
      <c r="Z22">
        <v>48.702465134472199</v>
      </c>
      <c r="AC22">
        <v>273</v>
      </c>
      <c r="AD22" s="7">
        <f t="shared" si="0"/>
        <v>294</v>
      </c>
      <c r="AE22">
        <v>21</v>
      </c>
      <c r="AG22">
        <v>225</v>
      </c>
      <c r="AH22" s="7">
        <f>AG22+AI22</f>
        <v>269</v>
      </c>
      <c r="AI22">
        <v>44</v>
      </c>
      <c r="AK22">
        <f>AG22-H21</f>
        <v>27</v>
      </c>
      <c r="AQ22">
        <v>69.611853005736194</v>
      </c>
      <c r="AR22">
        <v>42.566208903621103</v>
      </c>
      <c r="AU22">
        <v>43.390634197571103</v>
      </c>
    </row>
    <row r="23" spans="1:47" x14ac:dyDescent="0.2">
      <c r="A23" t="s">
        <v>52</v>
      </c>
      <c r="B23">
        <v>18</v>
      </c>
      <c r="C23" t="s">
        <v>87</v>
      </c>
      <c r="D23">
        <v>1</v>
      </c>
      <c r="E23">
        <v>500</v>
      </c>
      <c r="F23">
        <v>89.250502422763702</v>
      </c>
      <c r="G23">
        <v>100</v>
      </c>
      <c r="H23">
        <v>190</v>
      </c>
      <c r="J23" s="13" t="s">
        <v>150</v>
      </c>
      <c r="L23">
        <v>157.288085865656</v>
      </c>
      <c r="M23">
        <v>563.40305963047001</v>
      </c>
      <c r="N23">
        <v>154.30744460692199</v>
      </c>
      <c r="O23">
        <v>546.22614322038703</v>
      </c>
      <c r="Q23">
        <v>36.132158567158598</v>
      </c>
      <c r="R23">
        <v>18.208605025954299</v>
      </c>
      <c r="T23">
        <v>36</v>
      </c>
      <c r="U23">
        <v>107</v>
      </c>
      <c r="V23">
        <v>3670.3049395859598</v>
      </c>
      <c r="W23">
        <v>3147.6981651893602</v>
      </c>
      <c r="X23">
        <v>4835.1982470924204</v>
      </c>
      <c r="Y23">
        <v>40.616791973460302</v>
      </c>
      <c r="Z23">
        <v>41.322035013293601</v>
      </c>
      <c r="AC23">
        <v>91</v>
      </c>
      <c r="AD23" s="7">
        <f t="shared" si="0"/>
        <v>105</v>
      </c>
      <c r="AE23">
        <v>14</v>
      </c>
      <c r="AH23" s="7"/>
      <c r="AM23">
        <v>3133.6810157216401</v>
      </c>
      <c r="AN23">
        <v>522.03958788385603</v>
      </c>
      <c r="AO23">
        <v>2019.15887772717</v>
      </c>
      <c r="AR23">
        <v>45.347360388202297</v>
      </c>
      <c r="AT23">
        <v>29.414269902724101</v>
      </c>
    </row>
    <row r="24" spans="1:47" x14ac:dyDescent="0.2">
      <c r="A24" t="s">
        <v>52</v>
      </c>
      <c r="B24">
        <v>18</v>
      </c>
      <c r="C24" t="s">
        <v>87</v>
      </c>
      <c r="D24">
        <v>2</v>
      </c>
      <c r="E24">
        <v>500</v>
      </c>
      <c r="F24">
        <v>89.250502422763702</v>
      </c>
      <c r="G24">
        <v>257</v>
      </c>
      <c r="J24" s="13" t="s">
        <v>150</v>
      </c>
      <c r="L24">
        <v>201.56178513928501</v>
      </c>
      <c r="N24">
        <v>200.323318903092</v>
      </c>
      <c r="O24">
        <v>536.63303978275599</v>
      </c>
      <c r="Q24">
        <v>18.208605025954299</v>
      </c>
      <c r="T24">
        <v>195</v>
      </c>
      <c r="U24">
        <v>266</v>
      </c>
      <c r="V24">
        <v>2974.2521141079201</v>
      </c>
      <c r="W24">
        <v>3572.0357837594602</v>
      </c>
      <c r="X24">
        <v>4648.1840839981296</v>
      </c>
      <c r="Y24">
        <v>50.217575817668298</v>
      </c>
      <c r="Z24">
        <v>46.373190831197597</v>
      </c>
      <c r="AC24">
        <v>247</v>
      </c>
      <c r="AD24" s="7">
        <f t="shared" si="0"/>
        <v>263</v>
      </c>
      <c r="AE24">
        <v>16</v>
      </c>
      <c r="AG24">
        <v>211</v>
      </c>
      <c r="AH24" s="7">
        <f>AG24+AI24</f>
        <v>240</v>
      </c>
      <c r="AI24">
        <v>29</v>
      </c>
      <c r="AK24">
        <f>AG24-H23</f>
        <v>21</v>
      </c>
      <c r="AQ24">
        <v>134.11292697098801</v>
      </c>
      <c r="AR24">
        <v>125.509976959273</v>
      </c>
      <c r="AU24">
        <v>33.277995105136398</v>
      </c>
    </row>
    <row r="25" spans="1:47" x14ac:dyDescent="0.2">
      <c r="A25" t="s">
        <v>52</v>
      </c>
      <c r="B25">
        <v>20</v>
      </c>
      <c r="C25" t="s">
        <v>91</v>
      </c>
      <c r="D25">
        <v>1</v>
      </c>
      <c r="E25">
        <v>500</v>
      </c>
      <c r="F25">
        <v>110.340639016795</v>
      </c>
      <c r="G25">
        <v>89</v>
      </c>
      <c r="H25">
        <v>150</v>
      </c>
      <c r="J25" s="13" t="s">
        <v>150</v>
      </c>
      <c r="L25">
        <v>93.699815971153996</v>
      </c>
      <c r="M25">
        <v>447.73267119450998</v>
      </c>
      <c r="N25">
        <v>93.661616788739394</v>
      </c>
      <c r="O25">
        <v>443.923852516149</v>
      </c>
      <c r="Q25">
        <v>11.486614271348699</v>
      </c>
      <c r="R25">
        <v>18.0502530776272</v>
      </c>
      <c r="T25">
        <v>41</v>
      </c>
      <c r="U25">
        <v>87</v>
      </c>
      <c r="V25">
        <v>4276.1405459315001</v>
      </c>
      <c r="W25">
        <v>3962.6749869929499</v>
      </c>
      <c r="X25">
        <v>5829.9374800334599</v>
      </c>
      <c r="Y25">
        <v>42.821095211295599</v>
      </c>
      <c r="Z25">
        <v>40.336714114990997</v>
      </c>
      <c r="AC25">
        <v>67</v>
      </c>
      <c r="AD25" s="7">
        <f t="shared" si="0"/>
        <v>85</v>
      </c>
      <c r="AE25">
        <v>18</v>
      </c>
      <c r="AH25" s="7"/>
      <c r="AM25">
        <v>3685.1379612017199</v>
      </c>
      <c r="AN25">
        <v>693.80677853936004</v>
      </c>
      <c r="AO25">
        <v>1848.6878047571099</v>
      </c>
      <c r="AR25">
        <v>38.8857873355675</v>
      </c>
      <c r="AT25">
        <v>20.445216636969999</v>
      </c>
    </row>
    <row r="26" spans="1:47" x14ac:dyDescent="0.2">
      <c r="A26" t="s">
        <v>52</v>
      </c>
      <c r="B26">
        <v>20</v>
      </c>
      <c r="C26" t="s">
        <v>91</v>
      </c>
      <c r="D26">
        <v>2</v>
      </c>
      <c r="E26">
        <v>500</v>
      </c>
      <c r="F26">
        <v>110.340639016795</v>
      </c>
      <c r="G26">
        <v>247</v>
      </c>
      <c r="J26" s="13" t="s">
        <v>151</v>
      </c>
      <c r="Q26">
        <v>18.0502530776272</v>
      </c>
      <c r="T26">
        <v>216</v>
      </c>
      <c r="U26">
        <v>262</v>
      </c>
      <c r="V26">
        <v>5197.7901923252202</v>
      </c>
      <c r="W26">
        <v>3200.7919586466201</v>
      </c>
      <c r="X26">
        <v>6104.2683464907705</v>
      </c>
      <c r="Y26">
        <v>31.624703672146602</v>
      </c>
      <c r="Z26">
        <v>38.353473934464802</v>
      </c>
      <c r="AC26">
        <v>242</v>
      </c>
      <c r="AD26" s="7">
        <f t="shared" si="0"/>
        <v>257</v>
      </c>
      <c r="AE26">
        <v>15</v>
      </c>
      <c r="AG26">
        <v>188</v>
      </c>
      <c r="AH26" s="7">
        <f>AG26+AI26</f>
        <v>229</v>
      </c>
      <c r="AI26">
        <v>41</v>
      </c>
      <c r="AK26">
        <f>AG26-H25</f>
        <v>38</v>
      </c>
      <c r="AQ26">
        <v>211.603985721642</v>
      </c>
      <c r="AR26">
        <v>40.9623527784914</v>
      </c>
      <c r="AU26">
        <v>33.361853647885098</v>
      </c>
    </row>
    <row r="27" spans="1:47" x14ac:dyDescent="0.2">
      <c r="A27" t="s">
        <v>52</v>
      </c>
      <c r="B27">
        <v>21</v>
      </c>
      <c r="C27" t="s">
        <v>93</v>
      </c>
      <c r="D27">
        <v>1</v>
      </c>
      <c r="E27">
        <v>500</v>
      </c>
      <c r="F27">
        <v>96.065095613018897</v>
      </c>
      <c r="G27">
        <v>212</v>
      </c>
      <c r="H27">
        <v>297</v>
      </c>
      <c r="J27" s="13" t="s">
        <v>150</v>
      </c>
      <c r="L27">
        <v>145.14639328426</v>
      </c>
      <c r="M27">
        <v>569.85653056506101</v>
      </c>
      <c r="N27">
        <v>144.94292096352001</v>
      </c>
      <c r="O27">
        <v>563.923406399236</v>
      </c>
      <c r="Q27">
        <v>16.612557301321701</v>
      </c>
      <c r="R27">
        <v>15.8216279947667</v>
      </c>
      <c r="T27">
        <v>174</v>
      </c>
      <c r="U27">
        <v>226</v>
      </c>
      <c r="V27">
        <v>3714.4389995281399</v>
      </c>
      <c r="W27">
        <v>2785.0417468112</v>
      </c>
      <c r="X27">
        <v>4642.5762904552003</v>
      </c>
      <c r="Y27">
        <v>36.862122550963903</v>
      </c>
      <c r="Z27">
        <v>37.893722670617898</v>
      </c>
      <c r="AC27">
        <v>204</v>
      </c>
      <c r="AD27" s="7">
        <f t="shared" si="0"/>
        <v>223</v>
      </c>
      <c r="AE27">
        <v>19</v>
      </c>
      <c r="AG27">
        <v>137</v>
      </c>
      <c r="AH27" s="7">
        <f>AG27+AI27</f>
        <v>193</v>
      </c>
      <c r="AI27">
        <v>56</v>
      </c>
      <c r="AM27">
        <v>3346.46739757257</v>
      </c>
      <c r="AN27">
        <v>567.67829578351598</v>
      </c>
      <c r="AO27">
        <v>1436.04989009259</v>
      </c>
      <c r="AR27">
        <v>40.241873429156598</v>
      </c>
      <c r="AT27">
        <v>14.708184758856</v>
      </c>
    </row>
    <row r="28" spans="1:47" x14ac:dyDescent="0.2">
      <c r="A28" t="s">
        <v>52</v>
      </c>
      <c r="B28">
        <v>21</v>
      </c>
      <c r="C28" t="s">
        <v>93</v>
      </c>
      <c r="D28">
        <v>2</v>
      </c>
      <c r="E28">
        <v>500</v>
      </c>
      <c r="F28">
        <v>96.065095613018897</v>
      </c>
      <c r="G28">
        <v>484</v>
      </c>
      <c r="J28" s="13" t="s">
        <v>151</v>
      </c>
      <c r="Q28">
        <v>15.8216279947667</v>
      </c>
      <c r="T28">
        <v>444</v>
      </c>
      <c r="U28">
        <v>496</v>
      </c>
      <c r="V28">
        <v>3579.7643428350598</v>
      </c>
      <c r="W28">
        <v>2669.8074847558501</v>
      </c>
      <c r="X28">
        <v>4465.7121219231803</v>
      </c>
      <c r="Y28">
        <v>36.715773708245003</v>
      </c>
      <c r="Z28">
        <v>34.080024352862601</v>
      </c>
      <c r="AC28">
        <v>475</v>
      </c>
      <c r="AD28" s="7">
        <f t="shared" si="0"/>
        <v>495</v>
      </c>
      <c r="AE28">
        <v>20</v>
      </c>
      <c r="AG28">
        <v>416</v>
      </c>
      <c r="AH28" s="7">
        <f>AG28+AI28</f>
        <v>460</v>
      </c>
      <c r="AI28">
        <v>44</v>
      </c>
      <c r="AK28">
        <f>AG28-H27</f>
        <v>119</v>
      </c>
      <c r="AQ28">
        <v>212.34933467929</v>
      </c>
      <c r="AR28">
        <v>30.970498813797999</v>
      </c>
      <c r="AU28">
        <v>33.256421718280798</v>
      </c>
    </row>
    <row r="29" spans="1:47" x14ac:dyDescent="0.2">
      <c r="A29" t="s">
        <v>52</v>
      </c>
      <c r="B29">
        <v>22</v>
      </c>
      <c r="C29" t="s">
        <v>95</v>
      </c>
      <c r="D29">
        <v>1</v>
      </c>
      <c r="E29">
        <v>500</v>
      </c>
      <c r="F29">
        <v>94.061775426335799</v>
      </c>
      <c r="G29">
        <v>260</v>
      </c>
      <c r="H29">
        <v>344</v>
      </c>
      <c r="J29" s="13" t="s">
        <v>150</v>
      </c>
      <c r="L29">
        <v>133.59118750819599</v>
      </c>
      <c r="M29">
        <v>568.83592732013005</v>
      </c>
      <c r="N29">
        <v>133.86350508840101</v>
      </c>
      <c r="O29">
        <v>560.89438588914004</v>
      </c>
      <c r="Q29">
        <v>16.078665512629598</v>
      </c>
      <c r="R29">
        <v>19.2830027587502</v>
      </c>
      <c r="T29">
        <v>229</v>
      </c>
      <c r="U29">
        <v>273</v>
      </c>
      <c r="V29">
        <v>3686.9525588228598</v>
      </c>
      <c r="W29">
        <v>2681.0948836443799</v>
      </c>
      <c r="X29">
        <v>4558.7157123596198</v>
      </c>
      <c r="Y29">
        <v>36.0240682980386</v>
      </c>
      <c r="Z29">
        <v>32.411075495725797</v>
      </c>
      <c r="AC29">
        <v>245</v>
      </c>
      <c r="AD29" s="7">
        <f t="shared" si="0"/>
        <v>271</v>
      </c>
      <c r="AE29">
        <v>26</v>
      </c>
      <c r="AG29">
        <v>160</v>
      </c>
      <c r="AH29" s="7">
        <f>AG29+AI29</f>
        <v>237</v>
      </c>
      <c r="AI29">
        <v>77</v>
      </c>
      <c r="AM29">
        <v>3380.68522459103</v>
      </c>
      <c r="AN29">
        <v>558.39318216410197</v>
      </c>
      <c r="AO29">
        <v>1420.4751151236001</v>
      </c>
      <c r="AR29">
        <v>34.640105082222497</v>
      </c>
      <c r="AT29">
        <v>12.147102981608301</v>
      </c>
    </row>
    <row r="30" spans="1:47" x14ac:dyDescent="0.2">
      <c r="A30" t="s">
        <v>52</v>
      </c>
      <c r="B30">
        <v>22</v>
      </c>
      <c r="C30" t="s">
        <v>95</v>
      </c>
      <c r="D30">
        <v>2</v>
      </c>
      <c r="E30">
        <v>500</v>
      </c>
      <c r="F30">
        <v>94.061775426335799</v>
      </c>
      <c r="G30">
        <v>535</v>
      </c>
      <c r="J30" s="13" t="s">
        <v>150</v>
      </c>
      <c r="L30">
        <v>109.56226530162699</v>
      </c>
      <c r="N30">
        <v>108.896400927903</v>
      </c>
      <c r="O30">
        <v>443.19331702795898</v>
      </c>
      <c r="Q30">
        <v>19.2830027587502</v>
      </c>
      <c r="T30">
        <v>504</v>
      </c>
      <c r="U30">
        <v>548</v>
      </c>
      <c r="V30">
        <v>3453.3481709538</v>
      </c>
      <c r="W30">
        <v>2369.6974989273499</v>
      </c>
      <c r="X30">
        <v>4188.2072329640696</v>
      </c>
      <c r="Y30">
        <v>34.458026562328897</v>
      </c>
      <c r="Z30">
        <v>31.571482139823399</v>
      </c>
      <c r="AC30">
        <v>522</v>
      </c>
      <c r="AD30" s="7">
        <f t="shared" si="0"/>
        <v>546</v>
      </c>
      <c r="AE30">
        <v>24</v>
      </c>
      <c r="AG30">
        <v>463</v>
      </c>
      <c r="AH30" s="7">
        <f>AG30+AI30</f>
        <v>509</v>
      </c>
      <c r="AI30">
        <v>46</v>
      </c>
      <c r="AK30">
        <f>AG30-H29</f>
        <v>119</v>
      </c>
      <c r="AQ30">
        <v>110.304319877983</v>
      </c>
      <c r="AR30">
        <v>30.948367780854401</v>
      </c>
      <c r="AU30">
        <v>43.387656740001198</v>
      </c>
    </row>
    <row r="31" spans="1:47" x14ac:dyDescent="0.2">
      <c r="A31" t="s">
        <v>52</v>
      </c>
      <c r="B31">
        <v>23</v>
      </c>
      <c r="C31" t="s">
        <v>97</v>
      </c>
      <c r="D31">
        <v>1</v>
      </c>
      <c r="E31">
        <v>500</v>
      </c>
      <c r="F31">
        <v>111.731253028521</v>
      </c>
      <c r="G31">
        <v>95</v>
      </c>
      <c r="H31">
        <v>192</v>
      </c>
      <c r="J31" s="13" t="s">
        <v>150</v>
      </c>
      <c r="L31">
        <v>225.35864484648999</v>
      </c>
      <c r="M31">
        <v>749.59016021084005</v>
      </c>
      <c r="N31">
        <v>224.22339110637199</v>
      </c>
      <c r="O31">
        <v>739.60727668032996</v>
      </c>
      <c r="Q31">
        <v>21.911038365996099</v>
      </c>
      <c r="R31">
        <v>18.8824273871993</v>
      </c>
      <c r="T31">
        <v>41</v>
      </c>
      <c r="U31">
        <v>107</v>
      </c>
      <c r="V31">
        <v>4112.3536950007201</v>
      </c>
      <c r="W31">
        <v>4073.4927667485599</v>
      </c>
      <c r="X31">
        <v>5788.3327680376897</v>
      </c>
      <c r="Y31">
        <v>44.727999974027398</v>
      </c>
      <c r="Z31">
        <v>48.6199456178323</v>
      </c>
      <c r="AC31">
        <v>89</v>
      </c>
      <c r="AD31" s="7">
        <f t="shared" si="0"/>
        <v>106</v>
      </c>
      <c r="AE31">
        <v>17</v>
      </c>
      <c r="AH31" s="7"/>
      <c r="AM31">
        <v>3860.54260457697</v>
      </c>
      <c r="AN31">
        <v>795.82224214284201</v>
      </c>
      <c r="AO31">
        <v>2586.6528153724198</v>
      </c>
      <c r="AR31">
        <v>56.602618135713698</v>
      </c>
      <c r="AT31">
        <v>29.789232590349599</v>
      </c>
    </row>
    <row r="32" spans="1:47" x14ac:dyDescent="0.2">
      <c r="A32" t="s">
        <v>52</v>
      </c>
      <c r="B32">
        <v>23</v>
      </c>
      <c r="C32" t="s">
        <v>97</v>
      </c>
      <c r="D32">
        <v>2</v>
      </c>
      <c r="E32">
        <v>500</v>
      </c>
      <c r="F32">
        <v>111.731253028521</v>
      </c>
      <c r="G32">
        <v>261</v>
      </c>
      <c r="J32" s="13" t="s">
        <v>151</v>
      </c>
      <c r="Q32">
        <v>18.8824273871993</v>
      </c>
      <c r="T32">
        <v>205</v>
      </c>
      <c r="U32">
        <v>271</v>
      </c>
      <c r="V32">
        <v>4792.0231976472996</v>
      </c>
      <c r="W32">
        <v>5046.5404811286899</v>
      </c>
      <c r="X32">
        <v>6959.2425704569596</v>
      </c>
      <c r="Y32">
        <v>46.481874275061102</v>
      </c>
      <c r="Z32">
        <v>46.346590626454997</v>
      </c>
      <c r="AC32">
        <v>253</v>
      </c>
      <c r="AD32" s="7">
        <f t="shared" si="0"/>
        <v>269</v>
      </c>
      <c r="AE32">
        <v>16</v>
      </c>
      <c r="AG32">
        <v>203</v>
      </c>
      <c r="AH32" s="7">
        <f>AG32+AI32</f>
        <v>248</v>
      </c>
      <c r="AI32">
        <v>45</v>
      </c>
      <c r="AK32">
        <f>AG32-H31</f>
        <v>11</v>
      </c>
    </row>
    <row r="33" spans="1:47" x14ac:dyDescent="0.2">
      <c r="AD33" s="7"/>
      <c r="AH33" s="7"/>
    </row>
    <row r="34" spans="1:47" x14ac:dyDescent="0.2">
      <c r="A34" t="s">
        <v>101</v>
      </c>
      <c r="B34">
        <v>3</v>
      </c>
      <c r="C34" t="s">
        <v>106</v>
      </c>
      <c r="D34">
        <v>1</v>
      </c>
      <c r="E34">
        <v>250</v>
      </c>
      <c r="F34">
        <v>110.860816345215</v>
      </c>
      <c r="G34">
        <v>69</v>
      </c>
      <c r="H34">
        <v>94</v>
      </c>
      <c r="J34" s="13" t="s">
        <v>150</v>
      </c>
      <c r="L34">
        <v>52.826479963909001</v>
      </c>
      <c r="M34">
        <v>456.96045006206998</v>
      </c>
      <c r="N34">
        <v>51.090207188814297</v>
      </c>
      <c r="O34">
        <v>429.357379401142</v>
      </c>
      <c r="Q34">
        <v>11.695709980432699</v>
      </c>
      <c r="R34">
        <v>15.3744505490204</v>
      </c>
      <c r="T34">
        <v>48</v>
      </c>
      <c r="U34">
        <v>75</v>
      </c>
      <c r="V34">
        <v>5166.61110069395</v>
      </c>
      <c r="W34">
        <v>1523.8165764287401</v>
      </c>
      <c r="X34">
        <v>5386.6396969180096</v>
      </c>
      <c r="Y34">
        <v>16.4326548378029</v>
      </c>
      <c r="Z34">
        <v>19.483362251393899</v>
      </c>
      <c r="AC34">
        <v>65</v>
      </c>
      <c r="AD34" s="7">
        <f>AC34+AE34</f>
        <v>75</v>
      </c>
      <c r="AE34">
        <v>10</v>
      </c>
      <c r="AG34">
        <v>45</v>
      </c>
      <c r="AH34" s="7">
        <f>AG34+AI34</f>
        <v>65</v>
      </c>
      <c r="AI34">
        <v>20</v>
      </c>
      <c r="AM34">
        <v>4545.1347150957599</v>
      </c>
      <c r="AN34">
        <v>1418.7025157154201</v>
      </c>
      <c r="AO34">
        <v>2327.54908530273</v>
      </c>
      <c r="AQ34">
        <v>343.853767294367</v>
      </c>
      <c r="AR34">
        <v>27.737520608644701</v>
      </c>
      <c r="AU34">
        <v>16.509101399222999</v>
      </c>
    </row>
    <row r="35" spans="1:47" x14ac:dyDescent="0.2">
      <c r="A35" t="s">
        <v>101</v>
      </c>
      <c r="B35">
        <v>3</v>
      </c>
      <c r="C35" t="s">
        <v>106</v>
      </c>
      <c r="D35">
        <v>2</v>
      </c>
      <c r="E35">
        <v>250</v>
      </c>
      <c r="F35">
        <v>110.860816345215</v>
      </c>
      <c r="G35">
        <v>155</v>
      </c>
      <c r="J35" s="13" t="s">
        <v>151</v>
      </c>
      <c r="Q35">
        <v>15.3744505490204</v>
      </c>
      <c r="T35">
        <v>133</v>
      </c>
      <c r="U35">
        <v>160</v>
      </c>
      <c r="V35">
        <v>4311.5101332517797</v>
      </c>
      <c r="W35">
        <v>3617.7836367556101</v>
      </c>
      <c r="X35">
        <v>5628.2748752623502</v>
      </c>
      <c r="Y35">
        <v>39.999977183092597</v>
      </c>
      <c r="Z35">
        <v>40.506340142945298</v>
      </c>
      <c r="AC35">
        <v>154</v>
      </c>
      <c r="AD35" s="7">
        <f>AC35+AE35</f>
        <v>160</v>
      </c>
      <c r="AE35">
        <v>6</v>
      </c>
      <c r="AG35">
        <v>133</v>
      </c>
      <c r="AH35" s="7">
        <f>AG35+AI35</f>
        <v>150</v>
      </c>
      <c r="AI35">
        <v>17</v>
      </c>
      <c r="AK35">
        <f>AG35-H34</f>
        <v>39</v>
      </c>
      <c r="AR35">
        <v>37.914077705865999</v>
      </c>
      <c r="AT35">
        <v>17.401934180859801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53"/>
  <sheetViews>
    <sheetView windowProtection="1" zoomScaleNormal="100" workbookViewId="0">
      <pane xSplit="3" ySplit="1" topLeftCell="AD2" activePane="bottomRight" state="frozen"/>
      <selection pane="topRight" activeCell="Y1" sqref="Y1"/>
      <selection pane="bottomLeft" activeCell="A2" sqref="A2"/>
      <selection pane="bottomRight" activeCell="AG29" sqref="AG29"/>
    </sheetView>
  </sheetViews>
  <sheetFormatPr defaultRowHeight="12.75" x14ac:dyDescent="0.2"/>
  <cols>
    <col min="1" max="1025" width="8.5703125"/>
  </cols>
  <sheetData>
    <row r="1" spans="1:1024" s="3" customFormat="1" ht="102" x14ac:dyDescent="0.2">
      <c r="A1" s="3" t="s">
        <v>115</v>
      </c>
      <c r="B1" s="3" t="s">
        <v>1</v>
      </c>
      <c r="C1" s="3" t="s">
        <v>2</v>
      </c>
      <c r="D1" s="3" t="s">
        <v>116</v>
      </c>
      <c r="E1" s="3" t="s">
        <v>117</v>
      </c>
      <c r="F1" s="3" t="s">
        <v>118</v>
      </c>
      <c r="G1" s="3" t="s">
        <v>152</v>
      </c>
      <c r="H1" s="3" t="s">
        <v>120</v>
      </c>
      <c r="J1" s="3" t="s">
        <v>123</v>
      </c>
      <c r="K1" s="3" t="s">
        <v>124</v>
      </c>
      <c r="L1" s="3" t="s">
        <v>125</v>
      </c>
      <c r="M1" s="3" t="s">
        <v>126</v>
      </c>
      <c r="O1" s="3" t="s">
        <v>127</v>
      </c>
      <c r="P1" s="3" t="s">
        <v>128</v>
      </c>
      <c r="R1" s="3" t="s">
        <v>129</v>
      </c>
      <c r="S1" s="3" t="s">
        <v>130</v>
      </c>
      <c r="T1" s="3" t="s">
        <v>131</v>
      </c>
      <c r="U1" s="3" t="s">
        <v>132</v>
      </c>
      <c r="V1" s="3" t="s">
        <v>133</v>
      </c>
      <c r="W1" s="3" t="s">
        <v>134</v>
      </c>
      <c r="X1" s="3" t="s">
        <v>135</v>
      </c>
      <c r="AA1" s="3" t="s">
        <v>136</v>
      </c>
      <c r="AB1" s="3" t="s">
        <v>137</v>
      </c>
      <c r="AC1" s="3" t="s">
        <v>138</v>
      </c>
      <c r="AE1" s="3" t="s">
        <v>139</v>
      </c>
      <c r="AF1" s="3" t="s">
        <v>140</v>
      </c>
      <c r="AG1" s="3" t="s">
        <v>141</v>
      </c>
      <c r="AI1" s="3" t="s">
        <v>142</v>
      </c>
      <c r="AK1" s="3" t="s">
        <v>143</v>
      </c>
      <c r="AL1" s="3" t="s">
        <v>153</v>
      </c>
      <c r="AM1" s="3" t="s">
        <v>154</v>
      </c>
      <c r="AN1" s="3" t="s">
        <v>145</v>
      </c>
      <c r="AP1" s="3" t="s">
        <v>155</v>
      </c>
      <c r="AQ1" s="3" t="s">
        <v>156</v>
      </c>
      <c r="AS1" s="3" t="s">
        <v>157</v>
      </c>
      <c r="AT1" s="3" t="s">
        <v>158</v>
      </c>
      <c r="AV1" s="3" t="s">
        <v>159</v>
      </c>
      <c r="AW1" s="3" t="s">
        <v>149</v>
      </c>
      <c r="AX1" s="3" t="s">
        <v>160</v>
      </c>
      <c r="AMH1"/>
      <c r="AMI1"/>
      <c r="AMJ1"/>
    </row>
    <row r="2" spans="1:1024" x14ac:dyDescent="0.2">
      <c r="A2" t="s">
        <v>18</v>
      </c>
      <c r="B2">
        <v>5</v>
      </c>
      <c r="C2" t="s">
        <v>27</v>
      </c>
      <c r="D2">
        <v>1</v>
      </c>
      <c r="E2">
        <v>500</v>
      </c>
      <c r="F2">
        <v>109.45465850830099</v>
      </c>
      <c r="G2">
        <v>75</v>
      </c>
      <c r="H2">
        <v>173</v>
      </c>
      <c r="J2">
        <v>232.58420521081501</v>
      </c>
      <c r="K2">
        <v>584.37494251560599</v>
      </c>
      <c r="L2">
        <v>231.85585433596799</v>
      </c>
      <c r="M2">
        <v>581.97467248225905</v>
      </c>
      <c r="O2">
        <v>50.660018446815101</v>
      </c>
      <c r="P2">
        <v>20.860298290143799</v>
      </c>
      <c r="R2">
        <v>20</v>
      </c>
      <c r="S2">
        <v>83</v>
      </c>
      <c r="T2">
        <v>3175.37126864633</v>
      </c>
      <c r="U2">
        <v>4569.8274672502603</v>
      </c>
      <c r="V2">
        <v>5564.7377093785399</v>
      </c>
      <c r="W2">
        <v>55.206269695275203</v>
      </c>
      <c r="X2">
        <v>57.228400496189302</v>
      </c>
      <c r="AA2">
        <v>70</v>
      </c>
      <c r="AB2">
        <f>AA2+AC2</f>
        <v>81</v>
      </c>
      <c r="AC2">
        <v>11</v>
      </c>
      <c r="AE2">
        <v>185</v>
      </c>
      <c r="AF2">
        <f>AE2+AG2</f>
        <v>217</v>
      </c>
      <c r="AG2">
        <v>32</v>
      </c>
      <c r="AI2">
        <f>-(H2-AE2)</f>
        <v>12</v>
      </c>
      <c r="AK2">
        <v>2982.1884381179002</v>
      </c>
      <c r="AL2">
        <v>1759.1940107371699</v>
      </c>
      <c r="AM2">
        <v>599.83870605873597</v>
      </c>
      <c r="AN2">
        <v>2216.50796460732</v>
      </c>
      <c r="AP2">
        <v>18.352076525740902</v>
      </c>
      <c r="AQ2">
        <v>52.768197693977399</v>
      </c>
      <c r="AS2">
        <v>37.242273126095199</v>
      </c>
      <c r="AT2">
        <v>62.447276722804403</v>
      </c>
      <c r="AV2">
        <v>47.6882300997245</v>
      </c>
      <c r="AW2">
        <v>50.088873703648403</v>
      </c>
      <c r="AX2">
        <v>26.548743272242401</v>
      </c>
    </row>
    <row r="3" spans="1:1024" x14ac:dyDescent="0.2">
      <c r="A3" t="s">
        <v>18</v>
      </c>
      <c r="B3">
        <v>6</v>
      </c>
      <c r="C3" t="s">
        <v>29</v>
      </c>
      <c r="D3">
        <v>2</v>
      </c>
      <c r="E3">
        <v>500</v>
      </c>
      <c r="F3">
        <v>92.386999745719393</v>
      </c>
      <c r="G3">
        <v>119</v>
      </c>
      <c r="H3">
        <v>227</v>
      </c>
      <c r="J3">
        <v>231.67427717744599</v>
      </c>
      <c r="K3">
        <v>661.32430748032095</v>
      </c>
      <c r="L3">
        <v>232.86142411967501</v>
      </c>
      <c r="M3">
        <v>660.45029169398003</v>
      </c>
      <c r="O3">
        <v>51.245615204769202</v>
      </c>
      <c r="P3">
        <v>16.680122037961802</v>
      </c>
      <c r="R3">
        <v>109</v>
      </c>
      <c r="S3">
        <v>128</v>
      </c>
      <c r="T3">
        <v>3415.4655073448198</v>
      </c>
      <c r="U3">
        <v>4274.8389318538702</v>
      </c>
      <c r="V3">
        <v>5471.7138562936298</v>
      </c>
      <c r="W3">
        <v>51.376215268814697</v>
      </c>
      <c r="X3">
        <v>58.727543739788203</v>
      </c>
      <c r="AA3">
        <v>109</v>
      </c>
      <c r="AB3">
        <f>AA3+AC3</f>
        <v>126</v>
      </c>
      <c r="AC3">
        <v>17</v>
      </c>
      <c r="AE3">
        <v>250</v>
      </c>
      <c r="AF3">
        <f>AE3+AG3</f>
        <v>302</v>
      </c>
      <c r="AG3">
        <v>52</v>
      </c>
      <c r="AI3">
        <f>-(H3-AE3)</f>
        <v>23</v>
      </c>
      <c r="AK3">
        <v>3062.3320379540601</v>
      </c>
      <c r="AL3">
        <v>1059.47051866983</v>
      </c>
      <c r="AM3">
        <v>597.14528505770397</v>
      </c>
      <c r="AN3">
        <v>1986.1884730009201</v>
      </c>
      <c r="AP3">
        <v>23.0979773588714</v>
      </c>
      <c r="AQ3">
        <v>90.713123972154804</v>
      </c>
      <c r="AS3">
        <v>38.431704043906997</v>
      </c>
      <c r="AT3">
        <v>52.573139726283401</v>
      </c>
      <c r="AV3">
        <v>45.566203626537103</v>
      </c>
      <c r="AW3">
        <v>43.320038280947699</v>
      </c>
      <c r="AX3">
        <v>25.4257297626908</v>
      </c>
    </row>
    <row r="4" spans="1:1024" x14ac:dyDescent="0.2">
      <c r="A4" t="s">
        <v>18</v>
      </c>
      <c r="B4">
        <v>10</v>
      </c>
      <c r="C4" t="s">
        <v>37</v>
      </c>
      <c r="D4">
        <v>2</v>
      </c>
      <c r="E4">
        <v>250</v>
      </c>
      <c r="F4">
        <v>78.758538062936594</v>
      </c>
      <c r="G4">
        <v>150</v>
      </c>
      <c r="H4">
        <v>197</v>
      </c>
      <c r="J4">
        <v>163.056699188544</v>
      </c>
      <c r="K4">
        <v>646.480562189181</v>
      </c>
      <c r="L4">
        <v>161.50836466056799</v>
      </c>
      <c r="M4">
        <v>637.02753479619901</v>
      </c>
      <c r="O4">
        <v>30.504450062468099</v>
      </c>
      <c r="P4">
        <v>16.8147726844667</v>
      </c>
      <c r="R4">
        <v>134</v>
      </c>
      <c r="S4">
        <v>157</v>
      </c>
      <c r="T4">
        <v>3598.4565193070698</v>
      </c>
      <c r="U4">
        <v>2843.5346299757398</v>
      </c>
      <c r="V4">
        <v>4586.34696825424</v>
      </c>
      <c r="W4">
        <v>38.316126666284497</v>
      </c>
      <c r="X4">
        <v>40.758666294248002</v>
      </c>
      <c r="AA4">
        <v>148</v>
      </c>
      <c r="AB4">
        <f>AA4+AC4</f>
        <v>155</v>
      </c>
      <c r="AC4">
        <v>7</v>
      </c>
      <c r="AE4">
        <v>224</v>
      </c>
      <c r="AF4">
        <f>AE4+AG4</f>
        <v>237</v>
      </c>
      <c r="AG4">
        <v>13</v>
      </c>
      <c r="AI4">
        <f>-(H4-AE4)</f>
        <v>27</v>
      </c>
      <c r="AK4">
        <v>3429.8494363340301</v>
      </c>
      <c r="AL4">
        <v>1289.9977574141301</v>
      </c>
      <c r="AM4">
        <v>789.36067529184197</v>
      </c>
      <c r="AN4">
        <v>2179.4078523276999</v>
      </c>
      <c r="AP4">
        <v>11.880640395395901</v>
      </c>
      <c r="AQ4">
        <v>127.558354545795</v>
      </c>
      <c r="AS4">
        <v>14.940107295075199</v>
      </c>
      <c r="AT4">
        <v>30.579622108423301</v>
      </c>
      <c r="AV4">
        <v>26.721839016643202</v>
      </c>
      <c r="AW4">
        <v>32.949125017388504</v>
      </c>
      <c r="AX4">
        <v>27.527811942271001</v>
      </c>
    </row>
    <row r="6" spans="1:1024" x14ac:dyDescent="0.2">
      <c r="A6" t="s">
        <v>52</v>
      </c>
      <c r="B6">
        <v>4</v>
      </c>
      <c r="C6" t="s">
        <v>59</v>
      </c>
      <c r="D6">
        <v>1</v>
      </c>
      <c r="E6">
        <v>250</v>
      </c>
      <c r="F6">
        <v>102.04534566778899</v>
      </c>
      <c r="G6">
        <v>148</v>
      </c>
      <c r="H6">
        <v>202</v>
      </c>
      <c r="J6">
        <v>263.91380323678698</v>
      </c>
      <c r="K6">
        <v>712.21255126337701</v>
      </c>
      <c r="L6">
        <v>265.34798172139199</v>
      </c>
      <c r="M6">
        <v>709.44442592131895</v>
      </c>
      <c r="O6">
        <v>54.935321488494303</v>
      </c>
      <c r="P6">
        <v>21.1174403347256</v>
      </c>
      <c r="R6">
        <v>25</v>
      </c>
      <c r="S6">
        <v>152</v>
      </c>
      <c r="T6">
        <v>3464.48867733932</v>
      </c>
      <c r="U6">
        <v>4599.3109469943201</v>
      </c>
      <c r="V6">
        <v>5758.1544771353701</v>
      </c>
      <c r="W6">
        <v>53.010654283038299</v>
      </c>
      <c r="X6">
        <v>56.242293372491503</v>
      </c>
      <c r="AA6">
        <v>138</v>
      </c>
      <c r="AB6">
        <f t="shared" ref="AB6:AB12" si="0">AA6+AC6</f>
        <v>150</v>
      </c>
      <c r="AC6">
        <v>12</v>
      </c>
      <c r="AE6">
        <v>210</v>
      </c>
      <c r="AF6">
        <f t="shared" ref="AF6:AF12" si="1">AE6+AG6</f>
        <v>225</v>
      </c>
      <c r="AG6">
        <v>15</v>
      </c>
      <c r="AI6">
        <f t="shared" ref="AI6:AI12" si="2">-(H6-AE6)</f>
        <v>8</v>
      </c>
      <c r="AK6">
        <v>3300.3887598394899</v>
      </c>
      <c r="AL6">
        <v>738.90771447757299</v>
      </c>
      <c r="AM6">
        <v>523.38118477239505</v>
      </c>
      <c r="AN6">
        <v>2213.5331220021199</v>
      </c>
      <c r="AP6">
        <v>34.514277671361803</v>
      </c>
      <c r="AQ6">
        <v>53.295963710537301</v>
      </c>
      <c r="AS6">
        <v>69.848652839712798</v>
      </c>
      <c r="AT6">
        <v>55.487341883095802</v>
      </c>
      <c r="AV6">
        <v>37.244898648151903</v>
      </c>
      <c r="AW6">
        <v>53.747871881586299</v>
      </c>
      <c r="AX6">
        <v>15.7802413194522</v>
      </c>
    </row>
    <row r="7" spans="1:1024" x14ac:dyDescent="0.2">
      <c r="A7" t="s">
        <v>52</v>
      </c>
      <c r="B7">
        <v>15</v>
      </c>
      <c r="C7" t="s">
        <v>81</v>
      </c>
      <c r="D7">
        <v>1</v>
      </c>
      <c r="E7">
        <v>500</v>
      </c>
      <c r="F7">
        <v>105.265897657488</v>
      </c>
      <c r="G7">
        <v>102</v>
      </c>
      <c r="H7">
        <v>198</v>
      </c>
      <c r="J7">
        <v>212.03565071282401</v>
      </c>
      <c r="K7">
        <v>625.11904862934898</v>
      </c>
      <c r="L7">
        <v>210.35802957118199</v>
      </c>
      <c r="M7">
        <v>621.85348206630204</v>
      </c>
      <c r="O7">
        <v>40.325636703389499</v>
      </c>
      <c r="P7">
        <v>21.4329790582199</v>
      </c>
      <c r="R7">
        <v>60</v>
      </c>
      <c r="S7">
        <v>112</v>
      </c>
      <c r="T7">
        <v>3740.0989760867301</v>
      </c>
      <c r="U7">
        <v>3921.1532560529799</v>
      </c>
      <c r="V7">
        <v>5418.8359643358799</v>
      </c>
      <c r="W7">
        <v>46.353788549581303</v>
      </c>
      <c r="X7">
        <v>46.139306137540601</v>
      </c>
      <c r="AA7">
        <v>93</v>
      </c>
      <c r="AB7">
        <f t="shared" si="0"/>
        <v>110</v>
      </c>
      <c r="AC7">
        <v>17</v>
      </c>
      <c r="AE7">
        <v>225</v>
      </c>
      <c r="AF7">
        <f t="shared" si="1"/>
        <v>269</v>
      </c>
      <c r="AG7">
        <v>44</v>
      </c>
      <c r="AI7">
        <f t="shared" si="2"/>
        <v>27</v>
      </c>
      <c r="AK7">
        <v>3258.2475712106898</v>
      </c>
      <c r="AL7">
        <v>1228.9811432595</v>
      </c>
      <c r="AM7">
        <v>444.73241961592299</v>
      </c>
      <c r="AN7">
        <v>1984.4862699819801</v>
      </c>
      <c r="AP7">
        <v>24.0764061025545</v>
      </c>
      <c r="AQ7">
        <v>65.005576738176799</v>
      </c>
      <c r="AS7">
        <v>34.372413238913602</v>
      </c>
      <c r="AT7">
        <v>56.200803633435598</v>
      </c>
      <c r="AV7">
        <v>37.602373606857</v>
      </c>
      <c r="AW7">
        <v>51.053788301616102</v>
      </c>
      <c r="AX7">
        <v>25.132750151795499</v>
      </c>
    </row>
    <row r="8" spans="1:1024" x14ac:dyDescent="0.2">
      <c r="A8" t="s">
        <v>52</v>
      </c>
      <c r="B8">
        <v>18</v>
      </c>
      <c r="C8" t="s">
        <v>87</v>
      </c>
      <c r="D8">
        <v>1</v>
      </c>
      <c r="E8">
        <v>500</v>
      </c>
      <c r="F8">
        <v>89.250502422763702</v>
      </c>
      <c r="G8">
        <v>100</v>
      </c>
      <c r="H8">
        <v>190</v>
      </c>
      <c r="J8">
        <v>157.288085865656</v>
      </c>
      <c r="K8">
        <v>563.40305963047001</v>
      </c>
      <c r="L8">
        <v>154.30744460692199</v>
      </c>
      <c r="M8">
        <v>546.22614322038703</v>
      </c>
      <c r="O8">
        <v>41.330888679713397</v>
      </c>
      <c r="P8">
        <v>18.208605025954299</v>
      </c>
      <c r="R8">
        <v>36</v>
      </c>
      <c r="S8">
        <v>107</v>
      </c>
      <c r="T8">
        <v>3670.3049395859598</v>
      </c>
      <c r="U8">
        <v>3147.6981651893602</v>
      </c>
      <c r="V8">
        <v>4835.1982470924204</v>
      </c>
      <c r="W8">
        <v>40.616791973460302</v>
      </c>
      <c r="X8">
        <v>41.322035013293601</v>
      </c>
      <c r="AA8">
        <v>91</v>
      </c>
      <c r="AB8">
        <f t="shared" si="0"/>
        <v>105</v>
      </c>
      <c r="AC8">
        <v>14</v>
      </c>
      <c r="AE8">
        <v>211</v>
      </c>
      <c r="AF8">
        <f t="shared" si="1"/>
        <v>240</v>
      </c>
      <c r="AG8">
        <v>29</v>
      </c>
      <c r="AI8">
        <f t="shared" si="2"/>
        <v>21</v>
      </c>
      <c r="AK8">
        <v>3133.6810157216401</v>
      </c>
      <c r="AL8">
        <v>1953.2799883862399</v>
      </c>
      <c r="AM8">
        <v>429.29214949683899</v>
      </c>
      <c r="AN8">
        <v>2077.4388707162998</v>
      </c>
      <c r="AP8">
        <v>37.185894029459398</v>
      </c>
      <c r="AQ8">
        <v>46.898910964251598</v>
      </c>
      <c r="AS8">
        <v>36.737299917879902</v>
      </c>
      <c r="AT8">
        <v>45.347360388202297</v>
      </c>
      <c r="AV8">
        <v>41.912005454067398</v>
      </c>
      <c r="AW8">
        <v>43.390634197571103</v>
      </c>
      <c r="AX8">
        <v>27.370502727280599</v>
      </c>
    </row>
    <row r="9" spans="1:1024" x14ac:dyDescent="0.2">
      <c r="A9" t="s">
        <v>52</v>
      </c>
      <c r="B9">
        <v>20</v>
      </c>
      <c r="C9" t="s">
        <v>91</v>
      </c>
      <c r="D9">
        <v>1</v>
      </c>
      <c r="E9">
        <v>500</v>
      </c>
      <c r="F9">
        <v>110.340639016795</v>
      </c>
      <c r="G9">
        <v>89</v>
      </c>
      <c r="H9">
        <v>150</v>
      </c>
      <c r="J9">
        <v>93.699815971153996</v>
      </c>
      <c r="K9">
        <v>447.73267119450998</v>
      </c>
      <c r="L9">
        <v>93.661616788739394</v>
      </c>
      <c r="M9">
        <v>443.923852516149</v>
      </c>
      <c r="O9">
        <v>39.422690477210701</v>
      </c>
      <c r="P9">
        <v>18.0502530776272</v>
      </c>
      <c r="R9">
        <v>41</v>
      </c>
      <c r="S9">
        <v>87</v>
      </c>
      <c r="T9">
        <v>4276.1405459315001</v>
      </c>
      <c r="U9">
        <v>3962.6749869929499</v>
      </c>
      <c r="V9">
        <v>5829.9374800334599</v>
      </c>
      <c r="W9">
        <v>42.821095211295599</v>
      </c>
      <c r="X9">
        <v>40.336714114990997</v>
      </c>
      <c r="AA9">
        <v>67</v>
      </c>
      <c r="AB9">
        <f t="shared" si="0"/>
        <v>85</v>
      </c>
      <c r="AC9">
        <v>18</v>
      </c>
      <c r="AE9">
        <v>188</v>
      </c>
      <c r="AF9">
        <f t="shared" si="1"/>
        <v>229</v>
      </c>
      <c r="AG9">
        <v>41</v>
      </c>
      <c r="AI9">
        <f t="shared" si="2"/>
        <v>38</v>
      </c>
      <c r="AK9">
        <v>3685.1379612017199</v>
      </c>
      <c r="AL9">
        <v>2650.6159757689802</v>
      </c>
      <c r="AM9">
        <v>654.35842290992798</v>
      </c>
      <c r="AN9">
        <v>1961.7596686167799</v>
      </c>
      <c r="AP9">
        <v>120.467987984342</v>
      </c>
      <c r="AQ9">
        <v>118.80041840113699</v>
      </c>
      <c r="AS9">
        <v>123.495571132189</v>
      </c>
      <c r="AT9">
        <v>38.8857873355675</v>
      </c>
      <c r="AV9">
        <v>36.013460286065701</v>
      </c>
      <c r="AW9">
        <v>33.277995105136398</v>
      </c>
      <c r="AX9">
        <v>19.9503261950581</v>
      </c>
    </row>
    <row r="10" spans="1:1024" x14ac:dyDescent="0.2">
      <c r="A10" t="s">
        <v>52</v>
      </c>
      <c r="B10">
        <v>21</v>
      </c>
      <c r="C10" t="s">
        <v>93</v>
      </c>
      <c r="D10">
        <v>1</v>
      </c>
      <c r="E10">
        <v>500</v>
      </c>
      <c r="F10">
        <v>96.065095613018897</v>
      </c>
      <c r="G10">
        <v>212</v>
      </c>
      <c r="H10">
        <v>297</v>
      </c>
      <c r="J10">
        <v>145.14639328426</v>
      </c>
      <c r="K10">
        <v>569.85653056506101</v>
      </c>
      <c r="L10">
        <v>144.94292096352001</v>
      </c>
      <c r="M10">
        <v>563.923406399236</v>
      </c>
      <c r="O10">
        <v>27.234064395951702</v>
      </c>
      <c r="P10">
        <v>15.8216279947667</v>
      </c>
      <c r="R10">
        <v>174</v>
      </c>
      <c r="S10">
        <v>226</v>
      </c>
      <c r="T10">
        <v>3714.4389995281399</v>
      </c>
      <c r="U10">
        <v>2785.0417468112</v>
      </c>
      <c r="V10">
        <v>4642.5762904552003</v>
      </c>
      <c r="W10">
        <v>36.862122550963903</v>
      </c>
      <c r="X10">
        <v>37.893722670617898</v>
      </c>
      <c r="AA10">
        <v>204</v>
      </c>
      <c r="AB10">
        <f t="shared" si="0"/>
        <v>223</v>
      </c>
      <c r="AC10">
        <v>19</v>
      </c>
      <c r="AE10">
        <v>416</v>
      </c>
      <c r="AF10">
        <f t="shared" si="1"/>
        <v>460</v>
      </c>
      <c r="AG10">
        <v>44</v>
      </c>
      <c r="AI10">
        <f t="shared" si="2"/>
        <v>119</v>
      </c>
      <c r="AK10">
        <v>3346.46739757257</v>
      </c>
      <c r="AL10">
        <v>928.14127496367098</v>
      </c>
      <c r="AM10">
        <v>541.13718321982799</v>
      </c>
      <c r="AN10">
        <v>1434.3301345612699</v>
      </c>
      <c r="AP10">
        <v>14.595017045129</v>
      </c>
      <c r="AQ10">
        <v>190.47729487786501</v>
      </c>
      <c r="AS10">
        <v>14.6106001781571</v>
      </c>
      <c r="AT10">
        <v>40.241873429156598</v>
      </c>
      <c r="AV10">
        <v>21.8082087528141</v>
      </c>
      <c r="AW10">
        <v>33.361853647885098</v>
      </c>
      <c r="AX10">
        <v>14.2483674488409</v>
      </c>
    </row>
    <row r="11" spans="1:1024" x14ac:dyDescent="0.2">
      <c r="A11" t="s">
        <v>52</v>
      </c>
      <c r="B11">
        <v>22</v>
      </c>
      <c r="C11" t="s">
        <v>95</v>
      </c>
      <c r="D11">
        <v>1</v>
      </c>
      <c r="E11">
        <v>500</v>
      </c>
      <c r="F11">
        <v>94.061775426335799</v>
      </c>
      <c r="G11">
        <v>260</v>
      </c>
      <c r="H11">
        <v>344</v>
      </c>
      <c r="J11">
        <v>133.59118750819599</v>
      </c>
      <c r="K11">
        <v>568.83592732013005</v>
      </c>
      <c r="L11">
        <v>133.86350508840101</v>
      </c>
      <c r="M11">
        <v>560.89438588914004</v>
      </c>
      <c r="O11">
        <v>27.544498640555901</v>
      </c>
      <c r="P11">
        <v>19.2830027587502</v>
      </c>
      <c r="R11">
        <v>229</v>
      </c>
      <c r="S11">
        <v>273</v>
      </c>
      <c r="T11">
        <v>3686.9525588228598</v>
      </c>
      <c r="U11">
        <v>2681.0948836443799</v>
      </c>
      <c r="V11">
        <v>4558.7157123596198</v>
      </c>
      <c r="W11">
        <v>36.0240682980386</v>
      </c>
      <c r="X11">
        <v>32.411075495725797</v>
      </c>
      <c r="AA11">
        <v>245</v>
      </c>
      <c r="AB11">
        <f t="shared" si="0"/>
        <v>271</v>
      </c>
      <c r="AC11">
        <v>26</v>
      </c>
      <c r="AE11">
        <v>463</v>
      </c>
      <c r="AF11">
        <f t="shared" si="1"/>
        <v>509</v>
      </c>
      <c r="AG11">
        <v>46</v>
      </c>
      <c r="AI11">
        <f t="shared" si="2"/>
        <v>119</v>
      </c>
      <c r="AK11">
        <v>3380.68522459103</v>
      </c>
      <c r="AL11">
        <v>625.84391402538904</v>
      </c>
      <c r="AM11">
        <v>546.138703741163</v>
      </c>
      <c r="AN11">
        <v>1410.0285445557899</v>
      </c>
      <c r="AP11">
        <v>20.665644819273901</v>
      </c>
      <c r="AQ11">
        <v>191.782013331652</v>
      </c>
      <c r="AS11">
        <v>13.3833688992374</v>
      </c>
      <c r="AT11">
        <v>34.640105082222497</v>
      </c>
      <c r="AV11">
        <v>19.826182264435701</v>
      </c>
      <c r="AW11">
        <v>33.256421718280798</v>
      </c>
      <c r="AX11">
        <v>11.570491581815</v>
      </c>
    </row>
    <row r="12" spans="1:1024" x14ac:dyDescent="0.2">
      <c r="A12" t="s">
        <v>52</v>
      </c>
      <c r="B12">
        <v>23</v>
      </c>
      <c r="C12" t="s">
        <v>97</v>
      </c>
      <c r="D12">
        <v>1</v>
      </c>
      <c r="E12">
        <v>500</v>
      </c>
      <c r="F12">
        <v>111.731253028521</v>
      </c>
      <c r="G12">
        <v>95</v>
      </c>
      <c r="H12">
        <v>192</v>
      </c>
      <c r="J12">
        <v>225.35864484648999</v>
      </c>
      <c r="K12">
        <v>749.59016021084005</v>
      </c>
      <c r="L12">
        <v>224.22339110637199</v>
      </c>
      <c r="M12">
        <v>739.60727668032996</v>
      </c>
      <c r="O12">
        <v>38.539680085945903</v>
      </c>
      <c r="P12">
        <v>18.8824273871993</v>
      </c>
      <c r="R12">
        <v>41</v>
      </c>
      <c r="S12">
        <v>107</v>
      </c>
      <c r="T12">
        <v>4112.3536950007201</v>
      </c>
      <c r="U12">
        <v>4073.4927667485599</v>
      </c>
      <c r="V12">
        <v>5788.3327680376897</v>
      </c>
      <c r="W12">
        <v>44.727999974027398</v>
      </c>
      <c r="X12">
        <v>48.6199456178323</v>
      </c>
      <c r="AA12">
        <v>89</v>
      </c>
      <c r="AB12">
        <f t="shared" si="0"/>
        <v>106</v>
      </c>
      <c r="AC12">
        <v>17</v>
      </c>
      <c r="AE12">
        <v>203</v>
      </c>
      <c r="AF12">
        <f t="shared" si="1"/>
        <v>248</v>
      </c>
      <c r="AG12">
        <v>45</v>
      </c>
      <c r="AI12">
        <f t="shared" si="2"/>
        <v>11</v>
      </c>
      <c r="AK12">
        <v>3860.54260457697</v>
      </c>
      <c r="AL12">
        <v>1299.2492320118799</v>
      </c>
      <c r="AM12">
        <v>644.00817855154901</v>
      </c>
      <c r="AN12">
        <v>2570.4428471200099</v>
      </c>
      <c r="AP12">
        <v>16.925419314990499</v>
      </c>
      <c r="AQ12">
        <v>76.746238039220103</v>
      </c>
      <c r="AS12">
        <v>24.6182557353807</v>
      </c>
      <c r="AT12">
        <v>56.602618135713698</v>
      </c>
      <c r="AV12">
        <v>35.272539211135602</v>
      </c>
      <c r="AW12">
        <v>43.387656740001198</v>
      </c>
      <c r="AX12">
        <v>28.885605519924098</v>
      </c>
    </row>
    <row r="14" spans="1:1024" x14ac:dyDescent="0.2">
      <c r="A14" t="s">
        <v>101</v>
      </c>
      <c r="B14">
        <v>3</v>
      </c>
      <c r="C14" t="s">
        <v>106</v>
      </c>
      <c r="D14">
        <v>1</v>
      </c>
      <c r="E14">
        <v>250</v>
      </c>
      <c r="F14">
        <v>110.860816345215</v>
      </c>
      <c r="G14">
        <v>69</v>
      </c>
      <c r="H14">
        <v>94</v>
      </c>
      <c r="J14">
        <v>52.826479963909001</v>
      </c>
      <c r="K14">
        <v>456.96045006206998</v>
      </c>
      <c r="L14">
        <v>51.090207188814297</v>
      </c>
      <c r="M14">
        <v>429.357379401142</v>
      </c>
      <c r="O14">
        <v>13.597004765352599</v>
      </c>
      <c r="P14">
        <v>15.3744505490204</v>
      </c>
      <c r="R14">
        <v>48</v>
      </c>
      <c r="S14">
        <v>75</v>
      </c>
      <c r="T14">
        <v>5166.61110069395</v>
      </c>
      <c r="U14">
        <v>1523.8165764287401</v>
      </c>
      <c r="V14">
        <v>5386.6396969180096</v>
      </c>
      <c r="W14">
        <v>16.4326548378029</v>
      </c>
      <c r="X14">
        <v>19.483362251393899</v>
      </c>
      <c r="AA14">
        <v>65</v>
      </c>
      <c r="AB14">
        <f>AA14+AC14</f>
        <v>75</v>
      </c>
      <c r="AC14">
        <v>10</v>
      </c>
      <c r="AE14">
        <v>133</v>
      </c>
      <c r="AF14">
        <f>AE14+AG14</f>
        <v>150</v>
      </c>
      <c r="AG14">
        <v>17</v>
      </c>
      <c r="AI14">
        <f>-(H14-AE14)</f>
        <v>39</v>
      </c>
      <c r="AK14">
        <v>4545.1347150957599</v>
      </c>
      <c r="AL14">
        <v>1447.39284697933</v>
      </c>
      <c r="AM14">
        <v>1401.95757578133</v>
      </c>
      <c r="AN14">
        <v>2286.9145372156299</v>
      </c>
      <c r="AP14">
        <v>27.464471381118301</v>
      </c>
      <c r="AQ14">
        <v>333.15902442442501</v>
      </c>
      <c r="AS14">
        <v>18.468371455299099</v>
      </c>
      <c r="AT14">
        <v>37.914077705865999</v>
      </c>
      <c r="AV14">
        <v>12.2240287407036</v>
      </c>
      <c r="AW14">
        <v>16.509101399222999</v>
      </c>
      <c r="AX14">
        <v>17.253667081780598</v>
      </c>
    </row>
    <row r="33" spans="16:40" x14ac:dyDescent="0.2">
      <c r="P33" t="s">
        <v>161</v>
      </c>
    </row>
    <row r="34" spans="16:40" x14ac:dyDescent="0.2">
      <c r="R34">
        <v>19</v>
      </c>
      <c r="S34">
        <v>82</v>
      </c>
      <c r="T34">
        <v>3097.8780041272398</v>
      </c>
      <c r="U34">
        <v>4607.6407518629903</v>
      </c>
      <c r="V34">
        <v>5552.2249077900196</v>
      </c>
      <c r="W34">
        <v>56.085679649865803</v>
      </c>
      <c r="X34">
        <v>56.7257126688082</v>
      </c>
    </row>
    <row r="35" spans="16:40" x14ac:dyDescent="0.2">
      <c r="R35">
        <v>107</v>
      </c>
      <c r="S35">
        <v>126</v>
      </c>
      <c r="T35">
        <v>3289.2250421747899</v>
      </c>
      <c r="U35">
        <v>4316.1434348881803</v>
      </c>
      <c r="V35">
        <v>5426.6099480797402</v>
      </c>
      <c r="W35">
        <v>52.689880521367201</v>
      </c>
      <c r="X35">
        <v>57.670644099145001</v>
      </c>
    </row>
    <row r="36" spans="16:40" x14ac:dyDescent="0.2">
      <c r="R36">
        <v>133</v>
      </c>
      <c r="S36">
        <v>156</v>
      </c>
      <c r="T36">
        <v>3524.7766857666702</v>
      </c>
      <c r="U36">
        <v>2912.21801162373</v>
      </c>
      <c r="V36">
        <v>4572.2056418921002</v>
      </c>
      <c r="W36">
        <v>39.563976530505897</v>
      </c>
      <c r="X36">
        <v>40.625892405165999</v>
      </c>
    </row>
    <row r="38" spans="16:40" x14ac:dyDescent="0.2">
      <c r="R38">
        <v>25</v>
      </c>
      <c r="S38">
        <v>152</v>
      </c>
      <c r="T38">
        <v>3464.48867733932</v>
      </c>
      <c r="U38">
        <v>4599.3109469943201</v>
      </c>
      <c r="V38">
        <v>5758.1544771353701</v>
      </c>
      <c r="W38">
        <v>53.010654283038299</v>
      </c>
      <c r="X38">
        <v>56.242293372491503</v>
      </c>
    </row>
    <row r="39" spans="16:40" x14ac:dyDescent="0.2">
      <c r="R39">
        <v>59</v>
      </c>
      <c r="S39">
        <v>111</v>
      </c>
      <c r="T39">
        <v>3702.8887846389898</v>
      </c>
      <c r="U39">
        <v>3940.2592622475699</v>
      </c>
      <c r="V39">
        <v>5407.1275558408097</v>
      </c>
      <c r="W39">
        <v>46.778842490231099</v>
      </c>
      <c r="X39">
        <v>45.6784624339573</v>
      </c>
    </row>
    <row r="40" spans="16:40" x14ac:dyDescent="0.2">
      <c r="R40">
        <v>35</v>
      </c>
      <c r="S40">
        <v>106</v>
      </c>
      <c r="T40">
        <v>3643.7712629719599</v>
      </c>
      <c r="U40">
        <v>3148.6772444050898</v>
      </c>
      <c r="V40">
        <v>4815.7281283617704</v>
      </c>
      <c r="W40">
        <v>40.831146660616298</v>
      </c>
      <c r="X40">
        <v>41.212012157690701</v>
      </c>
      <c r="AJ40" t="s">
        <v>161</v>
      </c>
    </row>
    <row r="41" spans="16:40" x14ac:dyDescent="0.2">
      <c r="R41">
        <v>43</v>
      </c>
      <c r="S41">
        <v>89</v>
      </c>
      <c r="T41">
        <v>4360.75163190897</v>
      </c>
      <c r="U41">
        <v>3765.4945416721498</v>
      </c>
      <c r="V41">
        <v>5761.5192387563402</v>
      </c>
      <c r="W41">
        <v>40.810499317961799</v>
      </c>
      <c r="X41">
        <v>39.422690477210701</v>
      </c>
      <c r="AK41">
        <v>2982.1884381179002</v>
      </c>
      <c r="AL41">
        <v>1759.1940107371699</v>
      </c>
      <c r="AM41">
        <v>599.83870605873597</v>
      </c>
      <c r="AN41">
        <v>2216.50796460732</v>
      </c>
    </row>
    <row r="42" spans="16:40" x14ac:dyDescent="0.2">
      <c r="R42">
        <v>171</v>
      </c>
      <c r="S42">
        <v>223</v>
      </c>
      <c r="T42">
        <v>3510.4230990880501</v>
      </c>
      <c r="U42">
        <v>2852.4646919391498</v>
      </c>
      <c r="V42">
        <v>4523.2317156398703</v>
      </c>
      <c r="W42">
        <v>39.096276573392402</v>
      </c>
      <c r="X42">
        <v>37.254450264710897</v>
      </c>
      <c r="AK42">
        <v>3062.3320379540601</v>
      </c>
      <c r="AL42">
        <v>1059.47051866983</v>
      </c>
      <c r="AM42">
        <v>597.14528505770397</v>
      </c>
      <c r="AN42">
        <v>1986.1884730009201</v>
      </c>
    </row>
    <row r="43" spans="16:40" x14ac:dyDescent="0.2">
      <c r="R43">
        <v>226</v>
      </c>
      <c r="S43">
        <v>270</v>
      </c>
      <c r="T43">
        <v>3495.2333498172102</v>
      </c>
      <c r="U43">
        <v>2766.6249610794698</v>
      </c>
      <c r="V43">
        <v>4457.6753857747899</v>
      </c>
      <c r="W43">
        <v>38.363103919356398</v>
      </c>
      <c r="X43">
        <v>32.221205383406499</v>
      </c>
      <c r="AK43">
        <v>3429.8494363340301</v>
      </c>
      <c r="AL43">
        <v>1289.9977574141301</v>
      </c>
      <c r="AM43">
        <v>789.36067529184197</v>
      </c>
      <c r="AN43">
        <v>2179.4078523276999</v>
      </c>
    </row>
    <row r="44" spans="16:40" x14ac:dyDescent="0.2">
      <c r="R44">
        <v>40</v>
      </c>
      <c r="S44">
        <v>106</v>
      </c>
      <c r="T44">
        <v>4054.5716387677899</v>
      </c>
      <c r="U44">
        <v>4098.0732780364497</v>
      </c>
      <c r="V44">
        <v>5764.87257153673</v>
      </c>
      <c r="W44">
        <v>45.305721235614897</v>
      </c>
      <c r="X44">
        <v>47.953550925936497</v>
      </c>
    </row>
    <row r="45" spans="16:40" x14ac:dyDescent="0.2">
      <c r="AK45">
        <v>3300.3887598394899</v>
      </c>
      <c r="AL45">
        <v>738.90771447757299</v>
      </c>
      <c r="AM45">
        <v>523.38118477239505</v>
      </c>
      <c r="AN45">
        <v>2213.5331220021199</v>
      </c>
    </row>
    <row r="46" spans="16:40" x14ac:dyDescent="0.2">
      <c r="R46">
        <v>46</v>
      </c>
      <c r="S46">
        <v>73</v>
      </c>
      <c r="T46">
        <v>4815.51928433581</v>
      </c>
      <c r="U46">
        <v>1731.88008210935</v>
      </c>
      <c r="V46">
        <v>5117.4832287577801</v>
      </c>
      <c r="W46">
        <v>19.780895851620802</v>
      </c>
      <c r="X46">
        <v>17.731940864466601</v>
      </c>
      <c r="AK46">
        <v>3258.2475712106898</v>
      </c>
      <c r="AL46">
        <v>1228.9811432595</v>
      </c>
      <c r="AM46">
        <v>444.73241961592299</v>
      </c>
      <c r="AN46">
        <v>1984.4862699819801</v>
      </c>
    </row>
    <row r="47" spans="16:40" x14ac:dyDescent="0.2">
      <c r="AK47">
        <v>3133.6810157216401</v>
      </c>
      <c r="AL47">
        <v>1953.2799883862399</v>
      </c>
      <c r="AM47">
        <v>429.29214949683899</v>
      </c>
      <c r="AN47">
        <v>2077.4388707162998</v>
      </c>
    </row>
    <row r="48" spans="16:40" x14ac:dyDescent="0.2">
      <c r="AK48">
        <v>3685.1379612017199</v>
      </c>
      <c r="AL48">
        <v>2650.6159757689802</v>
      </c>
      <c r="AM48">
        <v>654.35842290992798</v>
      </c>
      <c r="AN48">
        <v>1961.7596686167799</v>
      </c>
    </row>
    <row r="49" spans="37:40" x14ac:dyDescent="0.2">
      <c r="AK49">
        <v>3346.46739757257</v>
      </c>
      <c r="AL49">
        <v>928.14127496367098</v>
      </c>
      <c r="AM49">
        <v>541.13718321982799</v>
      </c>
      <c r="AN49">
        <v>1434.3301345612699</v>
      </c>
    </row>
    <row r="50" spans="37:40" x14ac:dyDescent="0.2">
      <c r="AK50">
        <v>3380.68522459103</v>
      </c>
      <c r="AL50">
        <v>625.84391402538904</v>
      </c>
      <c r="AM50">
        <v>546.138703741163</v>
      </c>
      <c r="AN50">
        <v>1410.0285445557899</v>
      </c>
    </row>
    <row r="51" spans="37:40" x14ac:dyDescent="0.2">
      <c r="AK51">
        <v>3860.54260457697</v>
      </c>
      <c r="AL51">
        <v>1299.2492320118799</v>
      </c>
      <c r="AM51">
        <v>644.00817855154901</v>
      </c>
      <c r="AN51">
        <v>2570.4428471200099</v>
      </c>
    </row>
    <row r="53" spans="37:40" x14ac:dyDescent="0.2">
      <c r="AK53">
        <v>4545.1347150957599</v>
      </c>
      <c r="AL53">
        <v>1447.39284697933</v>
      </c>
      <c r="AM53">
        <v>1401.95757578133</v>
      </c>
      <c r="AN53">
        <v>2286.9145372156299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R53"/>
  <sheetViews>
    <sheetView windowProtection="1" topLeftCell="G1" zoomScaleNormal="100" workbookViewId="0">
      <selection activeCell="AB25" sqref="AB25"/>
    </sheetView>
  </sheetViews>
  <sheetFormatPr defaultRowHeight="12.75" x14ac:dyDescent="0.2"/>
  <sheetData>
    <row r="1" spans="1:58 1030:1032" s="3" customFormat="1" ht="102" x14ac:dyDescent="0.2">
      <c r="A1" s="3" t="s">
        <v>115</v>
      </c>
      <c r="B1" s="3" t="s">
        <v>1</v>
      </c>
      <c r="C1" s="3" t="s">
        <v>2</v>
      </c>
      <c r="D1" s="3" t="s">
        <v>116</v>
      </c>
      <c r="E1" s="3" t="s">
        <v>117</v>
      </c>
      <c r="F1" s="3" t="s">
        <v>118</v>
      </c>
      <c r="G1" s="3" t="s">
        <v>152</v>
      </c>
      <c r="H1" s="3" t="s">
        <v>120</v>
      </c>
      <c r="J1" s="3" t="s">
        <v>123</v>
      </c>
      <c r="K1" s="3" t="s">
        <v>124</v>
      </c>
      <c r="L1" s="3" t="s">
        <v>125</v>
      </c>
      <c r="M1" s="3" t="s">
        <v>126</v>
      </c>
      <c r="O1" s="3" t="s">
        <v>311</v>
      </c>
      <c r="P1" s="3" t="s">
        <v>312</v>
      </c>
      <c r="Q1" s="3" t="s">
        <v>313</v>
      </c>
      <c r="R1" s="3" t="s">
        <v>314</v>
      </c>
      <c r="T1" s="3" t="s">
        <v>127</v>
      </c>
      <c r="U1" s="3" t="s">
        <v>128</v>
      </c>
      <c r="W1" s="3" t="s">
        <v>129</v>
      </c>
      <c r="X1" s="3" t="s">
        <v>130</v>
      </c>
      <c r="Y1" s="3" t="s">
        <v>131</v>
      </c>
      <c r="Z1" s="3" t="s">
        <v>132</v>
      </c>
      <c r="AA1" s="3" t="s">
        <v>133</v>
      </c>
      <c r="AB1" s="3" t="s">
        <v>318</v>
      </c>
      <c r="AC1" s="3" t="s">
        <v>134</v>
      </c>
      <c r="AD1" s="3" t="s">
        <v>135</v>
      </c>
      <c r="AG1" s="3" t="s">
        <v>136</v>
      </c>
      <c r="AH1" s="3" t="s">
        <v>137</v>
      </c>
      <c r="AI1" s="3" t="s">
        <v>138</v>
      </c>
      <c r="AJ1" s="3" t="s">
        <v>316</v>
      </c>
      <c r="AL1" s="3" t="s">
        <v>139</v>
      </c>
      <c r="AM1" s="3" t="s">
        <v>140</v>
      </c>
      <c r="AN1" s="3" t="s">
        <v>141</v>
      </c>
      <c r="AO1" s="3" t="s">
        <v>317</v>
      </c>
      <c r="AQ1" s="3" t="s">
        <v>142</v>
      </c>
      <c r="AS1" s="3" t="s">
        <v>143</v>
      </c>
      <c r="AT1" s="3" t="s">
        <v>153</v>
      </c>
      <c r="AU1" s="3" t="s">
        <v>154</v>
      </c>
      <c r="AV1" s="3" t="s">
        <v>145</v>
      </c>
      <c r="AX1" s="3" t="s">
        <v>155</v>
      </c>
      <c r="AY1" s="3" t="s">
        <v>156</v>
      </c>
      <c r="BA1" s="3" t="s">
        <v>157</v>
      </c>
      <c r="BB1" s="3" t="s">
        <v>158</v>
      </c>
      <c r="BD1" s="3" t="s">
        <v>159</v>
      </c>
      <c r="BE1" s="3" t="s">
        <v>149</v>
      </c>
      <c r="BF1" s="3" t="s">
        <v>160</v>
      </c>
      <c r="AMP1"/>
      <c r="AMQ1"/>
      <c r="AMR1"/>
    </row>
    <row r="2" spans="1:58 1030:1032" x14ac:dyDescent="0.2">
      <c r="A2" t="s">
        <v>18</v>
      </c>
      <c r="B2">
        <v>5</v>
      </c>
      <c r="C2" t="s">
        <v>27</v>
      </c>
      <c r="D2">
        <v>1</v>
      </c>
      <c r="E2">
        <v>500</v>
      </c>
      <c r="F2">
        <v>109.45465850830099</v>
      </c>
      <c r="G2">
        <v>75</v>
      </c>
      <c r="H2">
        <v>173</v>
      </c>
      <c r="J2">
        <v>232.58420521081501</v>
      </c>
      <c r="K2">
        <v>584.37494251560599</v>
      </c>
      <c r="L2">
        <v>231.85585433596799</v>
      </c>
      <c r="M2">
        <v>581.97467248225905</v>
      </c>
      <c r="O2">
        <f>J2/$F2*$B$31</f>
        <v>4.2711224798009271</v>
      </c>
      <c r="P2">
        <f t="shared" ref="P2:R2" si="0">K2/$F2*$B$31</f>
        <v>10.731326107671217</v>
      </c>
      <c r="Q2">
        <f t="shared" si="0"/>
        <v>4.2577472130156258</v>
      </c>
      <c r="R2">
        <f t="shared" si="0"/>
        <v>10.687248104662679</v>
      </c>
      <c r="T2">
        <v>50.660018446815101</v>
      </c>
      <c r="U2">
        <v>20.860298290143799</v>
      </c>
      <c r="W2">
        <v>20</v>
      </c>
      <c r="X2">
        <v>83</v>
      </c>
      <c r="Y2">
        <v>3175.37126864633</v>
      </c>
      <c r="Z2">
        <v>4569.8274672502603</v>
      </c>
      <c r="AA2">
        <v>5564.7377093785399</v>
      </c>
      <c r="AB2">
        <f>AA2/$F2*$B$31</f>
        <v>102.18955454511412</v>
      </c>
      <c r="AC2">
        <v>55.206269695275203</v>
      </c>
      <c r="AD2">
        <v>57.228400496189302</v>
      </c>
      <c r="AG2">
        <v>70</v>
      </c>
      <c r="AH2">
        <f>AG2+AI2</f>
        <v>81</v>
      </c>
      <c r="AI2">
        <v>11</v>
      </c>
      <c r="AJ2">
        <f>AI2/E2</f>
        <v>2.1999999999999999E-2</v>
      </c>
      <c r="AL2">
        <v>185</v>
      </c>
      <c r="AM2">
        <f>AL2+AN2</f>
        <v>217</v>
      </c>
      <c r="AN2">
        <v>32</v>
      </c>
      <c r="AO2">
        <f>AN2/E2</f>
        <v>6.4000000000000001E-2</v>
      </c>
      <c r="AQ2">
        <f>-(H2-AL2)</f>
        <v>12</v>
      </c>
      <c r="AS2">
        <v>2982.1884381179002</v>
      </c>
      <c r="AT2">
        <v>1759.1940107371699</v>
      </c>
      <c r="AU2">
        <v>599.83870605873597</v>
      </c>
      <c r="AV2">
        <v>2216.50796460732</v>
      </c>
      <c r="AX2">
        <v>18.352076525740902</v>
      </c>
      <c r="AY2">
        <v>52.768197693977399</v>
      </c>
      <c r="BA2">
        <v>37.242273126095199</v>
      </c>
      <c r="BB2">
        <v>62.447276722804403</v>
      </c>
      <c r="BD2">
        <v>47.6882300997245</v>
      </c>
      <c r="BE2">
        <v>50.088873703648403</v>
      </c>
      <c r="BF2">
        <v>26.548743272242401</v>
      </c>
    </row>
    <row r="3" spans="1:58 1030:1032" x14ac:dyDescent="0.2">
      <c r="A3" t="s">
        <v>18</v>
      </c>
      <c r="B3">
        <v>6</v>
      </c>
      <c r="C3" t="s">
        <v>29</v>
      </c>
      <c r="D3">
        <v>2</v>
      </c>
      <c r="E3">
        <v>500</v>
      </c>
      <c r="F3">
        <v>92.386999745719393</v>
      </c>
      <c r="G3">
        <v>119</v>
      </c>
      <c r="H3">
        <v>227</v>
      </c>
      <c r="J3">
        <v>231.67427717744599</v>
      </c>
      <c r="K3">
        <v>661.32430748032095</v>
      </c>
      <c r="L3">
        <v>232.86142411967501</v>
      </c>
      <c r="M3">
        <v>660.45029169398003</v>
      </c>
      <c r="O3">
        <f t="shared" ref="O3:O4" si="1">J3/$F3*$B$31</f>
        <v>5.0403768756246707</v>
      </c>
      <c r="P3">
        <f t="shared" ref="P3:P4" si="2">K3/$F3*$B$31</f>
        <v>14.387975166354877</v>
      </c>
      <c r="Q3">
        <f t="shared" ref="Q3:Q4" si="3">L3/$F3*$B$31</f>
        <v>5.0662048098626897</v>
      </c>
      <c r="R3">
        <f t="shared" ref="R3:R4" si="4">M3/$F3*$B$31</f>
        <v>14.36895980991533</v>
      </c>
      <c r="T3">
        <v>51.245615204769202</v>
      </c>
      <c r="U3">
        <v>16.680122037961802</v>
      </c>
      <c r="W3">
        <v>109</v>
      </c>
      <c r="X3">
        <v>128</v>
      </c>
      <c r="Y3">
        <v>3415.4655073448198</v>
      </c>
      <c r="Z3">
        <v>4274.8389318538702</v>
      </c>
      <c r="AA3">
        <v>5471.7138562936298</v>
      </c>
      <c r="AB3">
        <f t="shared" ref="AB3:AB4" si="5">AA3/$F3*$B$31</f>
        <v>119.04429066233182</v>
      </c>
      <c r="AC3">
        <v>51.376215268814697</v>
      </c>
      <c r="AD3">
        <v>58.727543739788203</v>
      </c>
      <c r="AG3">
        <v>109</v>
      </c>
      <c r="AH3">
        <f>AG3+AI3</f>
        <v>126</v>
      </c>
      <c r="AI3">
        <v>17</v>
      </c>
      <c r="AJ3">
        <f>AI3/E3</f>
        <v>3.4000000000000002E-2</v>
      </c>
      <c r="AL3">
        <v>250</v>
      </c>
      <c r="AM3">
        <f>AL3+AN3</f>
        <v>302</v>
      </c>
      <c r="AN3">
        <v>52</v>
      </c>
      <c r="AO3">
        <f>AN3/E3</f>
        <v>0.104</v>
      </c>
      <c r="AQ3">
        <f>-(H3-AL3)</f>
        <v>23</v>
      </c>
      <c r="AS3">
        <v>3062.3320379540601</v>
      </c>
      <c r="AT3">
        <v>1059.47051866983</v>
      </c>
      <c r="AU3">
        <v>597.14528505770397</v>
      </c>
      <c r="AV3">
        <v>1986.1884730009201</v>
      </c>
      <c r="AX3">
        <v>23.0979773588714</v>
      </c>
      <c r="AY3">
        <v>90.713123972154804</v>
      </c>
      <c r="BA3">
        <v>38.431704043906997</v>
      </c>
      <c r="BB3">
        <v>52.573139726283401</v>
      </c>
      <c r="BD3">
        <v>45.566203626537103</v>
      </c>
      <c r="BE3">
        <v>43.320038280947699</v>
      </c>
      <c r="BF3">
        <v>25.4257297626908</v>
      </c>
    </row>
    <row r="4" spans="1:58 1030:1032" x14ac:dyDescent="0.2">
      <c r="A4" t="s">
        <v>18</v>
      </c>
      <c r="B4">
        <v>10</v>
      </c>
      <c r="C4" t="s">
        <v>37</v>
      </c>
      <c r="D4">
        <v>2</v>
      </c>
      <c r="E4">
        <v>250</v>
      </c>
      <c r="F4">
        <v>78.758538062936594</v>
      </c>
      <c r="G4">
        <v>150</v>
      </c>
      <c r="H4">
        <v>197</v>
      </c>
      <c r="J4">
        <v>163.056699188544</v>
      </c>
      <c r="K4">
        <v>646.480562189181</v>
      </c>
      <c r="L4">
        <v>161.50836466056799</v>
      </c>
      <c r="M4">
        <v>637.02753479619901</v>
      </c>
      <c r="O4">
        <f t="shared" si="1"/>
        <v>4.1613769558174187</v>
      </c>
      <c r="P4">
        <f t="shared" si="2"/>
        <v>16.498857926512954</v>
      </c>
      <c r="Q4">
        <f t="shared" si="3"/>
        <v>4.1218618444685413</v>
      </c>
      <c r="R4">
        <f t="shared" si="4"/>
        <v>16.257606812319974</v>
      </c>
      <c r="T4">
        <v>30.504450062468099</v>
      </c>
      <c r="U4">
        <v>16.8147726844667</v>
      </c>
      <c r="W4">
        <v>134</v>
      </c>
      <c r="X4">
        <v>157</v>
      </c>
      <c r="Y4">
        <v>3598.4565193070698</v>
      </c>
      <c r="Z4">
        <v>2843.5346299757398</v>
      </c>
      <c r="AA4">
        <v>4586.34696825424</v>
      </c>
      <c r="AB4">
        <f t="shared" si="5"/>
        <v>117.04835606298833</v>
      </c>
      <c r="AC4">
        <v>38.316126666284497</v>
      </c>
      <c r="AD4">
        <v>40.758666294248002</v>
      </c>
      <c r="AG4">
        <v>148</v>
      </c>
      <c r="AH4">
        <f>AG4+AI4</f>
        <v>155</v>
      </c>
      <c r="AI4">
        <v>7</v>
      </c>
      <c r="AJ4">
        <f>AI4/E4</f>
        <v>2.8000000000000001E-2</v>
      </c>
      <c r="AL4">
        <v>224</v>
      </c>
      <c r="AM4">
        <f>AL4+AN4</f>
        <v>237</v>
      </c>
      <c r="AN4">
        <v>13</v>
      </c>
      <c r="AO4">
        <f>AN4/E4</f>
        <v>5.1999999999999998E-2</v>
      </c>
      <c r="AQ4">
        <f>-(H4-AL4)</f>
        <v>27</v>
      </c>
      <c r="AS4">
        <v>3429.8494363340301</v>
      </c>
      <c r="AT4">
        <v>1289.9977574141301</v>
      </c>
      <c r="AU4">
        <v>789.36067529184197</v>
      </c>
      <c r="AV4">
        <v>2179.4078523276999</v>
      </c>
      <c r="AX4">
        <v>11.880640395395901</v>
      </c>
      <c r="AY4">
        <v>127.558354545795</v>
      </c>
      <c r="BA4">
        <v>14.940107295075199</v>
      </c>
      <c r="BB4">
        <v>30.579622108423301</v>
      </c>
      <c r="BD4">
        <v>26.721839016643202</v>
      </c>
      <c r="BE4">
        <v>32.949125017388504</v>
      </c>
      <c r="BF4">
        <v>27.527811942271001</v>
      </c>
    </row>
    <row r="6" spans="1:58 1030:1032" x14ac:dyDescent="0.2">
      <c r="A6" t="s">
        <v>52</v>
      </c>
      <c r="B6">
        <v>4</v>
      </c>
      <c r="C6" t="s">
        <v>59</v>
      </c>
      <c r="D6">
        <v>1</v>
      </c>
      <c r="E6">
        <v>250</v>
      </c>
      <c r="F6">
        <v>102.04534566778899</v>
      </c>
      <c r="G6">
        <v>148</v>
      </c>
      <c r="H6">
        <v>202</v>
      </c>
      <c r="J6">
        <v>263.91380323678698</v>
      </c>
      <c r="K6">
        <v>712.21255126337701</v>
      </c>
      <c r="L6">
        <v>265.34798172139199</v>
      </c>
      <c r="M6">
        <v>709.44442592131895</v>
      </c>
      <c r="O6">
        <f>J6/$F6*$C$31</f>
        <v>5.5345546161935122</v>
      </c>
      <c r="P6">
        <f t="shared" ref="P6:R6" si="6">K6/$F6*$C$31</f>
        <v>14.935858659007179</v>
      </c>
      <c r="Q6">
        <f t="shared" si="6"/>
        <v>5.5646308723614943</v>
      </c>
      <c r="R6">
        <f t="shared" si="6"/>
        <v>14.877808111054808</v>
      </c>
      <c r="T6">
        <v>54.935321488494303</v>
      </c>
      <c r="U6">
        <v>21.1174403347256</v>
      </c>
      <c r="W6">
        <v>25</v>
      </c>
      <c r="X6">
        <v>152</v>
      </c>
      <c r="Y6">
        <v>3464.48867733932</v>
      </c>
      <c r="Z6">
        <v>4599.3109469943201</v>
      </c>
      <c r="AA6">
        <v>5758.1544771353701</v>
      </c>
      <c r="AB6">
        <f>AA6/$F6*$C$31</f>
        <v>120.75465569185016</v>
      </c>
      <c r="AC6">
        <v>53.010654283038299</v>
      </c>
      <c r="AD6">
        <v>56.242293372491503</v>
      </c>
      <c r="AG6">
        <v>138</v>
      </c>
      <c r="AH6">
        <f t="shared" ref="AH6:AH12" si="7">AG6+AI6</f>
        <v>150</v>
      </c>
      <c r="AI6">
        <v>12</v>
      </c>
      <c r="AJ6">
        <f t="shared" ref="AJ6:AJ12" si="8">AI6/E6</f>
        <v>4.8000000000000001E-2</v>
      </c>
      <c r="AL6">
        <v>210</v>
      </c>
      <c r="AM6">
        <f t="shared" ref="AM6:AM12" si="9">AL6+AN6</f>
        <v>225</v>
      </c>
      <c r="AN6">
        <v>15</v>
      </c>
      <c r="AO6">
        <f t="shared" ref="AO6:AO12" si="10">AN6/E6</f>
        <v>0.06</v>
      </c>
      <c r="AQ6">
        <f t="shared" ref="AQ6:AQ12" si="11">-(H6-AL6)</f>
        <v>8</v>
      </c>
      <c r="AS6">
        <v>3300.3887598394899</v>
      </c>
      <c r="AT6">
        <v>738.90771447757299</v>
      </c>
      <c r="AU6">
        <v>523.38118477239505</v>
      </c>
      <c r="AV6">
        <v>2213.5331220021199</v>
      </c>
      <c r="AX6">
        <v>34.514277671361803</v>
      </c>
      <c r="AY6">
        <v>53.295963710537301</v>
      </c>
      <c r="BA6">
        <v>69.848652839712798</v>
      </c>
      <c r="BB6">
        <v>55.487341883095802</v>
      </c>
      <c r="BD6">
        <v>37.244898648151903</v>
      </c>
      <c r="BE6">
        <v>53.747871881586299</v>
      </c>
      <c r="BF6">
        <v>15.7802413194522</v>
      </c>
    </row>
    <row r="7" spans="1:58 1030:1032" x14ac:dyDescent="0.2">
      <c r="A7" t="s">
        <v>52</v>
      </c>
      <c r="B7">
        <v>15</v>
      </c>
      <c r="C7" t="s">
        <v>81</v>
      </c>
      <c r="D7">
        <v>1</v>
      </c>
      <c r="E7">
        <v>500</v>
      </c>
      <c r="F7">
        <v>105.265897657488</v>
      </c>
      <c r="G7">
        <v>102</v>
      </c>
      <c r="H7">
        <v>198</v>
      </c>
      <c r="J7">
        <v>212.03565071282401</v>
      </c>
      <c r="K7">
        <v>625.11904862934898</v>
      </c>
      <c r="L7">
        <v>210.35802957118199</v>
      </c>
      <c r="M7">
        <v>621.85348206630204</v>
      </c>
      <c r="O7">
        <f t="shared" ref="O7:O12" si="12">J7/$F7*$C$31</f>
        <v>4.3105725845027827</v>
      </c>
      <c r="P7">
        <f t="shared" ref="P7:P12" si="13">K7/$F7*$C$31</f>
        <v>12.708339489200631</v>
      </c>
      <c r="Q7">
        <f t="shared" ref="Q7:Q12" si="14">L7/$F7*$C$31</f>
        <v>4.2764674343733891</v>
      </c>
      <c r="R7">
        <f t="shared" ref="R7:R12" si="15">M7/$F7*$C$31</f>
        <v>12.641952248884126</v>
      </c>
      <c r="T7">
        <v>40.325636703389499</v>
      </c>
      <c r="U7">
        <v>21.4329790582199</v>
      </c>
      <c r="W7">
        <v>60</v>
      </c>
      <c r="X7">
        <v>112</v>
      </c>
      <c r="Y7">
        <v>3740.0989760867301</v>
      </c>
      <c r="Z7">
        <v>3921.1532560529799</v>
      </c>
      <c r="AA7">
        <v>5418.8359643358799</v>
      </c>
      <c r="AB7">
        <f t="shared" ref="AB7:AB12" si="16">AA7/$F7*$C$31</f>
        <v>110.16206788461173</v>
      </c>
      <c r="AC7">
        <v>46.353788549581303</v>
      </c>
      <c r="AD7">
        <v>46.139306137540601</v>
      </c>
      <c r="AG7">
        <v>93</v>
      </c>
      <c r="AH7">
        <f t="shared" si="7"/>
        <v>110</v>
      </c>
      <c r="AI7">
        <v>17</v>
      </c>
      <c r="AJ7">
        <f t="shared" si="8"/>
        <v>3.4000000000000002E-2</v>
      </c>
      <c r="AL7">
        <v>225</v>
      </c>
      <c r="AM7">
        <f t="shared" si="9"/>
        <v>269</v>
      </c>
      <c r="AN7">
        <v>44</v>
      </c>
      <c r="AO7">
        <f t="shared" si="10"/>
        <v>8.7999999999999995E-2</v>
      </c>
      <c r="AQ7">
        <f t="shared" si="11"/>
        <v>27</v>
      </c>
      <c r="AS7">
        <v>3258.2475712106898</v>
      </c>
      <c r="AT7">
        <v>1228.9811432595</v>
      </c>
      <c r="AU7">
        <v>444.73241961592299</v>
      </c>
      <c r="AV7">
        <v>1984.4862699819801</v>
      </c>
      <c r="AX7">
        <v>24.0764061025545</v>
      </c>
      <c r="AY7">
        <v>65.005576738176799</v>
      </c>
      <c r="BA7">
        <v>34.372413238913602</v>
      </c>
      <c r="BB7">
        <v>56.200803633435598</v>
      </c>
      <c r="BD7">
        <v>37.602373606857</v>
      </c>
      <c r="BE7">
        <v>51.053788301616102</v>
      </c>
      <c r="BF7">
        <v>25.132750151795499</v>
      </c>
    </row>
    <row r="8" spans="1:58 1030:1032" x14ac:dyDescent="0.2">
      <c r="A8" t="s">
        <v>52</v>
      </c>
      <c r="B8">
        <v>18</v>
      </c>
      <c r="C8" t="s">
        <v>87</v>
      </c>
      <c r="D8">
        <v>1</v>
      </c>
      <c r="E8">
        <v>500</v>
      </c>
      <c r="F8">
        <v>89.250502422763702</v>
      </c>
      <c r="G8">
        <v>100</v>
      </c>
      <c r="H8">
        <v>190</v>
      </c>
      <c r="J8">
        <v>157.288085865656</v>
      </c>
      <c r="K8">
        <v>563.40305963047001</v>
      </c>
      <c r="L8">
        <v>154.30744460692199</v>
      </c>
      <c r="M8">
        <v>546.22614322038703</v>
      </c>
      <c r="O8">
        <f t="shared" si="12"/>
        <v>3.7713681672973256</v>
      </c>
      <c r="P8">
        <f t="shared" si="13"/>
        <v>13.50897210525609</v>
      </c>
      <c r="Q8">
        <f t="shared" si="14"/>
        <v>3.6998999724912434</v>
      </c>
      <c r="R8">
        <f t="shared" si="15"/>
        <v>13.097113346820663</v>
      </c>
      <c r="T8">
        <v>41.330888679713397</v>
      </c>
      <c r="U8">
        <v>18.208605025954299</v>
      </c>
      <c r="W8">
        <v>36</v>
      </c>
      <c r="X8">
        <v>107</v>
      </c>
      <c r="Y8">
        <v>3670.3049395859598</v>
      </c>
      <c r="Z8">
        <v>3147.6981651893602</v>
      </c>
      <c r="AA8">
        <v>4835.1982470924204</v>
      </c>
      <c r="AB8">
        <f t="shared" si="16"/>
        <v>115.93575350158088</v>
      </c>
      <c r="AC8">
        <v>40.616791973460302</v>
      </c>
      <c r="AD8">
        <v>41.322035013293601</v>
      </c>
      <c r="AG8">
        <v>91</v>
      </c>
      <c r="AH8">
        <f t="shared" si="7"/>
        <v>105</v>
      </c>
      <c r="AI8">
        <v>14</v>
      </c>
      <c r="AJ8">
        <f t="shared" si="8"/>
        <v>2.8000000000000001E-2</v>
      </c>
      <c r="AL8">
        <v>211</v>
      </c>
      <c r="AM8">
        <f t="shared" si="9"/>
        <v>240</v>
      </c>
      <c r="AN8">
        <v>29</v>
      </c>
      <c r="AO8">
        <f t="shared" si="10"/>
        <v>5.8000000000000003E-2</v>
      </c>
      <c r="AQ8">
        <f t="shared" si="11"/>
        <v>21</v>
      </c>
      <c r="AS8">
        <v>3133.6810157216401</v>
      </c>
      <c r="AT8">
        <v>1953.2799883862399</v>
      </c>
      <c r="AU8">
        <v>429.29214949683899</v>
      </c>
      <c r="AV8">
        <v>2077.4388707162998</v>
      </c>
      <c r="AX8">
        <v>37.185894029459398</v>
      </c>
      <c r="AY8">
        <v>46.898910964251598</v>
      </c>
      <c r="BA8">
        <v>36.737299917879902</v>
      </c>
      <c r="BB8">
        <v>45.347360388202297</v>
      </c>
      <c r="BD8">
        <v>41.912005454067398</v>
      </c>
      <c r="BE8">
        <v>43.390634197571103</v>
      </c>
      <c r="BF8">
        <v>27.370502727280599</v>
      </c>
    </row>
    <row r="9" spans="1:58 1030:1032" x14ac:dyDescent="0.2">
      <c r="A9" t="s">
        <v>52</v>
      </c>
      <c r="B9">
        <v>20</v>
      </c>
      <c r="C9" t="s">
        <v>91</v>
      </c>
      <c r="D9">
        <v>1</v>
      </c>
      <c r="E9">
        <v>500</v>
      </c>
      <c r="F9">
        <v>110.340639016795</v>
      </c>
      <c r="G9">
        <v>89</v>
      </c>
      <c r="H9">
        <v>150</v>
      </c>
      <c r="J9">
        <v>93.699815971153996</v>
      </c>
      <c r="K9">
        <v>447.73267119450998</v>
      </c>
      <c r="L9">
        <v>93.661616788739394</v>
      </c>
      <c r="M9">
        <v>443.923852516149</v>
      </c>
      <c r="O9">
        <f t="shared" si="12"/>
        <v>1.8172597871918135</v>
      </c>
      <c r="P9">
        <f t="shared" si="13"/>
        <v>8.6835451098883993</v>
      </c>
      <c r="Q9">
        <f t="shared" si="14"/>
        <v>1.8165189336758678</v>
      </c>
      <c r="R9">
        <f t="shared" si="15"/>
        <v>8.6096750286171488</v>
      </c>
      <c r="T9">
        <v>39.422690477210701</v>
      </c>
      <c r="U9">
        <v>18.0502530776272</v>
      </c>
      <c r="W9">
        <v>41</v>
      </c>
      <c r="X9">
        <v>87</v>
      </c>
      <c r="Y9">
        <v>4276.1405459315001</v>
      </c>
      <c r="Z9">
        <v>3962.6749869929499</v>
      </c>
      <c r="AA9">
        <v>5829.9374800334599</v>
      </c>
      <c r="AB9">
        <f t="shared" si="16"/>
        <v>113.06864196583652</v>
      </c>
      <c r="AC9">
        <v>42.821095211295599</v>
      </c>
      <c r="AD9">
        <v>40.336714114990997</v>
      </c>
      <c r="AG9">
        <v>67</v>
      </c>
      <c r="AH9">
        <f t="shared" si="7"/>
        <v>85</v>
      </c>
      <c r="AI9">
        <v>18</v>
      </c>
      <c r="AJ9">
        <f t="shared" si="8"/>
        <v>3.5999999999999997E-2</v>
      </c>
      <c r="AL9">
        <v>188</v>
      </c>
      <c r="AM9">
        <f t="shared" si="9"/>
        <v>229</v>
      </c>
      <c r="AN9">
        <v>41</v>
      </c>
      <c r="AO9">
        <f t="shared" si="10"/>
        <v>8.2000000000000003E-2</v>
      </c>
      <c r="AQ9">
        <f t="shared" si="11"/>
        <v>38</v>
      </c>
      <c r="AS9">
        <v>3685.1379612017199</v>
      </c>
      <c r="AT9">
        <v>2650.6159757689802</v>
      </c>
      <c r="AU9">
        <v>654.35842290992798</v>
      </c>
      <c r="AV9">
        <v>1961.7596686167799</v>
      </c>
      <c r="AX9">
        <v>120.467987984342</v>
      </c>
      <c r="AY9">
        <v>118.80041840113699</v>
      </c>
      <c r="BA9">
        <v>123.495571132189</v>
      </c>
      <c r="BB9">
        <v>38.8857873355675</v>
      </c>
      <c r="BD9">
        <v>36.013460286065701</v>
      </c>
      <c r="BE9">
        <v>33.277995105136398</v>
      </c>
      <c r="BF9">
        <v>19.9503261950581</v>
      </c>
    </row>
    <row r="10" spans="1:58 1030:1032" x14ac:dyDescent="0.2">
      <c r="A10" t="s">
        <v>52</v>
      </c>
      <c r="B10">
        <v>21</v>
      </c>
      <c r="C10" t="s">
        <v>93</v>
      </c>
      <c r="D10">
        <v>1</v>
      </c>
      <c r="E10">
        <v>500</v>
      </c>
      <c r="F10">
        <v>96.065095613018897</v>
      </c>
      <c r="G10">
        <v>212</v>
      </c>
      <c r="H10">
        <v>297</v>
      </c>
      <c r="J10">
        <v>145.14639328426</v>
      </c>
      <c r="K10">
        <v>569.85653056506101</v>
      </c>
      <c r="L10">
        <v>144.94292096352001</v>
      </c>
      <c r="M10">
        <v>563.923406399236</v>
      </c>
      <c r="O10">
        <f t="shared" si="12"/>
        <v>3.2333625407459814</v>
      </c>
      <c r="P10">
        <f t="shared" si="13"/>
        <v>12.694443987457637</v>
      </c>
      <c r="Q10">
        <f t="shared" si="14"/>
        <v>3.2288298771015538</v>
      </c>
      <c r="R10">
        <f t="shared" si="15"/>
        <v>12.562274382734472</v>
      </c>
      <c r="T10">
        <v>27.234064395951702</v>
      </c>
      <c r="U10">
        <v>15.8216279947667</v>
      </c>
      <c r="W10">
        <v>174</v>
      </c>
      <c r="X10">
        <v>226</v>
      </c>
      <c r="Y10">
        <v>3714.4389995281399</v>
      </c>
      <c r="Z10">
        <v>2785.0417468112</v>
      </c>
      <c r="AA10">
        <v>4642.5762904552003</v>
      </c>
      <c r="AB10">
        <f t="shared" si="16"/>
        <v>103.42063574886721</v>
      </c>
      <c r="AC10">
        <v>36.862122550963903</v>
      </c>
      <c r="AD10">
        <v>37.893722670617898</v>
      </c>
      <c r="AG10">
        <v>204</v>
      </c>
      <c r="AH10">
        <f t="shared" si="7"/>
        <v>223</v>
      </c>
      <c r="AI10">
        <v>19</v>
      </c>
      <c r="AJ10">
        <f t="shared" si="8"/>
        <v>3.7999999999999999E-2</v>
      </c>
      <c r="AL10">
        <v>416</v>
      </c>
      <c r="AM10">
        <f t="shared" si="9"/>
        <v>460</v>
      </c>
      <c r="AN10">
        <v>44</v>
      </c>
      <c r="AO10">
        <f t="shared" si="10"/>
        <v>8.7999999999999995E-2</v>
      </c>
      <c r="AQ10">
        <f t="shared" si="11"/>
        <v>119</v>
      </c>
      <c r="AS10">
        <v>3346.46739757257</v>
      </c>
      <c r="AT10">
        <v>928.14127496367098</v>
      </c>
      <c r="AU10">
        <v>541.13718321982799</v>
      </c>
      <c r="AV10">
        <v>1434.3301345612699</v>
      </c>
      <c r="AX10">
        <v>14.595017045129</v>
      </c>
      <c r="AY10">
        <v>190.47729487786501</v>
      </c>
      <c r="BA10">
        <v>14.6106001781571</v>
      </c>
      <c r="BB10">
        <v>40.241873429156598</v>
      </c>
      <c r="BD10">
        <v>21.8082087528141</v>
      </c>
      <c r="BE10">
        <v>33.361853647885098</v>
      </c>
      <c r="BF10">
        <v>14.2483674488409</v>
      </c>
    </row>
    <row r="11" spans="1:58 1030:1032" x14ac:dyDescent="0.2">
      <c r="A11" t="s">
        <v>52</v>
      </c>
      <c r="B11">
        <v>22</v>
      </c>
      <c r="C11" t="s">
        <v>95</v>
      </c>
      <c r="D11">
        <v>1</v>
      </c>
      <c r="E11">
        <v>500</v>
      </c>
      <c r="F11">
        <v>94.061775426335799</v>
      </c>
      <c r="G11">
        <v>260</v>
      </c>
      <c r="H11">
        <v>344</v>
      </c>
      <c r="J11">
        <v>133.59118750819599</v>
      </c>
      <c r="K11">
        <v>568.83592732013005</v>
      </c>
      <c r="L11">
        <v>133.86350508840101</v>
      </c>
      <c r="M11">
        <v>560.89438588914004</v>
      </c>
      <c r="O11">
        <f t="shared" si="12"/>
        <v>3.0393338842666173</v>
      </c>
      <c r="P11">
        <f t="shared" si="13"/>
        <v>12.941589492092994</v>
      </c>
      <c r="Q11">
        <f t="shared" si="14"/>
        <v>3.045529383118275</v>
      </c>
      <c r="R11">
        <f t="shared" si="15"/>
        <v>12.760911436790623</v>
      </c>
      <c r="T11">
        <v>27.544498640555901</v>
      </c>
      <c r="U11">
        <v>19.2830027587502</v>
      </c>
      <c r="W11">
        <v>229</v>
      </c>
      <c r="X11">
        <v>273</v>
      </c>
      <c r="Y11">
        <v>3686.9525588228598</v>
      </c>
      <c r="Z11">
        <v>2681.0948836443799</v>
      </c>
      <c r="AA11">
        <v>4558.7157123596198</v>
      </c>
      <c r="AB11">
        <f t="shared" si="16"/>
        <v>103.7153676956661</v>
      </c>
      <c r="AC11">
        <v>36.0240682980386</v>
      </c>
      <c r="AD11">
        <v>32.411075495725797</v>
      </c>
      <c r="AG11">
        <v>245</v>
      </c>
      <c r="AH11">
        <f t="shared" si="7"/>
        <v>271</v>
      </c>
      <c r="AI11">
        <v>26</v>
      </c>
      <c r="AJ11">
        <f t="shared" si="8"/>
        <v>5.1999999999999998E-2</v>
      </c>
      <c r="AL11">
        <v>463</v>
      </c>
      <c r="AM11">
        <f t="shared" si="9"/>
        <v>509</v>
      </c>
      <c r="AN11">
        <v>46</v>
      </c>
      <c r="AO11">
        <f t="shared" si="10"/>
        <v>9.1999999999999998E-2</v>
      </c>
      <c r="AQ11">
        <f t="shared" si="11"/>
        <v>119</v>
      </c>
      <c r="AS11">
        <v>3380.68522459103</v>
      </c>
      <c r="AT11">
        <v>625.84391402538904</v>
      </c>
      <c r="AU11">
        <v>546.138703741163</v>
      </c>
      <c r="AV11">
        <v>1410.0285445557899</v>
      </c>
      <c r="AX11">
        <v>20.665644819273901</v>
      </c>
      <c r="AY11">
        <v>191.782013331652</v>
      </c>
      <c r="BA11">
        <v>13.3833688992374</v>
      </c>
      <c r="BB11">
        <v>34.640105082222497</v>
      </c>
      <c r="BD11">
        <v>19.826182264435701</v>
      </c>
      <c r="BE11">
        <v>33.256421718280798</v>
      </c>
      <c r="BF11">
        <v>11.570491581815</v>
      </c>
    </row>
    <row r="12" spans="1:58 1030:1032" x14ac:dyDescent="0.2">
      <c r="A12" t="s">
        <v>52</v>
      </c>
      <c r="B12">
        <v>23</v>
      </c>
      <c r="C12" t="s">
        <v>97</v>
      </c>
      <c r="D12">
        <v>1</v>
      </c>
      <c r="E12">
        <v>500</v>
      </c>
      <c r="F12">
        <v>111.731253028521</v>
      </c>
      <c r="G12">
        <v>95</v>
      </c>
      <c r="H12">
        <v>192</v>
      </c>
      <c r="J12">
        <v>225.35864484648999</v>
      </c>
      <c r="K12">
        <v>749.59016021084005</v>
      </c>
      <c r="L12">
        <v>224.22339110637199</v>
      </c>
      <c r="M12">
        <v>739.60727668032996</v>
      </c>
      <c r="O12">
        <f t="shared" si="12"/>
        <v>4.3163169381836521</v>
      </c>
      <c r="P12">
        <f t="shared" si="13"/>
        <v>14.356976220804778</v>
      </c>
      <c r="Q12">
        <f t="shared" si="14"/>
        <v>4.2945733083755053</v>
      </c>
      <c r="R12">
        <f t="shared" si="15"/>
        <v>14.165773041960643</v>
      </c>
      <c r="T12">
        <v>38.539680085945903</v>
      </c>
      <c r="U12">
        <v>18.8824273871993</v>
      </c>
      <c r="W12">
        <v>41</v>
      </c>
      <c r="X12">
        <v>107</v>
      </c>
      <c r="Y12">
        <v>4112.3536950007201</v>
      </c>
      <c r="Z12">
        <v>4073.4927667485599</v>
      </c>
      <c r="AA12">
        <v>5788.3327680376897</v>
      </c>
      <c r="AB12">
        <f t="shared" si="16"/>
        <v>110.86452346899475</v>
      </c>
      <c r="AC12">
        <v>44.727999974027398</v>
      </c>
      <c r="AD12">
        <v>48.6199456178323</v>
      </c>
      <c r="AG12">
        <v>89</v>
      </c>
      <c r="AH12">
        <f t="shared" si="7"/>
        <v>106</v>
      </c>
      <c r="AI12">
        <v>17</v>
      </c>
      <c r="AJ12">
        <f t="shared" si="8"/>
        <v>3.4000000000000002E-2</v>
      </c>
      <c r="AL12">
        <v>203</v>
      </c>
      <c r="AM12">
        <f t="shared" si="9"/>
        <v>248</v>
      </c>
      <c r="AN12">
        <v>45</v>
      </c>
      <c r="AO12">
        <f t="shared" si="10"/>
        <v>0.09</v>
      </c>
      <c r="AQ12">
        <f t="shared" si="11"/>
        <v>11</v>
      </c>
      <c r="AS12">
        <v>3860.54260457697</v>
      </c>
      <c r="AT12">
        <v>1299.2492320118799</v>
      </c>
      <c r="AU12">
        <v>644.00817855154901</v>
      </c>
      <c r="AV12">
        <v>2570.4428471200099</v>
      </c>
      <c r="AX12">
        <v>16.925419314990499</v>
      </c>
      <c r="AY12">
        <v>76.746238039220103</v>
      </c>
      <c r="BA12">
        <v>24.6182557353807</v>
      </c>
      <c r="BB12">
        <v>56.602618135713698</v>
      </c>
      <c r="BD12">
        <v>35.272539211135602</v>
      </c>
      <c r="BE12">
        <v>43.387656740001198</v>
      </c>
      <c r="BF12">
        <v>28.885605519924098</v>
      </c>
    </row>
    <row r="14" spans="1:58 1030:1032" x14ac:dyDescent="0.2">
      <c r="A14" t="s">
        <v>101</v>
      </c>
      <c r="B14">
        <v>3</v>
      </c>
      <c r="C14" t="s">
        <v>106</v>
      </c>
      <c r="D14">
        <v>1</v>
      </c>
      <c r="E14">
        <v>250</v>
      </c>
      <c r="F14">
        <v>110.860816345215</v>
      </c>
      <c r="G14">
        <v>69</v>
      </c>
      <c r="H14">
        <v>94</v>
      </c>
      <c r="J14">
        <v>52.826479963909001</v>
      </c>
      <c r="K14">
        <v>456.96045006206998</v>
      </c>
      <c r="L14">
        <v>51.090207188814297</v>
      </c>
      <c r="M14">
        <v>429.357379401142</v>
      </c>
      <c r="O14">
        <f>J14/$F14*$D$31</f>
        <v>1.0626211695274217</v>
      </c>
      <c r="P14">
        <f t="shared" ref="P14:R14" si="17">K14/$F14*$D$31</f>
        <v>9.1919023982759924</v>
      </c>
      <c r="Q14">
        <f t="shared" si="17"/>
        <v>1.0276954995196859</v>
      </c>
      <c r="R14">
        <f t="shared" si="17"/>
        <v>8.6366579972047361</v>
      </c>
      <c r="T14">
        <v>13.597004765352599</v>
      </c>
      <c r="U14">
        <v>15.3744505490204</v>
      </c>
      <c r="W14">
        <v>48</v>
      </c>
      <c r="X14">
        <v>75</v>
      </c>
      <c r="Y14">
        <v>5166.61110069395</v>
      </c>
      <c r="Z14">
        <v>1523.8165764287401</v>
      </c>
      <c r="AA14">
        <v>5386.6396969180096</v>
      </c>
      <c r="AB14">
        <f>AA14/$F14*$D$31</f>
        <v>108.35394253928055</v>
      </c>
      <c r="AC14">
        <v>16.4326548378029</v>
      </c>
      <c r="AD14">
        <v>19.483362251393899</v>
      </c>
      <c r="AG14">
        <v>65</v>
      </c>
      <c r="AH14">
        <f>AG14+AI14</f>
        <v>75</v>
      </c>
      <c r="AI14">
        <v>10</v>
      </c>
      <c r="AJ14">
        <f>AI14/E14</f>
        <v>0.04</v>
      </c>
      <c r="AL14">
        <v>133</v>
      </c>
      <c r="AM14">
        <f>AL14+AN14</f>
        <v>150</v>
      </c>
      <c r="AN14">
        <v>17</v>
      </c>
      <c r="AO14">
        <f>AN14/E14</f>
        <v>6.8000000000000005E-2</v>
      </c>
      <c r="AQ14">
        <f>-(H14-AL14)</f>
        <v>39</v>
      </c>
      <c r="AS14">
        <v>4545.1347150957599</v>
      </c>
      <c r="AT14">
        <v>1447.39284697933</v>
      </c>
      <c r="AU14">
        <v>1401.95757578133</v>
      </c>
      <c r="AV14">
        <v>2286.9145372156299</v>
      </c>
      <c r="AX14">
        <v>27.464471381118301</v>
      </c>
      <c r="AY14">
        <v>333.15902442442501</v>
      </c>
      <c r="BA14">
        <v>18.468371455299099</v>
      </c>
      <c r="BB14">
        <v>37.914077705865999</v>
      </c>
      <c r="BD14">
        <v>12.2240287407036</v>
      </c>
      <c r="BE14">
        <v>16.509101399222999</v>
      </c>
      <c r="BF14">
        <v>17.253667081780598</v>
      </c>
    </row>
    <row r="17" spans="1:41" x14ac:dyDescent="0.2">
      <c r="A17" t="s">
        <v>18</v>
      </c>
      <c r="C17" t="s">
        <v>309</v>
      </c>
      <c r="O17">
        <f>AVERAGE(O$2:O$4)</f>
        <v>4.4909587704143386</v>
      </c>
      <c r="P17">
        <f t="shared" ref="P17:AO17" si="18">AVERAGE(P$2:P$4)</f>
        <v>13.872719733513016</v>
      </c>
      <c r="Q17">
        <f t="shared" si="18"/>
        <v>4.4819379557822856</v>
      </c>
      <c r="R17">
        <f t="shared" si="18"/>
        <v>13.771271575632662</v>
      </c>
      <c r="T17">
        <f t="shared" si="18"/>
        <v>44.136694571350802</v>
      </c>
      <c r="U17">
        <f t="shared" si="18"/>
        <v>18.118397670857433</v>
      </c>
      <c r="AB17">
        <f t="shared" si="18"/>
        <v>112.76073375681142</v>
      </c>
      <c r="AC17">
        <f t="shared" si="18"/>
        <v>48.299537210124804</v>
      </c>
      <c r="AD17">
        <f t="shared" si="18"/>
        <v>52.238203510075174</v>
      </c>
      <c r="AJ17">
        <f t="shared" si="18"/>
        <v>2.8000000000000001E-2</v>
      </c>
      <c r="AO17">
        <f t="shared" si="18"/>
        <v>7.333333333333332E-2</v>
      </c>
    </row>
    <row r="18" spans="1:41" x14ac:dyDescent="0.2">
      <c r="A18" t="s">
        <v>52</v>
      </c>
      <c r="C18" t="s">
        <v>309</v>
      </c>
      <c r="O18">
        <f>AVERAGE(O$6:O$12)</f>
        <v>3.7175383597688128</v>
      </c>
      <c r="P18">
        <f t="shared" ref="P18:AO18" si="19">AVERAGE(P$6:P$12)</f>
        <v>12.832817866243959</v>
      </c>
      <c r="Q18">
        <f t="shared" si="19"/>
        <v>3.7037785402139041</v>
      </c>
      <c r="R18">
        <f t="shared" si="19"/>
        <v>12.673643942408928</v>
      </c>
      <c r="T18">
        <f t="shared" si="19"/>
        <v>38.476111495894486</v>
      </c>
      <c r="U18">
        <f t="shared" si="19"/>
        <v>18.970905091034744</v>
      </c>
      <c r="AB18">
        <f t="shared" si="19"/>
        <v>111.13166370820105</v>
      </c>
      <c r="AC18">
        <f t="shared" si="19"/>
        <v>42.916645834343626</v>
      </c>
      <c r="AD18">
        <f t="shared" si="19"/>
        <v>43.280727488927532</v>
      </c>
      <c r="AJ18">
        <f t="shared" si="19"/>
        <v>3.8571428571428576E-2</v>
      </c>
      <c r="AO18">
        <f t="shared" si="19"/>
        <v>7.971428571428571E-2</v>
      </c>
    </row>
    <row r="19" spans="1:41" x14ac:dyDescent="0.2">
      <c r="A19" t="s">
        <v>101</v>
      </c>
      <c r="C19" t="s">
        <v>309</v>
      </c>
      <c r="O19">
        <f>AVERAGE(O$14)</f>
        <v>1.0626211695274217</v>
      </c>
      <c r="P19">
        <f t="shared" ref="P19:AO19" si="20">AVERAGE(P$14)</f>
        <v>9.1919023982759924</v>
      </c>
      <c r="Q19">
        <f t="shared" si="20"/>
        <v>1.0276954995196859</v>
      </c>
      <c r="R19">
        <f t="shared" si="20"/>
        <v>8.6366579972047361</v>
      </c>
      <c r="T19">
        <f t="shared" si="20"/>
        <v>13.597004765352599</v>
      </c>
      <c r="U19">
        <f t="shared" si="20"/>
        <v>15.3744505490204</v>
      </c>
      <c r="AB19">
        <f t="shared" si="20"/>
        <v>108.35394253928055</v>
      </c>
      <c r="AC19">
        <f t="shared" si="20"/>
        <v>16.4326548378029</v>
      </c>
      <c r="AD19">
        <f t="shared" si="20"/>
        <v>19.483362251393899</v>
      </c>
      <c r="AJ19">
        <f t="shared" si="20"/>
        <v>0.04</v>
      </c>
      <c r="AO19">
        <f t="shared" si="20"/>
        <v>6.8000000000000005E-2</v>
      </c>
    </row>
    <row r="21" spans="1:41" x14ac:dyDescent="0.2">
      <c r="A21" t="s">
        <v>310</v>
      </c>
      <c r="O21">
        <f>AVERAGE(O17:O19)</f>
        <v>3.0903727665701908</v>
      </c>
      <c r="P21">
        <f t="shared" ref="P21:AO21" si="21">AVERAGE(P17:P19)</f>
        <v>11.965813332677655</v>
      </c>
      <c r="Q21">
        <f t="shared" si="21"/>
        <v>3.0711373318386248</v>
      </c>
      <c r="R21">
        <f t="shared" si="21"/>
        <v>11.693857838415441</v>
      </c>
      <c r="T21">
        <f t="shared" si="21"/>
        <v>32.069936944199291</v>
      </c>
      <c r="U21">
        <f t="shared" si="21"/>
        <v>17.487917770304193</v>
      </c>
      <c r="AB21">
        <f t="shared" si="21"/>
        <v>110.748780001431</v>
      </c>
      <c r="AC21">
        <f t="shared" si="21"/>
        <v>35.882945960757112</v>
      </c>
      <c r="AD21">
        <f t="shared" si="21"/>
        <v>38.334097750132202</v>
      </c>
      <c r="AJ21">
        <f t="shared" si="21"/>
        <v>3.552380952380952E-2</v>
      </c>
      <c r="AO21">
        <f t="shared" si="21"/>
        <v>7.3682539682539683E-2</v>
      </c>
    </row>
    <row r="23" spans="1:41" x14ac:dyDescent="0.2">
      <c r="O23">
        <f t="shared" ref="O23:U23" si="22">_xlfn.STDEV.P(O17:O19)</f>
        <v>1.4681909928849861</v>
      </c>
      <c r="P23">
        <f t="shared" si="22"/>
        <v>2.0068691000963499</v>
      </c>
      <c r="Q23">
        <f t="shared" si="22"/>
        <v>1.4794422170900918</v>
      </c>
      <c r="R23">
        <f t="shared" si="22"/>
        <v>2.2077212621657565</v>
      </c>
      <c r="T23">
        <f t="shared" si="22"/>
        <v>13.265179170840184</v>
      </c>
      <c r="U23">
        <f t="shared" si="22"/>
        <v>1.5344380072076595</v>
      </c>
      <c r="AB23">
        <f>_xlfn.STDEV.P(AB17:AB19)</f>
        <v>1.8193226135770548</v>
      </c>
      <c r="AC23">
        <f t="shared" ref="AC23:AJ23" si="23">_xlfn.STDEV.P(AC17:AC19)</f>
        <v>13.927891643906912</v>
      </c>
      <c r="AD23">
        <f t="shared" si="23"/>
        <v>13.822005783047633</v>
      </c>
      <c r="AJ23">
        <f t="shared" si="23"/>
        <v>5.3520081212293782E-3</v>
      </c>
    </row>
    <row r="24" spans="1:41" x14ac:dyDescent="0.2">
      <c r="AB24">
        <f>STDEVA(AB17:AB19)</f>
        <v>2.2282060403852397</v>
      </c>
    </row>
    <row r="25" spans="1:41" x14ac:dyDescent="0.2">
      <c r="AB25">
        <f>_xlfn.STDEV.S(AB17:AB19)</f>
        <v>2.2282060403852397</v>
      </c>
    </row>
    <row r="26" spans="1:41" x14ac:dyDescent="0.2">
      <c r="AB26">
        <f>AVEDEV(AB17:AB19)</f>
        <v>1.5965583081003036</v>
      </c>
    </row>
    <row r="27" spans="1:41" x14ac:dyDescent="0.2">
      <c r="AB27">
        <f>STDEV(AB17:AB19)</f>
        <v>2.2282060403852397</v>
      </c>
    </row>
    <row r="28" spans="1:41" x14ac:dyDescent="0.2">
      <c r="AB28">
        <f>STDEVPA(AB17:AB19)</f>
        <v>1.8193226135770548</v>
      </c>
    </row>
    <row r="30" spans="1:41" x14ac:dyDescent="0.2">
      <c r="A30" t="s">
        <v>315</v>
      </c>
      <c r="B30" t="s">
        <v>18</v>
      </c>
      <c r="C30" t="s">
        <v>52</v>
      </c>
      <c r="D30" t="s">
        <v>101</v>
      </c>
    </row>
    <row r="31" spans="1:41" x14ac:dyDescent="0.2">
      <c r="B31">
        <v>2.0099999999999998</v>
      </c>
      <c r="C31">
        <v>2.14</v>
      </c>
      <c r="D31">
        <v>2.23</v>
      </c>
    </row>
    <row r="33" spans="21:48" x14ac:dyDescent="0.2">
      <c r="U33" t="s">
        <v>161</v>
      </c>
    </row>
    <row r="34" spans="21:48" x14ac:dyDescent="0.2">
      <c r="W34">
        <v>19</v>
      </c>
      <c r="X34">
        <v>82</v>
      </c>
      <c r="Y34">
        <v>3097.8780041272398</v>
      </c>
      <c r="Z34">
        <v>4607.6407518629903</v>
      </c>
      <c r="AA34">
        <v>5552.2249077900196</v>
      </c>
      <c r="AC34">
        <v>56.085679649865803</v>
      </c>
      <c r="AD34">
        <v>56.7257126688082</v>
      </c>
    </row>
    <row r="35" spans="21:48" x14ac:dyDescent="0.2">
      <c r="W35">
        <v>107</v>
      </c>
      <c r="X35">
        <v>126</v>
      </c>
      <c r="Y35">
        <v>3289.2250421747899</v>
      </c>
      <c r="Z35">
        <v>4316.1434348881803</v>
      </c>
      <c r="AA35">
        <v>5426.6099480797402</v>
      </c>
      <c r="AC35">
        <v>52.689880521367201</v>
      </c>
      <c r="AD35">
        <v>57.670644099145001</v>
      </c>
    </row>
    <row r="36" spans="21:48" x14ac:dyDescent="0.2">
      <c r="W36">
        <v>133</v>
      </c>
      <c r="X36">
        <v>156</v>
      </c>
      <c r="Y36">
        <v>3524.7766857666702</v>
      </c>
      <c r="Z36">
        <v>2912.21801162373</v>
      </c>
      <c r="AA36">
        <v>4572.2056418921002</v>
      </c>
      <c r="AC36">
        <v>39.563976530505897</v>
      </c>
      <c r="AD36">
        <v>40.625892405165999</v>
      </c>
    </row>
    <row r="38" spans="21:48" x14ac:dyDescent="0.2">
      <c r="W38">
        <v>25</v>
      </c>
      <c r="X38">
        <v>152</v>
      </c>
      <c r="Y38">
        <v>3464.48867733932</v>
      </c>
      <c r="Z38">
        <v>4599.3109469943201</v>
      </c>
      <c r="AA38">
        <v>5758.1544771353701</v>
      </c>
      <c r="AC38">
        <v>53.010654283038299</v>
      </c>
      <c r="AD38">
        <v>56.242293372491503</v>
      </c>
    </row>
    <row r="39" spans="21:48" x14ac:dyDescent="0.2">
      <c r="W39">
        <v>59</v>
      </c>
      <c r="X39">
        <v>111</v>
      </c>
      <c r="Y39">
        <v>3702.8887846389898</v>
      </c>
      <c r="Z39">
        <v>3940.2592622475699</v>
      </c>
      <c r="AA39">
        <v>5407.1275558408097</v>
      </c>
      <c r="AC39">
        <v>46.778842490231099</v>
      </c>
      <c r="AD39">
        <v>45.6784624339573</v>
      </c>
    </row>
    <row r="40" spans="21:48" x14ac:dyDescent="0.2">
      <c r="W40">
        <v>35</v>
      </c>
      <c r="X40">
        <v>106</v>
      </c>
      <c r="Y40">
        <v>3643.7712629719599</v>
      </c>
      <c r="Z40">
        <v>3148.6772444050898</v>
      </c>
      <c r="AA40">
        <v>4815.7281283617704</v>
      </c>
      <c r="AC40">
        <v>40.831146660616298</v>
      </c>
      <c r="AD40">
        <v>41.212012157690701</v>
      </c>
      <c r="AR40" t="s">
        <v>161</v>
      </c>
    </row>
    <row r="41" spans="21:48" x14ac:dyDescent="0.2">
      <c r="W41">
        <v>43</v>
      </c>
      <c r="X41">
        <v>89</v>
      </c>
      <c r="Y41">
        <v>4360.75163190897</v>
      </c>
      <c r="Z41">
        <v>3765.4945416721498</v>
      </c>
      <c r="AA41">
        <v>5761.5192387563402</v>
      </c>
      <c r="AC41">
        <v>40.810499317961799</v>
      </c>
      <c r="AD41">
        <v>39.422690477210701</v>
      </c>
      <c r="AS41">
        <v>2982.1884381179002</v>
      </c>
      <c r="AT41">
        <v>1759.1940107371699</v>
      </c>
      <c r="AU41">
        <v>599.83870605873597</v>
      </c>
      <c r="AV41">
        <v>2216.50796460732</v>
      </c>
    </row>
    <row r="42" spans="21:48" x14ac:dyDescent="0.2">
      <c r="W42">
        <v>171</v>
      </c>
      <c r="X42">
        <v>223</v>
      </c>
      <c r="Y42">
        <v>3510.4230990880501</v>
      </c>
      <c r="Z42">
        <v>2852.4646919391498</v>
      </c>
      <c r="AA42">
        <v>4523.2317156398703</v>
      </c>
      <c r="AC42">
        <v>39.096276573392402</v>
      </c>
      <c r="AD42">
        <v>37.254450264710897</v>
      </c>
      <c r="AS42">
        <v>3062.3320379540601</v>
      </c>
      <c r="AT42">
        <v>1059.47051866983</v>
      </c>
      <c r="AU42">
        <v>597.14528505770397</v>
      </c>
      <c r="AV42">
        <v>1986.1884730009201</v>
      </c>
    </row>
    <row r="43" spans="21:48" x14ac:dyDescent="0.2">
      <c r="W43">
        <v>226</v>
      </c>
      <c r="X43">
        <v>270</v>
      </c>
      <c r="Y43">
        <v>3495.2333498172102</v>
      </c>
      <c r="Z43">
        <v>2766.6249610794698</v>
      </c>
      <c r="AA43">
        <v>4457.6753857747899</v>
      </c>
      <c r="AC43">
        <v>38.363103919356398</v>
      </c>
      <c r="AD43">
        <v>32.221205383406499</v>
      </c>
      <c r="AS43">
        <v>3429.8494363340301</v>
      </c>
      <c r="AT43">
        <v>1289.9977574141301</v>
      </c>
      <c r="AU43">
        <v>789.36067529184197</v>
      </c>
      <c r="AV43">
        <v>2179.4078523276999</v>
      </c>
    </row>
    <row r="44" spans="21:48" x14ac:dyDescent="0.2">
      <c r="W44">
        <v>40</v>
      </c>
      <c r="X44">
        <v>106</v>
      </c>
      <c r="Y44">
        <v>4054.5716387677899</v>
      </c>
      <c r="Z44">
        <v>4098.0732780364497</v>
      </c>
      <c r="AA44">
        <v>5764.87257153673</v>
      </c>
      <c r="AC44">
        <v>45.305721235614897</v>
      </c>
      <c r="AD44">
        <v>47.953550925936497</v>
      </c>
    </row>
    <row r="45" spans="21:48" x14ac:dyDescent="0.2">
      <c r="AS45">
        <v>3300.3887598394899</v>
      </c>
      <c r="AT45">
        <v>738.90771447757299</v>
      </c>
      <c r="AU45">
        <v>523.38118477239505</v>
      </c>
      <c r="AV45">
        <v>2213.5331220021199</v>
      </c>
    </row>
    <row r="46" spans="21:48" x14ac:dyDescent="0.2">
      <c r="W46">
        <v>46</v>
      </c>
      <c r="X46">
        <v>73</v>
      </c>
      <c r="Y46">
        <v>4815.51928433581</v>
      </c>
      <c r="Z46">
        <v>1731.88008210935</v>
      </c>
      <c r="AA46">
        <v>5117.4832287577801</v>
      </c>
      <c r="AC46">
        <v>19.780895851620802</v>
      </c>
      <c r="AD46">
        <v>17.731940864466601</v>
      </c>
      <c r="AS46">
        <v>3258.2475712106898</v>
      </c>
      <c r="AT46">
        <v>1228.9811432595</v>
      </c>
      <c r="AU46">
        <v>444.73241961592299</v>
      </c>
      <c r="AV46">
        <v>1984.4862699819801</v>
      </c>
    </row>
    <row r="47" spans="21:48" x14ac:dyDescent="0.2">
      <c r="AS47">
        <v>3133.6810157216401</v>
      </c>
      <c r="AT47">
        <v>1953.2799883862399</v>
      </c>
      <c r="AU47">
        <v>429.29214949683899</v>
      </c>
      <c r="AV47">
        <v>2077.4388707162998</v>
      </c>
    </row>
    <row r="48" spans="21:48" x14ac:dyDescent="0.2">
      <c r="AS48">
        <v>3685.1379612017199</v>
      </c>
      <c r="AT48">
        <v>2650.6159757689802</v>
      </c>
      <c r="AU48">
        <v>654.35842290992798</v>
      </c>
      <c r="AV48">
        <v>1961.7596686167799</v>
      </c>
    </row>
    <row r="49" spans="45:48" x14ac:dyDescent="0.2">
      <c r="AS49">
        <v>3346.46739757257</v>
      </c>
      <c r="AT49">
        <v>928.14127496367098</v>
      </c>
      <c r="AU49">
        <v>541.13718321982799</v>
      </c>
      <c r="AV49">
        <v>1434.3301345612699</v>
      </c>
    </row>
    <row r="50" spans="45:48" x14ac:dyDescent="0.2">
      <c r="AS50">
        <v>3380.68522459103</v>
      </c>
      <c r="AT50">
        <v>625.84391402538904</v>
      </c>
      <c r="AU50">
        <v>546.138703741163</v>
      </c>
      <c r="AV50">
        <v>1410.0285445557899</v>
      </c>
    </row>
    <row r="51" spans="45:48" x14ac:dyDescent="0.2">
      <c r="AS51">
        <v>3860.54260457697</v>
      </c>
      <c r="AT51">
        <v>1299.2492320118799</v>
      </c>
      <c r="AU51">
        <v>644.00817855154901</v>
      </c>
      <c r="AV51">
        <v>2570.4428471200099</v>
      </c>
    </row>
    <row r="53" spans="45:48" x14ac:dyDescent="0.2">
      <c r="AS53">
        <v>4545.1347150957599</v>
      </c>
      <c r="AT53">
        <v>1447.39284697933</v>
      </c>
      <c r="AU53">
        <v>1401.95757578133</v>
      </c>
      <c r="AV53">
        <v>2286.9145372156299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72"/>
  <sheetViews>
    <sheetView windowProtection="1" zoomScaleNormal="100" workbookViewId="0">
      <pane xSplit="5" topLeftCell="F1" activePane="topRight" state="frozen"/>
      <selection pane="topRight" activeCell="E43" sqref="E43"/>
    </sheetView>
  </sheetViews>
  <sheetFormatPr defaultRowHeight="12.75" x14ac:dyDescent="0.2"/>
  <cols>
    <col min="1" max="1" width="10.140625" style="17"/>
    <col min="2" max="2" width="10.140625" style="18"/>
    <col min="3" max="3" width="22.42578125"/>
    <col min="4" max="4" width="8.42578125"/>
    <col min="5" max="5" width="22" style="19"/>
    <col min="6" max="6" width="8.42578125"/>
    <col min="7" max="9" width="12.5703125"/>
    <col min="10" max="10" width="14.28515625"/>
    <col min="11" max="14" width="18.42578125"/>
    <col min="15" max="15" width="15.5703125"/>
    <col min="16" max="16" width="14.140625"/>
    <col min="17" max="19" width="15.5703125"/>
    <col min="20" max="20" width="14.140625"/>
    <col min="21" max="32" width="8.42578125"/>
    <col min="33" max="33" width="16.42578125"/>
    <col min="34" max="34" width="15.42578125"/>
    <col min="35" max="1025" width="8.42578125"/>
  </cols>
  <sheetData>
    <row r="1" spans="1:1024" s="12" customFormat="1" ht="77.25" x14ac:dyDescent="0.25">
      <c r="A1" s="3" t="s">
        <v>115</v>
      </c>
      <c r="B1" s="20" t="s">
        <v>1</v>
      </c>
      <c r="C1" s="3" t="s">
        <v>2</v>
      </c>
      <c r="D1" s="3" t="s">
        <v>116</v>
      </c>
      <c r="E1" s="3" t="s">
        <v>163</v>
      </c>
      <c r="F1" s="12" t="s">
        <v>117</v>
      </c>
      <c r="G1" s="12" t="s">
        <v>204</v>
      </c>
      <c r="H1" s="12" t="s">
        <v>205</v>
      </c>
      <c r="I1" s="12" t="s">
        <v>206</v>
      </c>
      <c r="J1" s="12" t="s">
        <v>207</v>
      </c>
      <c r="K1" s="12" t="s">
        <v>208</v>
      </c>
      <c r="L1" s="12" t="s">
        <v>209</v>
      </c>
      <c r="M1" s="12" t="s">
        <v>210</v>
      </c>
      <c r="N1" t="s">
        <v>211</v>
      </c>
      <c r="O1" s="12" t="s">
        <v>212</v>
      </c>
      <c r="P1" s="12" t="s">
        <v>213</v>
      </c>
      <c r="Q1" s="12" t="s">
        <v>214</v>
      </c>
      <c r="R1" t="s">
        <v>215</v>
      </c>
      <c r="S1" t="s">
        <v>216</v>
      </c>
      <c r="T1" t="s">
        <v>217</v>
      </c>
      <c r="V1" s="12" t="s">
        <v>218</v>
      </c>
      <c r="W1" s="12" t="s">
        <v>219</v>
      </c>
      <c r="X1" s="12" t="s">
        <v>220</v>
      </c>
      <c r="Y1" s="12" t="s">
        <v>221</v>
      </c>
      <c r="Z1" s="12" t="s">
        <v>222</v>
      </c>
      <c r="AB1" s="12" t="s">
        <v>223</v>
      </c>
      <c r="AC1" s="12" t="s">
        <v>224</v>
      </c>
      <c r="AD1" s="12" t="s">
        <v>225</v>
      </c>
      <c r="AE1" s="12" t="s">
        <v>226</v>
      </c>
      <c r="AG1" t="s">
        <v>215</v>
      </c>
      <c r="AH1" t="s">
        <v>217</v>
      </c>
      <c r="AJ1" s="12" t="s">
        <v>227</v>
      </c>
      <c r="AK1" s="12" t="s">
        <v>228</v>
      </c>
      <c r="AM1" s="48" t="s">
        <v>229</v>
      </c>
      <c r="AN1" s="48"/>
      <c r="AO1" s="48"/>
      <c r="AP1" s="48"/>
      <c r="AQ1" s="48"/>
      <c r="AR1" s="48"/>
      <c r="AS1" s="48"/>
      <c r="AMI1"/>
      <c r="AMJ1"/>
    </row>
    <row r="2" spans="1:1024" ht="76.5" x14ac:dyDescent="0.2">
      <c r="A2" s="17" t="s">
        <v>18</v>
      </c>
      <c r="B2" s="18">
        <v>1</v>
      </c>
      <c r="C2" t="s">
        <v>230</v>
      </c>
      <c r="D2">
        <v>1</v>
      </c>
      <c r="E2" s="12" t="s">
        <v>231</v>
      </c>
      <c r="F2">
        <v>500</v>
      </c>
      <c r="G2">
        <v>28.16</v>
      </c>
      <c r="H2">
        <f t="shared" ref="H2:H28" si="0">1.6/G2</f>
        <v>5.6818181818181823E-2</v>
      </c>
      <c r="I2">
        <v>101.75</v>
      </c>
      <c r="J2">
        <f t="shared" ref="J2:J28" si="1">(5.08)/I2</f>
        <v>4.9926289926289925E-2</v>
      </c>
      <c r="K2">
        <v>48.348999999999997</v>
      </c>
      <c r="L2">
        <f t="shared" ref="L2:L28" si="2">2.01/K2</f>
        <v>4.1572731597344308E-2</v>
      </c>
      <c r="M2">
        <v>946.75</v>
      </c>
      <c r="N2">
        <v>469.24</v>
      </c>
      <c r="O2">
        <v>455.5</v>
      </c>
      <c r="P2">
        <v>829.25</v>
      </c>
      <c r="Q2">
        <f t="shared" ref="Q2:Q17" si="3">M2-P2</f>
        <v>117.5</v>
      </c>
      <c r="S2">
        <f t="shared" ref="S2:S28" si="4">N2-O2</f>
        <v>13.740000000000009</v>
      </c>
      <c r="V2">
        <v>20</v>
      </c>
      <c r="W2">
        <v>38</v>
      </c>
      <c r="X2">
        <v>60</v>
      </c>
      <c r="Y2">
        <v>73</v>
      </c>
      <c r="Z2">
        <v>107</v>
      </c>
      <c r="AB2">
        <f t="shared" ref="AB2:AB28" si="5">(W2-V2)/F2</f>
        <v>3.5999999999999997E-2</v>
      </c>
      <c r="AC2">
        <f t="shared" ref="AC2:AC28" si="6">(Y2-X2)/F2</f>
        <v>2.5999999999999999E-2</v>
      </c>
      <c r="AD2">
        <f t="shared" ref="AD2:AD28" si="7">(Z2-Y2)/F2</f>
        <v>6.8000000000000005E-2</v>
      </c>
      <c r="AE2">
        <f t="shared" ref="AE2:AE28" si="8">AD2+AC2</f>
        <v>9.4E-2</v>
      </c>
      <c r="AG2">
        <f t="shared" ref="AG2:AG28" si="9">AJ2*Q2</f>
        <v>6.6761363636363642</v>
      </c>
      <c r="AH2">
        <f t="shared" ref="AH2:AH28" si="10">AJ2*S2</f>
        <v>0.78068181818181881</v>
      </c>
      <c r="AJ2">
        <f t="shared" ref="AJ2:AJ28" si="11">IF(ISERROR(H2), IF(ISERROR(J2), L2, J2), H2)</f>
        <v>5.6818181818181823E-2</v>
      </c>
      <c r="AK2" s="21" t="s">
        <v>169</v>
      </c>
      <c r="AM2" s="22"/>
      <c r="AN2" s="12" t="s">
        <v>223</v>
      </c>
      <c r="AO2" s="12" t="s">
        <v>224</v>
      </c>
      <c r="AP2" s="12" t="s">
        <v>225</v>
      </c>
      <c r="AQ2" s="12" t="s">
        <v>226</v>
      </c>
      <c r="AR2" s="12" t="s">
        <v>215</v>
      </c>
      <c r="AS2" s="23" t="s">
        <v>217</v>
      </c>
    </row>
    <row r="3" spans="1:1024" x14ac:dyDescent="0.2">
      <c r="A3"/>
      <c r="B3"/>
      <c r="D3">
        <v>2</v>
      </c>
      <c r="E3" s="12"/>
      <c r="F3">
        <v>500</v>
      </c>
      <c r="G3">
        <v>27.699000000000002</v>
      </c>
      <c r="H3">
        <f t="shared" si="0"/>
        <v>5.7763818188382249E-2</v>
      </c>
      <c r="I3">
        <v>101.75</v>
      </c>
      <c r="J3">
        <f t="shared" si="1"/>
        <v>4.9926289926289925E-2</v>
      </c>
      <c r="K3">
        <v>45.09</v>
      </c>
      <c r="L3">
        <f t="shared" si="2"/>
        <v>4.4577511643379898E-2</v>
      </c>
      <c r="M3">
        <v>823.75</v>
      </c>
      <c r="N3">
        <v>468.75</v>
      </c>
      <c r="O3">
        <v>423.25</v>
      </c>
      <c r="P3">
        <v>602.25</v>
      </c>
      <c r="Q3">
        <f t="shared" si="3"/>
        <v>221.5</v>
      </c>
      <c r="S3">
        <f t="shared" si="4"/>
        <v>45.5</v>
      </c>
      <c r="V3">
        <v>1065</v>
      </c>
      <c r="W3">
        <v>1080</v>
      </c>
      <c r="X3">
        <v>1136</v>
      </c>
      <c r="Y3">
        <v>1152</v>
      </c>
      <c r="Z3">
        <v>1214</v>
      </c>
      <c r="AB3">
        <f t="shared" si="5"/>
        <v>0.03</v>
      </c>
      <c r="AC3">
        <f t="shared" si="6"/>
        <v>3.2000000000000001E-2</v>
      </c>
      <c r="AD3">
        <f t="shared" si="7"/>
        <v>0.124</v>
      </c>
      <c r="AE3">
        <f t="shared" si="8"/>
        <v>0.156</v>
      </c>
      <c r="AG3">
        <f t="shared" si="9"/>
        <v>12.794685728726668</v>
      </c>
      <c r="AH3">
        <f t="shared" si="10"/>
        <v>2.6282537275713924</v>
      </c>
      <c r="AJ3">
        <f t="shared" si="11"/>
        <v>5.7763818188382249E-2</v>
      </c>
      <c r="AK3" s="21" t="s">
        <v>169</v>
      </c>
      <c r="AL3" s="21"/>
      <c r="AM3" s="22" t="s">
        <v>18</v>
      </c>
      <c r="AN3" s="12">
        <f t="array" ref="AN3">SUMPRODUCT(INT(AK2:AK28="Y"),IFERROR($AB$2:$AB$28,0))/SUMPRODUCT(INT(NOT(ISERROR($AB$2:$AB$28))),INT(AK2:AK28="Y"))</f>
        <v>3.5000000000000003E-2</v>
      </c>
      <c r="AO3">
        <f t="array" ref="AO3">SUMPRODUCT(INT(AK2:AK28="Y"),IFERROR(AC2:AC28,0))/SUMPRODUCT(INT(NOT(ISERROR(AC2:AC28))),INT(AK2:AK28="Y"))</f>
        <v>2.6833333333333338E-2</v>
      </c>
      <c r="AP3">
        <f t="array" ref="AP3">SUMPRODUCT(INT(AK2:AK28="Y"),IFERROR(AD2:AD28,0))/SUMPRODUCT(INT(NOT(ISERROR(AD2:AD28))),INT(AK2:AK28="Y"))</f>
        <v>9.9499999999999991E-2</v>
      </c>
      <c r="AQ3">
        <f t="array" ref="AQ3">SUMPRODUCT(INT(AK2:AK28="Y"),IFERROR(AE2:AE28,0))/SUMPRODUCT(INT(NOT(ISERROR(AE2:AE28))),INT(AK2:AK28="Y"))</f>
        <v>0.12633333333333333</v>
      </c>
      <c r="AR3">
        <f t="array" ref="AR3">SUMPRODUCT(INT(AK2:AK28="Y"),IFERROR(AG2:AG28,0))/SUMPRODUCT(INT(NOT(ISERROR(AG2:AG28))),INT(AK2:AK28="Y"))</f>
        <v>13.175690187338647</v>
      </c>
      <c r="AS3" s="24">
        <f t="array" ref="AS3">SUMPRODUCT(INT(AK2:AK28="Y"),IFERROR(AH2:AH28,0))/SUMPRODUCT(INT(NOT(ISERROR(AH2:AH28))),INT(AK2:AK28="Y"))</f>
        <v>3.8574268058252912</v>
      </c>
    </row>
    <row r="4" spans="1:1024" x14ac:dyDescent="0.2">
      <c r="A4"/>
      <c r="B4"/>
      <c r="D4">
        <v>3</v>
      </c>
      <c r="E4" s="12"/>
      <c r="F4">
        <v>500</v>
      </c>
      <c r="G4">
        <v>27.981000000000002</v>
      </c>
      <c r="H4">
        <f t="shared" si="0"/>
        <v>5.7181658982881238E-2</v>
      </c>
      <c r="I4">
        <v>101.75</v>
      </c>
      <c r="J4">
        <f t="shared" si="1"/>
        <v>4.9926289926289925E-2</v>
      </c>
      <c r="K4">
        <v>50.993000000000002</v>
      </c>
      <c r="L4">
        <f t="shared" si="2"/>
        <v>3.9417174906359688E-2</v>
      </c>
      <c r="M4">
        <v>594.25</v>
      </c>
      <c r="N4">
        <v>477.5</v>
      </c>
      <c r="O4">
        <v>389.25</v>
      </c>
      <c r="P4">
        <v>215.5</v>
      </c>
      <c r="Q4">
        <f t="shared" si="3"/>
        <v>378.75</v>
      </c>
      <c r="S4">
        <f t="shared" si="4"/>
        <v>88.25</v>
      </c>
      <c r="V4">
        <v>2519</v>
      </c>
      <c r="W4">
        <v>2530</v>
      </c>
      <c r="X4">
        <v>2610</v>
      </c>
      <c r="Y4">
        <v>2627</v>
      </c>
      <c r="Z4">
        <v>2678</v>
      </c>
      <c r="AB4">
        <f t="shared" si="5"/>
        <v>2.1999999999999999E-2</v>
      </c>
      <c r="AC4">
        <f t="shared" si="6"/>
        <v>3.4000000000000002E-2</v>
      </c>
      <c r="AD4">
        <f t="shared" si="7"/>
        <v>0.10199999999999999</v>
      </c>
      <c r="AE4">
        <f t="shared" si="8"/>
        <v>0.13600000000000001</v>
      </c>
      <c r="AG4">
        <f t="shared" si="9"/>
        <v>21.65755333976627</v>
      </c>
      <c r="AH4">
        <f t="shared" si="10"/>
        <v>5.0462814052392693</v>
      </c>
      <c r="AJ4">
        <f t="shared" si="11"/>
        <v>5.7181658982881238E-2</v>
      </c>
      <c r="AK4" s="21" t="s">
        <v>169</v>
      </c>
      <c r="AL4" s="21"/>
      <c r="AM4" s="22" t="s">
        <v>41</v>
      </c>
      <c r="AN4" s="12">
        <f t="array" ref="AN4">SUMPRODUCT(INT(AK30:AK44="Y"),IFERROR(AB30:AB44,0))/SUMPRODUCT(INT(NOT(ISERROR($AB$30:$AB$44))),INT(AK30:AK44="Y"))</f>
        <v>3.2500000000000001E-2</v>
      </c>
      <c r="AO4">
        <f t="array" ref="AO4">SUMPRODUCT(INT(AK30:AK44="Y"),IFERROR(AC30:AC44,0))/SUMPRODUCT(INT(NOT(ISERROR(AC30:AC44))),INT(AK30:AK44="Y"))</f>
        <v>3.6750000000000005E-2</v>
      </c>
      <c r="AP4">
        <f t="array" ref="AP4">SUMPRODUCT(INT(AK30:AK44="Y"),IFERROR(AD30:AD44,0))/SUMPRODUCT(INT(NOT(ISERROR(AD30:AD44))),INT(AK30:AK44="Y"))</f>
        <v>0.12325</v>
      </c>
      <c r="AQ4">
        <f t="array" ref="AQ4">SUMPRODUCT(INT(AK30:AK44="Y"),IFERROR(AE30:AE44,0))/SUMPRODUCT(INT(NOT(ISERROR(AE30:AE44))),INT(AK30:AK44="Y"))</f>
        <v>0.16</v>
      </c>
      <c r="AR4">
        <f t="array" ref="AR4">SUMPRODUCT(INT(AK30:AK44="Y"),IFERROR(AG30:AG44,0))/SUMPRODUCT(INT(NOT(ISERROR(AG30:AG44))),INT(AK30:AK44="Y"))</f>
        <v>22.100477752149832</v>
      </c>
      <c r="AS4" s="24">
        <f t="array" ref="AS4">SUMPRODUCT(INT(AK30:AK44="Y"),IFERROR(AH30:AH44,0))/SUMPRODUCT(INT(NOT(ISERROR(AH30:AH44))),INT(AK30:AK44="Y"))</f>
        <v>3.4806134816943377</v>
      </c>
    </row>
    <row r="5" spans="1:1024" ht="25.5" x14ac:dyDescent="0.2">
      <c r="A5"/>
      <c r="B5"/>
      <c r="D5">
        <v>4</v>
      </c>
      <c r="E5" s="12" t="s">
        <v>232</v>
      </c>
      <c r="F5">
        <v>500</v>
      </c>
      <c r="G5">
        <v>29.779</v>
      </c>
      <c r="H5">
        <f t="shared" si="0"/>
        <v>5.3729137983142487E-2</v>
      </c>
      <c r="I5">
        <v>101.75</v>
      </c>
      <c r="J5">
        <f t="shared" si="1"/>
        <v>4.9926289926289925E-2</v>
      </c>
      <c r="K5">
        <v>43.05</v>
      </c>
      <c r="L5">
        <f t="shared" si="2"/>
        <v>4.6689895470383276E-2</v>
      </c>
      <c r="M5">
        <v>215.75</v>
      </c>
      <c r="N5">
        <v>476.25</v>
      </c>
      <c r="O5">
        <v>423.75</v>
      </c>
      <c r="P5" t="s">
        <v>233</v>
      </c>
      <c r="Q5" t="e">
        <f t="shared" si="3"/>
        <v>#VALUE!</v>
      </c>
      <c r="S5">
        <f t="shared" si="4"/>
        <v>52.5</v>
      </c>
      <c r="V5">
        <v>3158</v>
      </c>
      <c r="W5">
        <v>3172</v>
      </c>
      <c r="X5" t="s">
        <v>233</v>
      </c>
      <c r="Y5" t="s">
        <v>233</v>
      </c>
      <c r="Z5" t="s">
        <v>233</v>
      </c>
      <c r="AB5">
        <f t="shared" si="5"/>
        <v>2.8000000000000001E-2</v>
      </c>
      <c r="AC5" t="e">
        <f t="shared" si="6"/>
        <v>#VALUE!</v>
      </c>
      <c r="AD5" t="e">
        <f t="shared" si="7"/>
        <v>#VALUE!</v>
      </c>
      <c r="AE5" t="e">
        <f t="shared" si="8"/>
        <v>#VALUE!</v>
      </c>
      <c r="AG5" t="e">
        <f t="shared" si="9"/>
        <v>#VALUE!</v>
      </c>
      <c r="AH5">
        <f t="shared" si="10"/>
        <v>2.8207797441149807</v>
      </c>
      <c r="AJ5">
        <f t="shared" si="11"/>
        <v>5.3729137983142487E-2</v>
      </c>
      <c r="AK5" s="21" t="s">
        <v>169</v>
      </c>
      <c r="AL5" s="21"/>
      <c r="AM5" s="22" t="s">
        <v>101</v>
      </c>
      <c r="AN5" s="12">
        <f t="array" ref="AN5">SUMPRODUCT(INT(AK46:AK72="Y"),IFERROR(AB46:AB72,0))/SUMPRODUCT(INT(NOT(ISERROR(AB46:AB72))),INT(AK46:AK72="Y"))</f>
        <v>3.8400000000000024E-2</v>
      </c>
      <c r="AO5">
        <f t="array" ref="AO5">SUMPRODUCT(INT(AK46:AK72="Y"),IFERROR(AC46:AC72,0))/SUMPRODUCT(INT(NOT(ISERROR(AC46:AC72))),INT(AK46:AK72="Y"))</f>
        <v>2.0250000000000004E-2</v>
      </c>
      <c r="AP5">
        <f t="array" ref="AP5">SUMPRODUCT(INT(AK46:AK72="Y"),IFERROR(AD46:AD72,0))/SUMPRODUCT(INT(NOT(ISERROR(AD46:AD72))),INT(AK46:AK72="Y"))</f>
        <v>0.14146666666666663</v>
      </c>
      <c r="AQ5">
        <f t="array" ref="AQ5">SUMPRODUCT(INT(AK46:AK72="Y"),IFERROR(AE46:AE72,0))/SUMPRODUCT(INT(NOT(ISERROR(AE46:AE72))),INT(AK46:AK72="Y"))</f>
        <v>0.16266666666666665</v>
      </c>
      <c r="AR5">
        <f t="array" ref="AR5">SUMPRODUCT(INT(AK46:AK72="Y"),IFERROR(AG46:AG72,0))/SUMPRODUCT(INT(NOT(ISERROR(AG46:AG72))),INT(AK46:AK72="Y"))</f>
        <v>15.997059159804696</v>
      </c>
      <c r="AS5" s="24">
        <f t="array" ref="AS5">SUMPRODUCT(INT(AK46:AK72="Y"),IFERROR(AH46:AH72,0))/SUMPRODUCT(INT(NOT(ISERROR(AH46:AH72))),INT(AK46:AK72="Y"))</f>
        <v>3.243234435311138</v>
      </c>
    </row>
    <row r="6" spans="1:1024" s="25" customFormat="1" ht="51" x14ac:dyDescent="0.2">
      <c r="B6" s="26">
        <v>2</v>
      </c>
      <c r="C6" s="25" t="s">
        <v>234</v>
      </c>
      <c r="E6" s="27" t="s">
        <v>235</v>
      </c>
      <c r="G6" s="25" t="s">
        <v>236</v>
      </c>
      <c r="H6" s="25" t="e">
        <f t="shared" si="0"/>
        <v>#VALUE!</v>
      </c>
      <c r="J6" s="25" t="e">
        <f t="shared" si="1"/>
        <v>#DIV/0!</v>
      </c>
      <c r="L6" s="25" t="e">
        <f t="shared" si="2"/>
        <v>#DIV/0!</v>
      </c>
      <c r="Q6" s="25">
        <f t="shared" si="3"/>
        <v>0</v>
      </c>
      <c r="S6" s="25">
        <f t="shared" si="4"/>
        <v>0</v>
      </c>
      <c r="AB6" s="25" t="e">
        <f t="shared" si="5"/>
        <v>#DIV/0!</v>
      </c>
      <c r="AC6" s="25" t="e">
        <f t="shared" si="6"/>
        <v>#DIV/0!</v>
      </c>
      <c r="AD6" s="25" t="e">
        <f t="shared" si="7"/>
        <v>#DIV/0!</v>
      </c>
      <c r="AE6" s="25" t="e">
        <f t="shared" si="8"/>
        <v>#DIV/0!</v>
      </c>
      <c r="AG6" s="25" t="e">
        <f t="shared" si="9"/>
        <v>#DIV/0!</v>
      </c>
      <c r="AH6" s="25" t="e">
        <f t="shared" si="10"/>
        <v>#DIV/0!</v>
      </c>
      <c r="AJ6" s="25" t="e">
        <f t="shared" si="11"/>
        <v>#DIV/0!</v>
      </c>
      <c r="AK6" s="28" t="s">
        <v>173</v>
      </c>
      <c r="AL6" s="21"/>
      <c r="AM6" s="29" t="s">
        <v>237</v>
      </c>
      <c r="AN6" s="30">
        <f t="shared" ref="AN6:AS6" si="12">AVERAGE(AN3:AN5)</f>
        <v>3.5300000000000005E-2</v>
      </c>
      <c r="AO6" s="30">
        <f t="shared" si="12"/>
        <v>2.7944444444444449E-2</v>
      </c>
      <c r="AP6" s="30">
        <f t="shared" si="12"/>
        <v>0.12140555555555554</v>
      </c>
      <c r="AQ6" s="30">
        <f t="shared" si="12"/>
        <v>0.14966666666666664</v>
      </c>
      <c r="AR6" s="30">
        <f t="shared" si="12"/>
        <v>17.091075699764392</v>
      </c>
      <c r="AS6" s="31">
        <f t="shared" si="12"/>
        <v>3.527091574276922</v>
      </c>
      <c r="AMI6"/>
      <c r="AMJ6"/>
    </row>
    <row r="7" spans="1:1024" ht="51" x14ac:dyDescent="0.2">
      <c r="A7" s="25"/>
      <c r="B7" s="26" t="s">
        <v>238</v>
      </c>
      <c r="C7" s="25" t="s">
        <v>239</v>
      </c>
      <c r="D7" s="25">
        <v>1</v>
      </c>
      <c r="E7" s="27" t="s">
        <v>240</v>
      </c>
      <c r="F7" s="25">
        <v>500</v>
      </c>
      <c r="G7" s="25">
        <v>38.088999999999999</v>
      </c>
      <c r="H7" s="25">
        <f t="shared" si="0"/>
        <v>4.2006878626375074E-2</v>
      </c>
      <c r="I7" s="25">
        <v>145.75</v>
      </c>
      <c r="J7" s="25">
        <f t="shared" si="1"/>
        <v>3.4854202401372214E-2</v>
      </c>
      <c r="K7" s="25">
        <v>68.938000000000002</v>
      </c>
      <c r="L7" s="25">
        <f t="shared" si="2"/>
        <v>2.9156633496765207E-2</v>
      </c>
      <c r="M7" s="25">
        <v>754.75</v>
      </c>
      <c r="N7" s="25">
        <v>343.75</v>
      </c>
      <c r="O7" s="25">
        <v>269.75</v>
      </c>
      <c r="P7" s="25">
        <v>468.75</v>
      </c>
      <c r="Q7" s="25">
        <f t="shared" si="3"/>
        <v>286</v>
      </c>
      <c r="S7" s="25">
        <f t="shared" si="4"/>
        <v>74</v>
      </c>
      <c r="V7" s="25">
        <v>28</v>
      </c>
      <c r="W7" s="25">
        <v>39</v>
      </c>
      <c r="X7" s="25">
        <v>103</v>
      </c>
      <c r="Y7" s="25">
        <v>121</v>
      </c>
      <c r="AB7" s="25">
        <f t="shared" si="5"/>
        <v>2.1999999999999999E-2</v>
      </c>
      <c r="AC7" s="25">
        <f t="shared" si="6"/>
        <v>3.5999999999999997E-2</v>
      </c>
      <c r="AD7" s="25">
        <f t="shared" si="7"/>
        <v>-0.24199999999999999</v>
      </c>
      <c r="AE7" s="25">
        <f t="shared" si="8"/>
        <v>-0.20599999999999999</v>
      </c>
      <c r="AG7" s="25">
        <f t="shared" si="9"/>
        <v>12.013967287143272</v>
      </c>
      <c r="AH7" s="25">
        <f t="shared" si="10"/>
        <v>3.1085090183517554</v>
      </c>
      <c r="AJ7" s="25">
        <f t="shared" si="11"/>
        <v>4.2006878626375074E-2</v>
      </c>
      <c r="AK7" s="28" t="s">
        <v>173</v>
      </c>
      <c r="AL7" s="21"/>
      <c r="AM7" s="32" t="s">
        <v>241</v>
      </c>
      <c r="AN7" s="33">
        <f t="shared" ref="AN7:AS7" si="13">STDEV(AN3:AN5)</f>
        <v>2.9614185789921814E-3</v>
      </c>
      <c r="AO7" s="33">
        <f t="shared" si="13"/>
        <v>8.3059271563098915E-3</v>
      </c>
      <c r="AP7" s="33">
        <f t="shared" si="13"/>
        <v>2.104404332012404E-2</v>
      </c>
      <c r="AQ7" s="33">
        <f t="shared" si="13"/>
        <v>2.0251200238778886E-2</v>
      </c>
      <c r="AR7" s="33">
        <f t="shared" si="13"/>
        <v>4.5618650146109161</v>
      </c>
      <c r="AS7" s="34">
        <f t="shared" si="13"/>
        <v>0.30972282256403899</v>
      </c>
    </row>
    <row r="8" spans="1:1024" ht="51" x14ac:dyDescent="0.2">
      <c r="A8"/>
      <c r="B8"/>
      <c r="D8">
        <v>2</v>
      </c>
      <c r="E8" s="12" t="s">
        <v>242</v>
      </c>
      <c r="F8">
        <v>500</v>
      </c>
      <c r="G8">
        <v>37.345999999999997</v>
      </c>
      <c r="H8">
        <f t="shared" si="0"/>
        <v>4.2842606972634291E-2</v>
      </c>
      <c r="I8" s="35">
        <v>145.75</v>
      </c>
      <c r="J8">
        <f t="shared" si="1"/>
        <v>3.4854202401372214E-2</v>
      </c>
      <c r="K8">
        <v>60.265000000000001</v>
      </c>
      <c r="L8">
        <f t="shared" si="2"/>
        <v>3.3352692275781956E-2</v>
      </c>
      <c r="M8" t="s">
        <v>233</v>
      </c>
      <c r="N8" t="s">
        <v>233</v>
      </c>
      <c r="O8" t="s">
        <v>233</v>
      </c>
      <c r="P8">
        <v>223.25</v>
      </c>
      <c r="Q8" t="e">
        <f t="shared" si="3"/>
        <v>#VALUE!</v>
      </c>
      <c r="S8" t="e">
        <f t="shared" si="4"/>
        <v>#VALUE!</v>
      </c>
      <c r="V8" t="s">
        <v>233</v>
      </c>
      <c r="W8" t="s">
        <v>236</v>
      </c>
      <c r="X8">
        <v>622</v>
      </c>
      <c r="Y8">
        <v>597</v>
      </c>
      <c r="Z8">
        <v>624</v>
      </c>
      <c r="AB8" t="e">
        <f t="shared" si="5"/>
        <v>#VALUE!</v>
      </c>
      <c r="AC8">
        <f t="shared" si="6"/>
        <v>-0.05</v>
      </c>
      <c r="AD8">
        <f t="shared" si="7"/>
        <v>5.3999999999999999E-2</v>
      </c>
      <c r="AE8">
        <f t="shared" si="8"/>
        <v>3.9999999999999966E-3</v>
      </c>
      <c r="AG8" t="e">
        <f t="shared" si="9"/>
        <v>#VALUE!</v>
      </c>
      <c r="AH8" t="e">
        <f t="shared" si="10"/>
        <v>#VALUE!</v>
      </c>
      <c r="AJ8">
        <f t="shared" si="11"/>
        <v>4.2842606972634291E-2</v>
      </c>
      <c r="AK8" s="21" t="s">
        <v>169</v>
      </c>
      <c r="AL8" s="21"/>
      <c r="AM8" s="45" t="s">
        <v>308</v>
      </c>
      <c r="AN8">
        <f t="array" ref="AN8">SUMPRODUCT(INT(NOT(ISERROR($AB$2:$AB$28))),INT(AK2:AK28="Y"))+SUMPRODUCT(INT(NOT(ISERROR($AB$30:$AB$44))),INT(AK30:AK44="Y"))+SUMPRODUCT(INT(NOT(ISERROR($AB$46:$AB$72))),INT(AK46:AK72="Y"))</f>
        <v>44</v>
      </c>
      <c r="AO8">
        <f t="array" ref="AO8">SUMPRODUCT(INT(NOT(ISERROR(AC$2:AC$28))),INT($AK$2:$AK$28="Y"))+SUMPRODUCT(INT(NOT(ISERROR(AC$30:AC$44))),INT($AK$30:$AK$44="Y"))+SUMPRODUCT(INT(NOT(ISERROR(AC$46:AC$72))),INT($AK$46:$AK$72="Y"))</f>
        <v>36</v>
      </c>
      <c r="AP8">
        <f t="array" ref="AP8">SUMPRODUCT(INT(NOT(ISERROR(AD$2:AD$28))),INT($AK$2:$AK$28="Y"))+SUMPRODUCT(INT(NOT(ISERROR(AD$30:AD$44))),INT($AK$30:$AK$44="Y"))+SUMPRODUCT(INT(NOT(ISERROR(AD$46:AD$72))),INT($AK$46:$AK$72="Y"))</f>
        <v>35</v>
      </c>
      <c r="AQ8">
        <f t="array" ref="AQ8">SUMPRODUCT(INT(NOT(ISERROR(AE$2:AE$28))),INT($AK$2:$AK$28="Y"))+SUMPRODUCT(INT(NOT(ISERROR(AE$30:AE$44))),INT($AK$30:$AK$44="Y"))+SUMPRODUCT(INT(NOT(ISERROR(AE$46:AE$72))),INT($AK$46:$AK$72="Y"))</f>
        <v>35</v>
      </c>
      <c r="AR8">
        <f t="array" ref="AR8">SUMPRODUCT(INT(NOT(ISERROR(AG$2:AG$28))),INT($AK$2:$AK$28="Y"))+SUMPRODUCT(INT(NOT(ISERROR(AG$30:AG$44))),INT($AK$30:$AK$44="Y"))+SUMPRODUCT(INT(NOT(ISERROR(AG$46:AG$72))),INT($AK$46:$AK$72="Y"))</f>
        <v>20</v>
      </c>
      <c r="AS8">
        <f t="array" ref="AS8">SUMPRODUCT(INT(NOT(ISERROR(AH$2:AH$28))),INT($AK$2:$AK$28="Y"))+SUMPRODUCT(INT(NOT(ISERROR(AH$30:AH$44))),INT($AK$30:$AK$44="Y"))+SUMPRODUCT(INT(NOT(ISERROR(AH$46:AH$72))),INT($AK$46:$AK$72="Y"))</f>
        <v>33</v>
      </c>
    </row>
    <row r="9" spans="1:1024" x14ac:dyDescent="0.2">
      <c r="A9"/>
      <c r="B9"/>
      <c r="D9">
        <v>3</v>
      </c>
      <c r="E9" s="12" t="s">
        <v>243</v>
      </c>
      <c r="F9">
        <v>500</v>
      </c>
      <c r="G9" s="35">
        <v>36.01</v>
      </c>
      <c r="H9">
        <f t="shared" si="0"/>
        <v>4.4432102193835053E-2</v>
      </c>
      <c r="I9" s="35">
        <v>145.75</v>
      </c>
      <c r="J9">
        <f t="shared" si="1"/>
        <v>3.4854202401372214E-2</v>
      </c>
      <c r="K9">
        <v>66.885000000000005</v>
      </c>
      <c r="L9">
        <f t="shared" si="2"/>
        <v>3.0051581071989231E-2</v>
      </c>
      <c r="M9">
        <v>227</v>
      </c>
      <c r="N9">
        <v>343.5</v>
      </c>
      <c r="O9" t="s">
        <v>233</v>
      </c>
      <c r="P9" t="s">
        <v>233</v>
      </c>
      <c r="Q9" t="e">
        <f t="shared" si="3"/>
        <v>#VALUE!</v>
      </c>
      <c r="S9" t="e">
        <f t="shared" si="4"/>
        <v>#VALUE!</v>
      </c>
      <c r="V9">
        <v>1036</v>
      </c>
      <c r="W9">
        <v>1051</v>
      </c>
      <c r="X9" t="s">
        <v>233</v>
      </c>
      <c r="Y9" t="s">
        <v>233</v>
      </c>
      <c r="Z9" s="11" t="s">
        <v>233</v>
      </c>
      <c r="AB9">
        <f t="shared" si="5"/>
        <v>0.03</v>
      </c>
      <c r="AC9" t="e">
        <f t="shared" si="6"/>
        <v>#VALUE!</v>
      </c>
      <c r="AD9" t="e">
        <f t="shared" si="7"/>
        <v>#VALUE!</v>
      </c>
      <c r="AE9" t="e">
        <f t="shared" si="8"/>
        <v>#VALUE!</v>
      </c>
      <c r="AG9" t="e">
        <f t="shared" si="9"/>
        <v>#VALUE!</v>
      </c>
      <c r="AH9" t="e">
        <f t="shared" si="10"/>
        <v>#VALUE!</v>
      </c>
      <c r="AJ9">
        <f t="shared" si="11"/>
        <v>4.4432102193835053E-2</v>
      </c>
      <c r="AK9" s="21" t="s">
        <v>169</v>
      </c>
      <c r="AL9" s="21"/>
    </row>
    <row r="10" spans="1:1024" ht="38.25" x14ac:dyDescent="0.2">
      <c r="A10"/>
      <c r="B10" s="18">
        <v>4</v>
      </c>
      <c r="C10" t="s">
        <v>244</v>
      </c>
      <c r="D10">
        <v>1</v>
      </c>
      <c r="E10" s="12" t="s">
        <v>245</v>
      </c>
      <c r="F10">
        <v>500</v>
      </c>
      <c r="G10" t="s">
        <v>236</v>
      </c>
      <c r="H10" t="e">
        <f t="shared" si="0"/>
        <v>#VALUE!</v>
      </c>
      <c r="I10">
        <v>147.25</v>
      </c>
      <c r="J10">
        <f t="shared" si="1"/>
        <v>3.4499151103565363E-2</v>
      </c>
      <c r="K10">
        <v>63.502000000000002</v>
      </c>
      <c r="L10">
        <f t="shared" si="2"/>
        <v>3.1652546376492077E-2</v>
      </c>
      <c r="M10" t="s">
        <v>233</v>
      </c>
      <c r="N10" t="s">
        <v>233</v>
      </c>
      <c r="O10" t="s">
        <v>233</v>
      </c>
      <c r="P10" t="s">
        <v>233</v>
      </c>
      <c r="Q10" t="e">
        <f t="shared" si="3"/>
        <v>#VALUE!</v>
      </c>
      <c r="S10" t="e">
        <f t="shared" si="4"/>
        <v>#VALUE!</v>
      </c>
      <c r="V10" t="s">
        <v>233</v>
      </c>
      <c r="W10" t="s">
        <v>236</v>
      </c>
      <c r="X10">
        <v>169</v>
      </c>
      <c r="Y10">
        <v>192</v>
      </c>
      <c r="Z10">
        <v>223</v>
      </c>
      <c r="AB10" t="e">
        <f t="shared" si="5"/>
        <v>#VALUE!</v>
      </c>
      <c r="AC10">
        <f t="shared" si="6"/>
        <v>4.5999999999999999E-2</v>
      </c>
      <c r="AD10">
        <f t="shared" si="7"/>
        <v>6.2E-2</v>
      </c>
      <c r="AE10">
        <f t="shared" si="8"/>
        <v>0.108</v>
      </c>
      <c r="AG10" t="e">
        <f t="shared" si="9"/>
        <v>#VALUE!</v>
      </c>
      <c r="AH10" t="e">
        <f t="shared" si="10"/>
        <v>#VALUE!</v>
      </c>
      <c r="AJ10">
        <f t="shared" si="11"/>
        <v>3.4499151103565363E-2</v>
      </c>
      <c r="AK10" s="21" t="s">
        <v>169</v>
      </c>
      <c r="AL10" s="21"/>
    </row>
    <row r="11" spans="1:1024" x14ac:dyDescent="0.2">
      <c r="A11"/>
      <c r="B11"/>
      <c r="D11">
        <v>2</v>
      </c>
      <c r="E11" s="12" t="s">
        <v>243</v>
      </c>
      <c r="F11">
        <v>500</v>
      </c>
      <c r="G11" t="s">
        <v>236</v>
      </c>
      <c r="H11" t="e">
        <f t="shared" si="0"/>
        <v>#VALUE!</v>
      </c>
      <c r="I11">
        <v>147.25</v>
      </c>
      <c r="J11">
        <f t="shared" si="1"/>
        <v>3.4499151103565363E-2</v>
      </c>
      <c r="K11">
        <v>68.881</v>
      </c>
      <c r="L11">
        <f t="shared" si="2"/>
        <v>2.9180761022633235E-2</v>
      </c>
      <c r="M11">
        <v>486</v>
      </c>
      <c r="N11">
        <v>355.75</v>
      </c>
      <c r="O11">
        <v>210.75</v>
      </c>
      <c r="P11" t="s">
        <v>233</v>
      </c>
      <c r="Q11" t="e">
        <f t="shared" si="3"/>
        <v>#VALUE!</v>
      </c>
      <c r="S11">
        <f t="shared" si="4"/>
        <v>145</v>
      </c>
      <c r="V11">
        <v>242</v>
      </c>
      <c r="W11">
        <v>257</v>
      </c>
      <c r="X11" t="s">
        <v>233</v>
      </c>
      <c r="Y11" t="s">
        <v>233</v>
      </c>
      <c r="Z11" t="s">
        <v>233</v>
      </c>
      <c r="AB11">
        <f t="shared" si="5"/>
        <v>0.03</v>
      </c>
      <c r="AC11" t="e">
        <f t="shared" si="6"/>
        <v>#VALUE!</v>
      </c>
      <c r="AD11" t="e">
        <f t="shared" si="7"/>
        <v>#VALUE!</v>
      </c>
      <c r="AE11" t="e">
        <f t="shared" si="8"/>
        <v>#VALUE!</v>
      </c>
      <c r="AG11" t="e">
        <f t="shared" si="9"/>
        <v>#VALUE!</v>
      </c>
      <c r="AH11">
        <f t="shared" si="10"/>
        <v>5.0023769100169773</v>
      </c>
      <c r="AJ11">
        <f t="shared" si="11"/>
        <v>3.4499151103565363E-2</v>
      </c>
      <c r="AK11" s="21" t="s">
        <v>169</v>
      </c>
      <c r="AL11" s="21"/>
    </row>
    <row r="12" spans="1:1024" ht="51" x14ac:dyDescent="0.2">
      <c r="A12"/>
      <c r="B12">
        <v>5</v>
      </c>
      <c r="C12" t="s">
        <v>246</v>
      </c>
      <c r="D12">
        <v>1</v>
      </c>
      <c r="E12" s="12" t="s">
        <v>247</v>
      </c>
      <c r="F12">
        <v>500</v>
      </c>
      <c r="G12">
        <v>41.607999999999997</v>
      </c>
      <c r="H12">
        <f t="shared" si="0"/>
        <v>3.8454143433955014E-2</v>
      </c>
      <c r="I12">
        <v>143.75</v>
      </c>
      <c r="J12">
        <f t="shared" si="1"/>
        <v>3.5339130434782609E-2</v>
      </c>
      <c r="K12">
        <v>70.573999999999998</v>
      </c>
      <c r="L12">
        <f t="shared" si="2"/>
        <v>2.8480743616629351E-2</v>
      </c>
      <c r="M12">
        <v>37.5</v>
      </c>
      <c r="N12">
        <v>346.25</v>
      </c>
      <c r="O12" t="s">
        <v>233</v>
      </c>
      <c r="P12">
        <v>147.25</v>
      </c>
      <c r="Q12">
        <f t="shared" si="3"/>
        <v>-109.75</v>
      </c>
      <c r="S12" t="e">
        <f t="shared" si="4"/>
        <v>#VALUE!</v>
      </c>
      <c r="V12" t="s">
        <v>233</v>
      </c>
      <c r="W12" t="s">
        <v>236</v>
      </c>
      <c r="X12">
        <v>515</v>
      </c>
      <c r="Y12">
        <v>535</v>
      </c>
      <c r="Z12">
        <v>572</v>
      </c>
      <c r="AB12" t="e">
        <f t="shared" si="5"/>
        <v>#VALUE!</v>
      </c>
      <c r="AC12">
        <f t="shared" si="6"/>
        <v>0.04</v>
      </c>
      <c r="AD12">
        <f t="shared" si="7"/>
        <v>7.3999999999999996E-2</v>
      </c>
      <c r="AE12">
        <f t="shared" si="8"/>
        <v>0.11399999999999999</v>
      </c>
      <c r="AG12">
        <f>ABS(AJ12*Q12)</f>
        <v>4.2203422418765628</v>
      </c>
      <c r="AH12" t="e">
        <f t="shared" si="10"/>
        <v>#VALUE!</v>
      </c>
      <c r="AJ12">
        <f t="shared" si="11"/>
        <v>3.8454143433955014E-2</v>
      </c>
      <c r="AK12" s="21" t="s">
        <v>169</v>
      </c>
      <c r="AL12" s="21"/>
    </row>
    <row r="13" spans="1:1024" x14ac:dyDescent="0.2">
      <c r="A13"/>
      <c r="B13"/>
      <c r="D13">
        <v>2</v>
      </c>
      <c r="E13" s="12"/>
      <c r="F13">
        <v>500</v>
      </c>
      <c r="G13">
        <v>42.454000000000001</v>
      </c>
      <c r="H13">
        <f t="shared" si="0"/>
        <v>3.7687850379233993E-2</v>
      </c>
      <c r="I13">
        <v>143.75</v>
      </c>
      <c r="J13">
        <f t="shared" si="1"/>
        <v>3.5339130434782609E-2</v>
      </c>
      <c r="K13">
        <v>73.543000000000006</v>
      </c>
      <c r="L13">
        <f t="shared" si="2"/>
        <v>2.7330949240580337E-2</v>
      </c>
      <c r="M13">
        <v>157.25</v>
      </c>
      <c r="N13">
        <v>356.5</v>
      </c>
      <c r="O13">
        <v>311</v>
      </c>
      <c r="P13">
        <v>559.5</v>
      </c>
      <c r="Q13">
        <f t="shared" si="3"/>
        <v>-402.25</v>
      </c>
      <c r="S13">
        <f t="shared" si="4"/>
        <v>45.5</v>
      </c>
      <c r="V13">
        <v>1112</v>
      </c>
      <c r="W13">
        <v>1128</v>
      </c>
      <c r="X13">
        <v>1173</v>
      </c>
      <c r="Y13">
        <v>1176</v>
      </c>
      <c r="Z13">
        <v>1217</v>
      </c>
      <c r="AB13">
        <f t="shared" si="5"/>
        <v>3.2000000000000001E-2</v>
      </c>
      <c r="AC13">
        <f t="shared" si="6"/>
        <v>6.0000000000000001E-3</v>
      </c>
      <c r="AD13">
        <f t="shared" si="7"/>
        <v>8.2000000000000003E-2</v>
      </c>
      <c r="AE13">
        <f t="shared" si="8"/>
        <v>8.8000000000000009E-2</v>
      </c>
      <c r="AG13">
        <f>ABS(AJ13*Q13)</f>
        <v>15.159937815046874</v>
      </c>
      <c r="AH13">
        <f t="shared" si="10"/>
        <v>1.7147971922551466</v>
      </c>
      <c r="AJ13">
        <f t="shared" si="11"/>
        <v>3.7687850379233993E-2</v>
      </c>
      <c r="AK13" s="21" t="s">
        <v>169</v>
      </c>
      <c r="AL13" s="21"/>
    </row>
    <row r="14" spans="1:1024" ht="25.5" x14ac:dyDescent="0.2">
      <c r="A14"/>
      <c r="B14"/>
      <c r="D14">
        <v>3</v>
      </c>
      <c r="E14" s="19" t="s">
        <v>248</v>
      </c>
      <c r="F14">
        <v>500</v>
      </c>
      <c r="G14" s="11">
        <v>41.8</v>
      </c>
      <c r="H14">
        <f t="shared" si="0"/>
        <v>3.8277511961722493E-2</v>
      </c>
      <c r="I14">
        <v>143.75</v>
      </c>
      <c r="J14">
        <f t="shared" si="1"/>
        <v>3.5339130434782609E-2</v>
      </c>
      <c r="K14" t="s">
        <v>236</v>
      </c>
      <c r="L14" t="e">
        <f t="shared" si="2"/>
        <v>#VALUE!</v>
      </c>
      <c r="M14" t="s">
        <v>233</v>
      </c>
      <c r="N14" t="s">
        <v>233</v>
      </c>
      <c r="O14" t="s">
        <v>233</v>
      </c>
      <c r="P14" t="s">
        <v>233</v>
      </c>
      <c r="Q14" t="e">
        <f t="shared" si="3"/>
        <v>#VALUE!</v>
      </c>
      <c r="S14" t="e">
        <f t="shared" si="4"/>
        <v>#VALUE!</v>
      </c>
      <c r="V14">
        <v>1722</v>
      </c>
      <c r="W14">
        <v>1741</v>
      </c>
      <c r="X14">
        <v>1778</v>
      </c>
      <c r="Y14">
        <v>1792</v>
      </c>
      <c r="Z14">
        <v>1832</v>
      </c>
      <c r="AB14">
        <f t="shared" si="5"/>
        <v>3.7999999999999999E-2</v>
      </c>
      <c r="AC14">
        <f t="shared" si="6"/>
        <v>2.8000000000000001E-2</v>
      </c>
      <c r="AD14">
        <f t="shared" si="7"/>
        <v>0.08</v>
      </c>
      <c r="AE14">
        <f t="shared" si="8"/>
        <v>0.108</v>
      </c>
      <c r="AG14" t="e">
        <f t="shared" si="9"/>
        <v>#VALUE!</v>
      </c>
      <c r="AH14" t="e">
        <f t="shared" si="10"/>
        <v>#VALUE!</v>
      </c>
      <c r="AJ14">
        <f t="shared" si="11"/>
        <v>3.8277511961722493E-2</v>
      </c>
      <c r="AK14" s="21" t="s">
        <v>169</v>
      </c>
      <c r="AL14" s="21"/>
    </row>
    <row r="15" spans="1:1024" x14ac:dyDescent="0.2">
      <c r="A15"/>
      <c r="B15"/>
      <c r="D15">
        <v>4</v>
      </c>
      <c r="E15" t="s">
        <v>243</v>
      </c>
      <c r="F15">
        <v>500</v>
      </c>
      <c r="G15" s="11">
        <v>38.183999999999997</v>
      </c>
      <c r="H15">
        <f t="shared" si="0"/>
        <v>4.1902367483762838E-2</v>
      </c>
      <c r="I15">
        <v>143.75</v>
      </c>
      <c r="J15">
        <f t="shared" si="1"/>
        <v>3.5339130434782609E-2</v>
      </c>
      <c r="K15">
        <v>60.828000000000003</v>
      </c>
      <c r="L15">
        <f t="shared" si="2"/>
        <v>3.3043992898007489E-2</v>
      </c>
      <c r="M15">
        <v>659</v>
      </c>
      <c r="N15">
        <v>345</v>
      </c>
      <c r="O15">
        <v>177.5</v>
      </c>
      <c r="P15" t="s">
        <v>233</v>
      </c>
      <c r="Q15" t="e">
        <f t="shared" si="3"/>
        <v>#VALUE!</v>
      </c>
      <c r="S15">
        <f t="shared" si="4"/>
        <v>167.5</v>
      </c>
      <c r="V15">
        <v>2277</v>
      </c>
      <c r="W15">
        <v>2297</v>
      </c>
      <c r="X15" t="s">
        <v>233</v>
      </c>
      <c r="Y15" t="s">
        <v>233</v>
      </c>
      <c r="Z15" t="s">
        <v>233</v>
      </c>
      <c r="AB15">
        <f t="shared" si="5"/>
        <v>0.04</v>
      </c>
      <c r="AC15" t="e">
        <f t="shared" si="6"/>
        <v>#VALUE!</v>
      </c>
      <c r="AD15" t="e">
        <f t="shared" si="7"/>
        <v>#VALUE!</v>
      </c>
      <c r="AE15" t="e">
        <f t="shared" si="8"/>
        <v>#VALUE!</v>
      </c>
      <c r="AG15" t="e">
        <f t="shared" si="9"/>
        <v>#VALUE!</v>
      </c>
      <c r="AH15">
        <f t="shared" si="10"/>
        <v>7.0186465535302753</v>
      </c>
      <c r="AJ15">
        <f t="shared" si="11"/>
        <v>4.1902367483762838E-2</v>
      </c>
      <c r="AK15" s="21" t="s">
        <v>169</v>
      </c>
      <c r="AL15" s="21"/>
    </row>
    <row r="16" spans="1:1024" s="25" customFormat="1" ht="38.25" x14ac:dyDescent="0.2">
      <c r="B16" s="26">
        <v>6</v>
      </c>
      <c r="C16" s="25" t="s">
        <v>249</v>
      </c>
      <c r="D16" s="25">
        <v>1</v>
      </c>
      <c r="E16" s="27" t="s">
        <v>250</v>
      </c>
      <c r="F16" s="25">
        <v>500</v>
      </c>
      <c r="G16" s="25" t="s">
        <v>236</v>
      </c>
      <c r="H16" s="25" t="e">
        <f t="shared" si="0"/>
        <v>#VALUE!</v>
      </c>
      <c r="I16" s="25">
        <v>147.333</v>
      </c>
      <c r="J16" s="25">
        <f t="shared" si="1"/>
        <v>3.4479716017457057E-2</v>
      </c>
      <c r="K16" s="25">
        <v>71.808000000000007</v>
      </c>
      <c r="L16" s="25">
        <f t="shared" si="2"/>
        <v>2.7991310160427801E-2</v>
      </c>
      <c r="M16" s="25" t="s">
        <v>233</v>
      </c>
      <c r="N16" s="25" t="s">
        <v>233</v>
      </c>
      <c r="O16" s="25" t="s">
        <v>233</v>
      </c>
      <c r="P16" s="25" t="s">
        <v>233</v>
      </c>
      <c r="Q16" s="25" t="e">
        <f t="shared" si="3"/>
        <v>#VALUE!</v>
      </c>
      <c r="S16" s="25" t="e">
        <f t="shared" si="4"/>
        <v>#VALUE!</v>
      </c>
      <c r="V16" s="25" t="s">
        <v>233</v>
      </c>
      <c r="W16" s="25" t="s">
        <v>236</v>
      </c>
      <c r="X16" s="25" t="s">
        <v>233</v>
      </c>
      <c r="Y16" s="25" t="s">
        <v>233</v>
      </c>
      <c r="Z16" s="25" t="s">
        <v>233</v>
      </c>
      <c r="AB16" s="25" t="e">
        <f t="shared" si="5"/>
        <v>#VALUE!</v>
      </c>
      <c r="AC16" s="25" t="e">
        <f t="shared" si="6"/>
        <v>#VALUE!</v>
      </c>
      <c r="AD16" s="25" t="e">
        <f t="shared" si="7"/>
        <v>#VALUE!</v>
      </c>
      <c r="AE16" s="25" t="e">
        <f t="shared" si="8"/>
        <v>#VALUE!</v>
      </c>
      <c r="AG16" s="25" t="e">
        <f t="shared" si="9"/>
        <v>#VALUE!</v>
      </c>
      <c r="AH16" s="25" t="e">
        <f t="shared" si="10"/>
        <v>#VALUE!</v>
      </c>
      <c r="AJ16" s="25">
        <f t="shared" si="11"/>
        <v>3.4479716017457057E-2</v>
      </c>
      <c r="AK16" s="28" t="s">
        <v>173</v>
      </c>
      <c r="AL16" s="21"/>
      <c r="AM16"/>
      <c r="AMI16"/>
      <c r="AMJ16"/>
    </row>
    <row r="17" spans="1:1024" x14ac:dyDescent="0.2">
      <c r="A17"/>
      <c r="B17"/>
      <c r="D17">
        <v>2</v>
      </c>
      <c r="E17" s="19" t="s">
        <v>243</v>
      </c>
      <c r="F17">
        <v>500</v>
      </c>
      <c r="G17" t="s">
        <v>236</v>
      </c>
      <c r="H17" t="e">
        <f t="shared" si="0"/>
        <v>#VALUE!</v>
      </c>
      <c r="I17" s="35">
        <v>147.333</v>
      </c>
      <c r="J17">
        <f t="shared" si="1"/>
        <v>3.4479716017457057E-2</v>
      </c>
      <c r="K17">
        <v>69.061000000000007</v>
      </c>
      <c r="L17">
        <f t="shared" si="2"/>
        <v>2.9104704536569114E-2</v>
      </c>
      <c r="M17">
        <v>300.83300000000003</v>
      </c>
      <c r="N17">
        <v>359.16699999999997</v>
      </c>
      <c r="O17">
        <v>227.5</v>
      </c>
      <c r="P17" t="s">
        <v>233</v>
      </c>
      <c r="Q17" s="36" t="e">
        <f t="shared" si="3"/>
        <v>#VALUE!</v>
      </c>
      <c r="S17">
        <f t="shared" si="4"/>
        <v>131.66699999999997</v>
      </c>
      <c r="V17">
        <v>254</v>
      </c>
      <c r="W17">
        <v>272</v>
      </c>
      <c r="X17" t="s">
        <v>233</v>
      </c>
      <c r="Y17" t="s">
        <v>233</v>
      </c>
      <c r="Z17" t="s">
        <v>233</v>
      </c>
      <c r="AB17">
        <f t="shared" si="5"/>
        <v>3.5999999999999997E-2</v>
      </c>
      <c r="AC17" t="e">
        <f t="shared" si="6"/>
        <v>#VALUE!</v>
      </c>
      <c r="AD17" t="e">
        <f t="shared" si="7"/>
        <v>#VALUE!</v>
      </c>
      <c r="AE17" t="e">
        <f t="shared" si="8"/>
        <v>#VALUE!</v>
      </c>
      <c r="AG17" t="e">
        <f t="shared" si="9"/>
        <v>#VALUE!</v>
      </c>
      <c r="AH17">
        <f t="shared" si="10"/>
        <v>4.5398407688705174</v>
      </c>
      <c r="AJ17">
        <f t="shared" si="11"/>
        <v>3.4479716017457057E-2</v>
      </c>
      <c r="AK17" s="21" t="s">
        <v>169</v>
      </c>
      <c r="AL17" s="21"/>
    </row>
    <row r="18" spans="1:1024" ht="25.5" x14ac:dyDescent="0.2">
      <c r="A18"/>
      <c r="B18" s="18">
        <v>7</v>
      </c>
      <c r="C18" t="s">
        <v>251</v>
      </c>
      <c r="D18">
        <v>1</v>
      </c>
      <c r="E18" s="19" t="s">
        <v>252</v>
      </c>
      <c r="F18">
        <v>500</v>
      </c>
      <c r="G18">
        <v>40.401000000000003</v>
      </c>
      <c r="H18">
        <f t="shared" si="0"/>
        <v>3.9602980124254346E-2</v>
      </c>
      <c r="I18">
        <v>146.75</v>
      </c>
      <c r="J18">
        <f t="shared" si="1"/>
        <v>3.461669505962521E-2</v>
      </c>
      <c r="K18">
        <v>65.225999999999999</v>
      </c>
      <c r="L18">
        <f t="shared" si="2"/>
        <v>3.0815932296936802E-2</v>
      </c>
      <c r="M18">
        <v>23</v>
      </c>
      <c r="N18">
        <v>336</v>
      </c>
      <c r="O18">
        <v>273.25</v>
      </c>
      <c r="P18">
        <v>382.75</v>
      </c>
      <c r="Q18">
        <f>ABS(M18-P18)</f>
        <v>359.75</v>
      </c>
      <c r="S18">
        <f t="shared" si="4"/>
        <v>62.75</v>
      </c>
      <c r="V18" t="s">
        <v>233</v>
      </c>
      <c r="W18" t="s">
        <v>236</v>
      </c>
      <c r="X18">
        <v>150</v>
      </c>
      <c r="Y18">
        <v>156</v>
      </c>
      <c r="Z18">
        <v>208</v>
      </c>
      <c r="AB18" t="e">
        <f t="shared" si="5"/>
        <v>#VALUE!</v>
      </c>
      <c r="AC18">
        <f t="shared" si="6"/>
        <v>1.2E-2</v>
      </c>
      <c r="AD18">
        <f t="shared" si="7"/>
        <v>0.104</v>
      </c>
      <c r="AE18">
        <f t="shared" si="8"/>
        <v>0.11599999999999999</v>
      </c>
      <c r="AG18">
        <f t="shared" si="9"/>
        <v>14.247172099700501</v>
      </c>
      <c r="AH18">
        <f t="shared" si="10"/>
        <v>2.48508700279696</v>
      </c>
      <c r="AJ18">
        <f t="shared" si="11"/>
        <v>3.9602980124254346E-2</v>
      </c>
      <c r="AK18" s="21" t="s">
        <v>169</v>
      </c>
      <c r="AL18" s="21"/>
    </row>
    <row r="19" spans="1:1024" ht="25.5" x14ac:dyDescent="0.2">
      <c r="A19"/>
      <c r="B19"/>
      <c r="D19">
        <v>2</v>
      </c>
      <c r="E19" s="19" t="s">
        <v>248</v>
      </c>
      <c r="F19">
        <v>500</v>
      </c>
      <c r="G19" s="11">
        <v>40.707999999999998</v>
      </c>
      <c r="H19">
        <f t="shared" si="0"/>
        <v>3.930431364842292E-2</v>
      </c>
      <c r="I19">
        <v>146.75</v>
      </c>
      <c r="J19">
        <f t="shared" si="1"/>
        <v>3.461669505962521E-2</v>
      </c>
      <c r="K19" t="s">
        <v>236</v>
      </c>
      <c r="L19" t="e">
        <f t="shared" si="2"/>
        <v>#VALUE!</v>
      </c>
      <c r="M19">
        <v>384.25</v>
      </c>
      <c r="N19">
        <v>348.75</v>
      </c>
      <c r="O19" t="s">
        <v>233</v>
      </c>
      <c r="P19" t="s">
        <v>233</v>
      </c>
      <c r="Q19" t="e">
        <f>M17-P19</f>
        <v>#VALUE!</v>
      </c>
      <c r="S19" t="e">
        <f t="shared" si="4"/>
        <v>#VALUE!</v>
      </c>
      <c r="V19">
        <v>888</v>
      </c>
      <c r="W19">
        <v>924</v>
      </c>
      <c r="X19">
        <v>936</v>
      </c>
      <c r="Y19">
        <v>924</v>
      </c>
      <c r="Z19">
        <v>1031</v>
      </c>
      <c r="AB19">
        <f t="shared" si="5"/>
        <v>7.1999999999999995E-2</v>
      </c>
      <c r="AC19">
        <f t="shared" si="6"/>
        <v>-2.4E-2</v>
      </c>
      <c r="AD19">
        <f t="shared" si="7"/>
        <v>0.214</v>
      </c>
      <c r="AE19">
        <f t="shared" si="8"/>
        <v>0.19</v>
      </c>
      <c r="AG19" t="e">
        <f t="shared" si="9"/>
        <v>#VALUE!</v>
      </c>
      <c r="AH19" t="e">
        <f t="shared" si="10"/>
        <v>#VALUE!</v>
      </c>
      <c r="AJ19">
        <f t="shared" si="11"/>
        <v>3.930431364842292E-2</v>
      </c>
      <c r="AK19" s="21" t="s">
        <v>169</v>
      </c>
      <c r="AL19" s="21"/>
    </row>
    <row r="20" spans="1:1024" s="25" customFormat="1" ht="63.75" x14ac:dyDescent="0.2">
      <c r="B20" s="26">
        <v>8</v>
      </c>
      <c r="C20" s="25" t="s">
        <v>253</v>
      </c>
      <c r="D20" s="25">
        <v>1</v>
      </c>
      <c r="E20" s="27" t="s">
        <v>254</v>
      </c>
      <c r="F20" s="25">
        <v>500</v>
      </c>
      <c r="G20" s="25" t="s">
        <v>236</v>
      </c>
      <c r="H20" s="25" t="e">
        <f t="shared" si="0"/>
        <v>#VALUE!</v>
      </c>
      <c r="I20" s="25" t="s">
        <v>233</v>
      </c>
      <c r="J20" s="25" t="e">
        <f t="shared" si="1"/>
        <v>#VALUE!</v>
      </c>
      <c r="K20" s="25">
        <v>73.742000000000004</v>
      </c>
      <c r="L20" s="25">
        <f t="shared" si="2"/>
        <v>2.7257194000705157E-2</v>
      </c>
      <c r="M20" s="25" t="s">
        <v>233</v>
      </c>
      <c r="N20" s="25" t="s">
        <v>233</v>
      </c>
      <c r="O20" s="25" t="s">
        <v>233</v>
      </c>
      <c r="P20" s="25">
        <v>604.83299999999997</v>
      </c>
      <c r="Q20" s="25" t="e">
        <f t="shared" ref="Q20:Q44" si="14">M20-P20</f>
        <v>#VALUE!</v>
      </c>
      <c r="S20" s="25" t="e">
        <f t="shared" si="4"/>
        <v>#VALUE!</v>
      </c>
      <c r="V20" s="25" t="s">
        <v>233</v>
      </c>
      <c r="W20" s="25" t="s">
        <v>236</v>
      </c>
      <c r="X20" s="25">
        <v>52</v>
      </c>
      <c r="AB20" s="25" t="e">
        <f t="shared" si="5"/>
        <v>#VALUE!</v>
      </c>
      <c r="AC20" s="25">
        <f t="shared" si="6"/>
        <v>-0.104</v>
      </c>
      <c r="AD20" s="25">
        <f t="shared" si="7"/>
        <v>0</v>
      </c>
      <c r="AE20" s="25">
        <f t="shared" si="8"/>
        <v>-0.104</v>
      </c>
      <c r="AG20" s="25" t="e">
        <f t="shared" si="9"/>
        <v>#VALUE!</v>
      </c>
      <c r="AH20" s="25" t="e">
        <f t="shared" si="10"/>
        <v>#VALUE!</v>
      </c>
      <c r="AJ20" s="25">
        <f t="shared" si="11"/>
        <v>2.7257194000705157E-2</v>
      </c>
      <c r="AK20" s="28" t="s">
        <v>173</v>
      </c>
      <c r="AL20" s="21"/>
      <c r="AM20"/>
      <c r="AMI20"/>
      <c r="AMJ20"/>
    </row>
    <row r="21" spans="1:1024" ht="25.5" x14ac:dyDescent="0.2">
      <c r="A21"/>
      <c r="B21"/>
      <c r="D21">
        <v>2</v>
      </c>
      <c r="E21" s="19" t="s">
        <v>255</v>
      </c>
      <c r="F21">
        <v>500</v>
      </c>
      <c r="G21">
        <v>38.415999999999997</v>
      </c>
      <c r="H21">
        <f t="shared" si="0"/>
        <v>4.1649312786339029E-2</v>
      </c>
      <c r="I21" t="s">
        <v>233</v>
      </c>
      <c r="J21" t="e">
        <f t="shared" si="1"/>
        <v>#VALUE!</v>
      </c>
      <c r="K21">
        <v>71.47</v>
      </c>
      <c r="L21">
        <f t="shared" si="2"/>
        <v>2.812368826080873E-2</v>
      </c>
      <c r="M21">
        <v>533.83299999999997</v>
      </c>
      <c r="N21">
        <v>282.16699999999997</v>
      </c>
      <c r="O21">
        <v>153.833</v>
      </c>
      <c r="P21" t="s">
        <v>233</v>
      </c>
      <c r="Q21" s="35" t="e">
        <f t="shared" si="14"/>
        <v>#VALUE!</v>
      </c>
      <c r="S21">
        <f t="shared" si="4"/>
        <v>128.33399999999997</v>
      </c>
      <c r="V21">
        <v>1106</v>
      </c>
      <c r="W21">
        <v>1128</v>
      </c>
      <c r="X21" t="s">
        <v>233</v>
      </c>
      <c r="Y21" t="s">
        <v>233</v>
      </c>
      <c r="Z21" t="s">
        <v>233</v>
      </c>
      <c r="AB21">
        <f t="shared" si="5"/>
        <v>4.3999999999999997E-2</v>
      </c>
      <c r="AC21" t="e">
        <f t="shared" si="6"/>
        <v>#VALUE!</v>
      </c>
      <c r="AD21" t="e">
        <f t="shared" si="7"/>
        <v>#VALUE!</v>
      </c>
      <c r="AE21" t="e">
        <f t="shared" si="8"/>
        <v>#VALUE!</v>
      </c>
      <c r="AG21" t="e">
        <f t="shared" si="9"/>
        <v>#VALUE!</v>
      </c>
      <c r="AH21">
        <f t="shared" si="10"/>
        <v>5.3450229071220319</v>
      </c>
      <c r="AJ21">
        <f t="shared" si="11"/>
        <v>4.1649312786339029E-2</v>
      </c>
      <c r="AK21" s="21" t="s">
        <v>169</v>
      </c>
      <c r="AL21" s="21"/>
    </row>
    <row r="22" spans="1:1024" s="25" customFormat="1" ht="51" x14ac:dyDescent="0.2">
      <c r="B22" s="26">
        <v>9</v>
      </c>
      <c r="C22" s="25" t="s">
        <v>256</v>
      </c>
      <c r="D22" s="25">
        <v>1</v>
      </c>
      <c r="E22" s="27" t="s">
        <v>257</v>
      </c>
      <c r="F22" s="25">
        <v>500</v>
      </c>
      <c r="G22" s="25" t="s">
        <v>236</v>
      </c>
      <c r="H22" s="25" t="e">
        <f t="shared" si="0"/>
        <v>#VALUE!</v>
      </c>
      <c r="I22" s="25" t="s">
        <v>233</v>
      </c>
      <c r="J22" s="25" t="e">
        <f t="shared" si="1"/>
        <v>#VALUE!</v>
      </c>
      <c r="L22" s="25" t="e">
        <f t="shared" si="2"/>
        <v>#DIV/0!</v>
      </c>
      <c r="M22" s="25" t="s">
        <v>233</v>
      </c>
      <c r="N22" s="25" t="s">
        <v>233</v>
      </c>
      <c r="O22" s="25" t="s">
        <v>233</v>
      </c>
      <c r="P22" s="25" t="s">
        <v>233</v>
      </c>
      <c r="Q22" s="25" t="e">
        <f t="shared" si="14"/>
        <v>#VALUE!</v>
      </c>
      <c r="S22" s="25" t="e">
        <f t="shared" si="4"/>
        <v>#VALUE!</v>
      </c>
      <c r="V22" s="25" t="s">
        <v>233</v>
      </c>
      <c r="W22" s="25" t="s">
        <v>236</v>
      </c>
      <c r="X22" s="25" t="s">
        <v>233</v>
      </c>
      <c r="Y22" s="25" t="s">
        <v>233</v>
      </c>
      <c r="Z22" s="25" t="s">
        <v>233</v>
      </c>
      <c r="AB22" s="25" t="e">
        <f t="shared" si="5"/>
        <v>#VALUE!</v>
      </c>
      <c r="AC22" s="25" t="e">
        <f t="shared" si="6"/>
        <v>#VALUE!</v>
      </c>
      <c r="AD22" s="25" t="e">
        <f t="shared" si="7"/>
        <v>#VALUE!</v>
      </c>
      <c r="AE22" s="25" t="e">
        <f t="shared" si="8"/>
        <v>#VALUE!</v>
      </c>
      <c r="AG22" s="25" t="e">
        <f t="shared" si="9"/>
        <v>#DIV/0!</v>
      </c>
      <c r="AH22" s="25" t="e">
        <f t="shared" si="10"/>
        <v>#DIV/0!</v>
      </c>
      <c r="AJ22" s="25" t="e">
        <f t="shared" si="11"/>
        <v>#DIV/0!</v>
      </c>
      <c r="AK22" s="28" t="s">
        <v>173</v>
      </c>
      <c r="AL22" s="21"/>
      <c r="AM22"/>
      <c r="AMI22"/>
      <c r="AMJ22"/>
    </row>
    <row r="23" spans="1:1024" ht="51" x14ac:dyDescent="0.2">
      <c r="A23"/>
      <c r="B23"/>
      <c r="D23">
        <v>2</v>
      </c>
      <c r="E23" s="19" t="s">
        <v>258</v>
      </c>
      <c r="F23">
        <v>500</v>
      </c>
      <c r="G23">
        <v>39.134999999999998</v>
      </c>
      <c r="H23">
        <f t="shared" si="0"/>
        <v>4.0884119074996811E-2</v>
      </c>
      <c r="I23" t="s">
        <v>233</v>
      </c>
      <c r="J23" t="e">
        <f t="shared" si="1"/>
        <v>#VALUE!</v>
      </c>
      <c r="K23" t="s">
        <v>236</v>
      </c>
      <c r="L23" t="e">
        <f t="shared" si="2"/>
        <v>#VALUE!</v>
      </c>
      <c r="M23">
        <v>378.5</v>
      </c>
      <c r="N23">
        <v>284.5</v>
      </c>
      <c r="O23" t="s">
        <v>233</v>
      </c>
      <c r="P23" t="s">
        <v>233</v>
      </c>
      <c r="Q23" s="35" t="e">
        <f t="shared" si="14"/>
        <v>#VALUE!</v>
      </c>
      <c r="S23" t="e">
        <f t="shared" si="4"/>
        <v>#VALUE!</v>
      </c>
      <c r="V23">
        <v>1155</v>
      </c>
      <c r="W23">
        <v>1171</v>
      </c>
      <c r="X23" t="s">
        <v>233</v>
      </c>
      <c r="Y23" t="s">
        <v>233</v>
      </c>
      <c r="Z23" t="s">
        <v>233</v>
      </c>
      <c r="AB23">
        <f t="shared" si="5"/>
        <v>3.2000000000000001E-2</v>
      </c>
      <c r="AC23" t="e">
        <f t="shared" si="6"/>
        <v>#VALUE!</v>
      </c>
      <c r="AD23" t="e">
        <f t="shared" si="7"/>
        <v>#VALUE!</v>
      </c>
      <c r="AE23" t="e">
        <f t="shared" si="8"/>
        <v>#VALUE!</v>
      </c>
      <c r="AG23" t="e">
        <f t="shared" si="9"/>
        <v>#VALUE!</v>
      </c>
      <c r="AH23" t="e">
        <f t="shared" si="10"/>
        <v>#VALUE!</v>
      </c>
      <c r="AJ23">
        <f t="shared" si="11"/>
        <v>4.0884119074996811E-2</v>
      </c>
      <c r="AK23" s="21" t="s">
        <v>169</v>
      </c>
      <c r="AL23" s="21"/>
    </row>
    <row r="24" spans="1:1024" s="25" customFormat="1" ht="51" x14ac:dyDescent="0.2">
      <c r="B24" s="26" t="s">
        <v>259</v>
      </c>
      <c r="C24" s="25" t="s">
        <v>260</v>
      </c>
      <c r="D24" s="25">
        <v>1</v>
      </c>
      <c r="E24" s="27" t="s">
        <v>261</v>
      </c>
      <c r="F24" s="25">
        <v>500</v>
      </c>
      <c r="G24" s="25" t="s">
        <v>236</v>
      </c>
      <c r="H24" s="25" t="e">
        <f t="shared" si="0"/>
        <v>#VALUE!</v>
      </c>
      <c r="I24" s="25" t="s">
        <v>233</v>
      </c>
      <c r="J24" s="25" t="e">
        <f t="shared" si="1"/>
        <v>#VALUE!</v>
      </c>
      <c r="K24" s="25" t="s">
        <v>236</v>
      </c>
      <c r="L24" s="25" t="e">
        <f t="shared" si="2"/>
        <v>#VALUE!</v>
      </c>
      <c r="M24" s="25" t="s">
        <v>233</v>
      </c>
      <c r="N24" s="25" t="s">
        <v>233</v>
      </c>
      <c r="O24" s="25" t="s">
        <v>233</v>
      </c>
      <c r="P24" s="25" t="s">
        <v>233</v>
      </c>
      <c r="Q24" s="25" t="e">
        <f t="shared" si="14"/>
        <v>#VALUE!</v>
      </c>
      <c r="S24" s="25" t="e">
        <f t="shared" si="4"/>
        <v>#VALUE!</v>
      </c>
      <c r="V24" s="25" t="s">
        <v>233</v>
      </c>
      <c r="W24" s="25" t="s">
        <v>236</v>
      </c>
      <c r="X24" s="25" t="s">
        <v>233</v>
      </c>
      <c r="Y24" s="25" t="s">
        <v>233</v>
      </c>
      <c r="Z24" s="25" t="s">
        <v>233</v>
      </c>
      <c r="AB24" s="25" t="e">
        <f t="shared" si="5"/>
        <v>#VALUE!</v>
      </c>
      <c r="AC24" s="25" t="e">
        <f t="shared" si="6"/>
        <v>#VALUE!</v>
      </c>
      <c r="AD24" s="25" t="e">
        <f t="shared" si="7"/>
        <v>#VALUE!</v>
      </c>
      <c r="AE24" s="25" t="e">
        <f t="shared" si="8"/>
        <v>#VALUE!</v>
      </c>
      <c r="AG24" s="25" t="e">
        <f t="shared" si="9"/>
        <v>#VALUE!</v>
      </c>
      <c r="AH24" s="25" t="e">
        <f t="shared" si="10"/>
        <v>#VALUE!</v>
      </c>
      <c r="AJ24" s="25" t="e">
        <f t="shared" si="11"/>
        <v>#VALUE!</v>
      </c>
      <c r="AK24" s="28" t="s">
        <v>173</v>
      </c>
      <c r="AL24" s="21"/>
      <c r="AM24"/>
      <c r="AMI24"/>
      <c r="AMJ24"/>
    </row>
    <row r="25" spans="1:1024" ht="76.5" x14ac:dyDescent="0.2">
      <c r="A25"/>
      <c r="B25"/>
      <c r="D25">
        <v>2</v>
      </c>
      <c r="E25" s="19" t="s">
        <v>262</v>
      </c>
      <c r="F25">
        <v>500</v>
      </c>
      <c r="G25">
        <v>41.905999999999999</v>
      </c>
      <c r="H25">
        <f t="shared" si="0"/>
        <v>3.8180690115973852E-2</v>
      </c>
      <c r="I25" t="s">
        <v>233</v>
      </c>
      <c r="J25" t="e">
        <f t="shared" si="1"/>
        <v>#VALUE!</v>
      </c>
      <c r="K25">
        <v>65.037999999999997</v>
      </c>
      <c r="L25">
        <f t="shared" si="2"/>
        <v>3.0905009379132199E-2</v>
      </c>
      <c r="M25">
        <v>615.83299999999997</v>
      </c>
      <c r="N25">
        <v>283.83300000000003</v>
      </c>
      <c r="O25">
        <v>172.833</v>
      </c>
      <c r="P25">
        <v>158.167</v>
      </c>
      <c r="Q25" s="35">
        <f t="shared" si="14"/>
        <v>457.66599999999994</v>
      </c>
      <c r="S25">
        <f t="shared" si="4"/>
        <v>111.00000000000003</v>
      </c>
      <c r="V25">
        <v>924</v>
      </c>
      <c r="W25">
        <v>944</v>
      </c>
      <c r="X25">
        <v>1014</v>
      </c>
      <c r="Y25">
        <v>1084</v>
      </c>
      <c r="Z25">
        <v>1138</v>
      </c>
      <c r="AB25">
        <f t="shared" si="5"/>
        <v>0.04</v>
      </c>
      <c r="AC25">
        <f t="shared" si="6"/>
        <v>0.14000000000000001</v>
      </c>
      <c r="AD25">
        <f t="shared" si="7"/>
        <v>0.108</v>
      </c>
      <c r="AE25">
        <f t="shared" si="8"/>
        <v>0.248</v>
      </c>
      <c r="AG25">
        <f t="shared" si="9"/>
        <v>17.474003722617287</v>
      </c>
      <c r="AH25">
        <f t="shared" si="10"/>
        <v>4.2380566028730984</v>
      </c>
      <c r="AJ25">
        <f t="shared" si="11"/>
        <v>3.8180690115973852E-2</v>
      </c>
      <c r="AK25" s="21" t="s">
        <v>169</v>
      </c>
      <c r="AL25" s="21"/>
    </row>
    <row r="26" spans="1:1024" x14ac:dyDescent="0.2">
      <c r="A26"/>
      <c r="B26"/>
      <c r="D26">
        <v>3</v>
      </c>
      <c r="E26" s="19" t="s">
        <v>243</v>
      </c>
      <c r="F26" s="35">
        <v>500</v>
      </c>
      <c r="G26" s="19">
        <v>37.67</v>
      </c>
      <c r="H26">
        <f t="shared" si="0"/>
        <v>4.2474117334749137E-2</v>
      </c>
      <c r="I26" t="s">
        <v>233</v>
      </c>
      <c r="J26" t="e">
        <f t="shared" si="1"/>
        <v>#VALUE!</v>
      </c>
      <c r="K26">
        <v>64.275000000000006</v>
      </c>
      <c r="L26">
        <f t="shared" si="2"/>
        <v>3.127187864644107E-2</v>
      </c>
      <c r="M26">
        <v>176.167</v>
      </c>
      <c r="N26">
        <v>286.5</v>
      </c>
      <c r="O26" t="s">
        <v>233</v>
      </c>
      <c r="P26" t="s">
        <v>233</v>
      </c>
      <c r="Q26" s="35" t="e">
        <f t="shared" si="14"/>
        <v>#VALUE!</v>
      </c>
      <c r="S26" t="e">
        <f t="shared" si="4"/>
        <v>#VALUE!</v>
      </c>
      <c r="V26">
        <v>1867</v>
      </c>
      <c r="W26">
        <v>1881</v>
      </c>
      <c r="X26" t="s">
        <v>233</v>
      </c>
      <c r="Y26" t="s">
        <v>233</v>
      </c>
      <c r="Z26" t="s">
        <v>233</v>
      </c>
      <c r="AB26">
        <f t="shared" si="5"/>
        <v>2.8000000000000001E-2</v>
      </c>
      <c r="AC26" t="e">
        <f t="shared" si="6"/>
        <v>#VALUE!</v>
      </c>
      <c r="AD26" t="e">
        <f t="shared" si="7"/>
        <v>#VALUE!</v>
      </c>
      <c r="AE26" t="e">
        <f t="shared" si="8"/>
        <v>#VALUE!</v>
      </c>
      <c r="AG26" t="e">
        <f t="shared" si="9"/>
        <v>#VALUE!</v>
      </c>
      <c r="AH26" t="e">
        <f t="shared" si="10"/>
        <v>#VALUE!</v>
      </c>
      <c r="AJ26">
        <f t="shared" si="11"/>
        <v>4.2474117334749137E-2</v>
      </c>
      <c r="AK26" s="21" t="s">
        <v>169</v>
      </c>
      <c r="AL26" s="21"/>
    </row>
    <row r="27" spans="1:1024" ht="25.5" x14ac:dyDescent="0.2">
      <c r="A27"/>
      <c r="B27" s="18" t="s">
        <v>263</v>
      </c>
      <c r="C27" t="s">
        <v>264</v>
      </c>
      <c r="D27">
        <v>1</v>
      </c>
      <c r="E27" s="19" t="s">
        <v>265</v>
      </c>
      <c r="F27">
        <v>500</v>
      </c>
      <c r="G27" t="s">
        <v>236</v>
      </c>
      <c r="H27" t="e">
        <f t="shared" si="0"/>
        <v>#VALUE!</v>
      </c>
      <c r="I27" t="s">
        <v>233</v>
      </c>
      <c r="J27" t="e">
        <f t="shared" si="1"/>
        <v>#VALUE!</v>
      </c>
      <c r="K27">
        <v>76.352000000000004</v>
      </c>
      <c r="L27">
        <f t="shared" si="2"/>
        <v>2.6325440067057834E-2</v>
      </c>
      <c r="M27" t="s">
        <v>233</v>
      </c>
      <c r="N27" t="s">
        <v>233</v>
      </c>
      <c r="O27" t="s">
        <v>233</v>
      </c>
      <c r="P27">
        <v>665.5</v>
      </c>
      <c r="Q27" t="e">
        <f t="shared" si="14"/>
        <v>#VALUE!</v>
      </c>
      <c r="S27" t="e">
        <f t="shared" si="4"/>
        <v>#VALUE!</v>
      </c>
      <c r="V27" t="s">
        <v>233</v>
      </c>
      <c r="W27" t="s">
        <v>236</v>
      </c>
      <c r="X27">
        <v>58</v>
      </c>
      <c r="Y27">
        <v>74</v>
      </c>
      <c r="Z27">
        <v>135</v>
      </c>
      <c r="AB27" t="e">
        <f t="shared" si="5"/>
        <v>#VALUE!</v>
      </c>
      <c r="AC27">
        <f t="shared" si="6"/>
        <v>3.2000000000000001E-2</v>
      </c>
      <c r="AD27">
        <f t="shared" si="7"/>
        <v>0.122</v>
      </c>
      <c r="AE27">
        <f t="shared" si="8"/>
        <v>0.154</v>
      </c>
      <c r="AG27" t="e">
        <f t="shared" si="9"/>
        <v>#VALUE!</v>
      </c>
      <c r="AH27" t="e">
        <f t="shared" si="10"/>
        <v>#VALUE!</v>
      </c>
      <c r="AJ27">
        <f t="shared" si="11"/>
        <v>2.6325440067057834E-2</v>
      </c>
      <c r="AK27" s="21" t="s">
        <v>169</v>
      </c>
      <c r="AL27" s="21"/>
    </row>
    <row r="28" spans="1:1024" ht="38.25" x14ac:dyDescent="0.2">
      <c r="A28"/>
      <c r="B28"/>
      <c r="D28">
        <v>2</v>
      </c>
      <c r="E28" s="19" t="s">
        <v>266</v>
      </c>
      <c r="F28" s="35">
        <v>500</v>
      </c>
      <c r="G28">
        <v>42.832999999999998</v>
      </c>
      <c r="H28">
        <f t="shared" si="0"/>
        <v>3.735437629864824E-2</v>
      </c>
      <c r="I28" t="s">
        <v>233</v>
      </c>
      <c r="J28" t="e">
        <f t="shared" si="1"/>
        <v>#VALUE!</v>
      </c>
      <c r="K28">
        <v>75.664000000000001</v>
      </c>
      <c r="L28">
        <f t="shared" si="2"/>
        <v>2.6564812856840765E-2</v>
      </c>
      <c r="M28">
        <v>668.83299999999997</v>
      </c>
      <c r="N28">
        <v>281.16699999999997</v>
      </c>
      <c r="O28">
        <v>156.167</v>
      </c>
      <c r="P28" t="s">
        <v>233</v>
      </c>
      <c r="Q28" t="e">
        <f t="shared" si="14"/>
        <v>#VALUE!</v>
      </c>
      <c r="S28">
        <f t="shared" si="4"/>
        <v>124.99999999999997</v>
      </c>
      <c r="V28">
        <v>1062</v>
      </c>
      <c r="W28">
        <v>1073</v>
      </c>
      <c r="X28" t="s">
        <v>233</v>
      </c>
      <c r="Y28" t="s">
        <v>233</v>
      </c>
      <c r="Z28" t="s">
        <v>233</v>
      </c>
      <c r="AB28">
        <f t="shared" si="5"/>
        <v>2.1999999999999999E-2</v>
      </c>
      <c r="AC28" t="e">
        <f t="shared" si="6"/>
        <v>#VALUE!</v>
      </c>
      <c r="AD28" t="e">
        <f t="shared" si="7"/>
        <v>#VALUE!</v>
      </c>
      <c r="AE28" t="e">
        <f t="shared" si="8"/>
        <v>#VALUE!</v>
      </c>
      <c r="AG28" t="e">
        <f t="shared" si="9"/>
        <v>#VALUE!</v>
      </c>
      <c r="AH28">
        <f t="shared" si="10"/>
        <v>4.6692970373310292</v>
      </c>
      <c r="AJ28">
        <f t="shared" si="11"/>
        <v>3.735437629864824E-2</v>
      </c>
      <c r="AK28" s="21" t="s">
        <v>169</v>
      </c>
      <c r="AL28" s="21"/>
    </row>
    <row r="29" spans="1:1024" s="37" customFormat="1" x14ac:dyDescent="0.2">
      <c r="E29" s="38"/>
      <c r="F29" s="39"/>
      <c r="H29" s="39"/>
      <c r="J29" s="39"/>
      <c r="Q29" s="37">
        <f t="shared" si="14"/>
        <v>0</v>
      </c>
      <c r="S29" s="39"/>
      <c r="AB29" s="39"/>
      <c r="AC29" s="39"/>
      <c r="AD29" s="39"/>
      <c r="AE29" s="39"/>
      <c r="AG29" s="39"/>
      <c r="AH29" s="39"/>
      <c r="AJ29" s="39"/>
      <c r="AK29" s="40"/>
      <c r="AL29" s="39"/>
      <c r="AM29" s="39"/>
      <c r="AMI29"/>
      <c r="AMJ29"/>
    </row>
    <row r="30" spans="1:1024" x14ac:dyDescent="0.2">
      <c r="A30" s="17" t="s">
        <v>41</v>
      </c>
      <c r="B30" s="18">
        <v>1</v>
      </c>
      <c r="C30" t="s">
        <v>267</v>
      </c>
      <c r="D30">
        <v>1</v>
      </c>
      <c r="E30" s="12" t="s">
        <v>268</v>
      </c>
      <c r="F30" s="35">
        <v>500</v>
      </c>
      <c r="G30">
        <v>44.180999999999997</v>
      </c>
      <c r="H30">
        <f t="shared" ref="H30:H44" si="15">1.6/G30</f>
        <v>3.6214662411443839E-2</v>
      </c>
      <c r="I30" t="s">
        <v>233</v>
      </c>
      <c r="J30" t="e">
        <f t="shared" ref="J30:J44" si="16">(5.08)/I30</f>
        <v>#VALUE!</v>
      </c>
      <c r="K30">
        <v>75.125</v>
      </c>
      <c r="M30" t="s">
        <v>233</v>
      </c>
      <c r="N30" t="s">
        <v>233</v>
      </c>
      <c r="O30">
        <v>338.16699999999997</v>
      </c>
      <c r="P30">
        <v>111.5</v>
      </c>
      <c r="Q30" t="e">
        <f t="shared" si="14"/>
        <v>#VALUE!</v>
      </c>
      <c r="S30" t="e">
        <f t="shared" ref="S30:S44" si="17">N30-O30</f>
        <v>#VALUE!</v>
      </c>
      <c r="V30" t="s">
        <v>233</v>
      </c>
      <c r="W30" t="s">
        <v>236</v>
      </c>
      <c r="X30">
        <v>48</v>
      </c>
      <c r="Y30">
        <v>52</v>
      </c>
      <c r="Z30">
        <v>131</v>
      </c>
      <c r="AB30" t="e">
        <f t="shared" ref="AB30:AB44" si="18">(W30-V30)/F30</f>
        <v>#VALUE!</v>
      </c>
      <c r="AC30">
        <f t="shared" ref="AC30:AC44" si="19">(Y30-X30)/F30</f>
        <v>8.0000000000000002E-3</v>
      </c>
      <c r="AD30">
        <f t="shared" ref="AD30:AD44" si="20">(Z30-Y30)/F30</f>
        <v>0.158</v>
      </c>
      <c r="AE30">
        <f t="shared" ref="AE30:AE44" si="21">AD30+AC30</f>
        <v>0.16600000000000001</v>
      </c>
      <c r="AG30" t="e">
        <f>AJ30*Q30</f>
        <v>#VALUE!</v>
      </c>
      <c r="AH30" t="e">
        <f>AJ30*S30</f>
        <v>#VALUE!</v>
      </c>
      <c r="AJ30">
        <f t="shared" ref="AJ30:AJ44" si="22">IF(ISERROR(H30), IF(ISERROR(J30), L30, J30), H30)</f>
        <v>3.6214662411443839E-2</v>
      </c>
      <c r="AK30" s="21" t="s">
        <v>169</v>
      </c>
    </row>
    <row r="31" spans="1:1024" s="25" customFormat="1" ht="25.5" x14ac:dyDescent="0.2">
      <c r="A31" s="41"/>
      <c r="B31" s="26"/>
      <c r="D31" s="25">
        <v>2</v>
      </c>
      <c r="E31" s="27" t="s">
        <v>269</v>
      </c>
      <c r="F31" s="25">
        <v>500</v>
      </c>
      <c r="G31" s="25" t="s">
        <v>236</v>
      </c>
      <c r="H31" s="25" t="e">
        <f t="shared" si="15"/>
        <v>#VALUE!</v>
      </c>
      <c r="I31" s="25" t="s">
        <v>233</v>
      </c>
      <c r="J31" s="25" t="e">
        <f t="shared" si="16"/>
        <v>#VALUE!</v>
      </c>
      <c r="M31" s="25">
        <v>110.167</v>
      </c>
      <c r="N31" s="25">
        <v>349.83300000000003</v>
      </c>
      <c r="Q31" s="25">
        <f t="shared" si="14"/>
        <v>110.167</v>
      </c>
      <c r="S31" s="25">
        <f t="shared" si="17"/>
        <v>349.83300000000003</v>
      </c>
      <c r="V31" s="25">
        <v>644</v>
      </c>
      <c r="W31" s="25" t="s">
        <v>236</v>
      </c>
      <c r="X31" s="25" t="s">
        <v>233</v>
      </c>
      <c r="Y31" s="25" t="s">
        <v>233</v>
      </c>
      <c r="Z31" s="25" t="s">
        <v>233</v>
      </c>
      <c r="AB31" s="25" t="e">
        <f t="shared" si="18"/>
        <v>#VALUE!</v>
      </c>
      <c r="AC31" s="25" t="e">
        <f t="shared" si="19"/>
        <v>#VALUE!</v>
      </c>
      <c r="AD31" s="25" t="e">
        <f t="shared" si="20"/>
        <v>#VALUE!</v>
      </c>
      <c r="AE31" s="25" t="e">
        <f t="shared" si="21"/>
        <v>#VALUE!</v>
      </c>
      <c r="AG31" s="25" t="s">
        <v>233</v>
      </c>
      <c r="AH31" s="25" t="s">
        <v>233</v>
      </c>
      <c r="AJ31" s="25">
        <f t="shared" si="22"/>
        <v>0</v>
      </c>
      <c r="AK31" s="28" t="s">
        <v>173</v>
      </c>
      <c r="AM31"/>
      <c r="AMI31"/>
      <c r="AMJ31"/>
    </row>
    <row r="32" spans="1:1024" x14ac:dyDescent="0.2">
      <c r="A32"/>
      <c r="B32"/>
      <c r="D32">
        <v>3</v>
      </c>
      <c r="E32" s="19" t="s">
        <v>270</v>
      </c>
      <c r="F32" s="35">
        <v>500</v>
      </c>
      <c r="G32">
        <v>42.826000000000001</v>
      </c>
      <c r="H32">
        <f t="shared" si="15"/>
        <v>3.7360481950217163E-2</v>
      </c>
      <c r="I32" t="s">
        <v>233</v>
      </c>
      <c r="J32" t="e">
        <f t="shared" si="16"/>
        <v>#VALUE!</v>
      </c>
      <c r="K32">
        <v>72.176000000000002</v>
      </c>
      <c r="M32">
        <v>222.5</v>
      </c>
      <c r="N32">
        <v>355.5</v>
      </c>
      <c r="O32">
        <v>321.5</v>
      </c>
      <c r="P32">
        <v>489.83300000000003</v>
      </c>
      <c r="Q32">
        <f t="shared" si="14"/>
        <v>-267.33300000000003</v>
      </c>
      <c r="S32">
        <f t="shared" si="17"/>
        <v>34</v>
      </c>
      <c r="V32">
        <v>1284</v>
      </c>
      <c r="W32">
        <v>1304</v>
      </c>
      <c r="X32">
        <v>1337</v>
      </c>
      <c r="Y32">
        <v>1357</v>
      </c>
      <c r="Z32">
        <v>1400</v>
      </c>
      <c r="AB32">
        <f t="shared" si="18"/>
        <v>0.04</v>
      </c>
      <c r="AC32">
        <f t="shared" si="19"/>
        <v>0.04</v>
      </c>
      <c r="AD32">
        <f t="shared" si="20"/>
        <v>8.5999999999999993E-2</v>
      </c>
      <c r="AE32">
        <f t="shared" si="21"/>
        <v>0.126</v>
      </c>
      <c r="AG32">
        <f>ABS(AJ32*Q32)</f>
        <v>9.9876897211974054</v>
      </c>
      <c r="AH32">
        <f t="shared" ref="AH32:AH44" si="23">AJ32*S32</f>
        <v>1.2702563863073835</v>
      </c>
      <c r="AJ32">
        <f t="shared" si="22"/>
        <v>3.7360481950217163E-2</v>
      </c>
      <c r="AK32" s="21" t="s">
        <v>169</v>
      </c>
    </row>
    <row r="33" spans="1:1024" ht="38.25" x14ac:dyDescent="0.2">
      <c r="A33"/>
      <c r="B33"/>
      <c r="D33">
        <v>4</v>
      </c>
      <c r="E33" s="19" t="s">
        <v>271</v>
      </c>
      <c r="F33">
        <v>500</v>
      </c>
      <c r="G33">
        <v>40.835000000000001</v>
      </c>
      <c r="H33">
        <f t="shared" si="15"/>
        <v>3.9182074201053019E-2</v>
      </c>
      <c r="I33" t="s">
        <v>233</v>
      </c>
      <c r="J33" t="e">
        <f t="shared" si="16"/>
        <v>#VALUE!</v>
      </c>
      <c r="K33">
        <v>70.206000000000003</v>
      </c>
      <c r="M33">
        <v>504.5</v>
      </c>
      <c r="N33">
        <v>354.5</v>
      </c>
      <c r="O33">
        <v>161.167</v>
      </c>
      <c r="P33" t="s">
        <v>233</v>
      </c>
      <c r="Q33" t="e">
        <f t="shared" si="14"/>
        <v>#VALUE!</v>
      </c>
      <c r="S33">
        <f t="shared" si="17"/>
        <v>193.333</v>
      </c>
      <c r="V33">
        <v>1914</v>
      </c>
      <c r="W33">
        <v>1931</v>
      </c>
      <c r="X33" t="s">
        <v>233</v>
      </c>
      <c r="Y33" t="s">
        <v>233</v>
      </c>
      <c r="Z33" t="s">
        <v>233</v>
      </c>
      <c r="AB33">
        <f t="shared" si="18"/>
        <v>3.4000000000000002E-2</v>
      </c>
      <c r="AC33" t="e">
        <f t="shared" si="19"/>
        <v>#VALUE!</v>
      </c>
      <c r="AD33" t="e">
        <f t="shared" si="20"/>
        <v>#VALUE!</v>
      </c>
      <c r="AE33" t="e">
        <f t="shared" si="21"/>
        <v>#VALUE!</v>
      </c>
      <c r="AG33" t="e">
        <f t="shared" ref="AG33:AG44" si="24">AJ33*Q33</f>
        <v>#VALUE!</v>
      </c>
      <c r="AH33">
        <f t="shared" si="23"/>
        <v>7.5751879515121834</v>
      </c>
      <c r="AJ33">
        <f t="shared" si="22"/>
        <v>3.9182074201053019E-2</v>
      </c>
      <c r="AK33" s="21" t="s">
        <v>169</v>
      </c>
    </row>
    <row r="34" spans="1:1024" ht="25.5" x14ac:dyDescent="0.2">
      <c r="A34"/>
      <c r="B34" s="18">
        <v>2</v>
      </c>
      <c r="C34" t="s">
        <v>272</v>
      </c>
      <c r="D34">
        <v>1</v>
      </c>
      <c r="E34" s="19" t="s">
        <v>273</v>
      </c>
      <c r="F34" s="35">
        <v>500</v>
      </c>
      <c r="G34">
        <v>40.835999999999999</v>
      </c>
      <c r="H34">
        <f t="shared" si="15"/>
        <v>3.9181114702713293E-2</v>
      </c>
      <c r="I34" t="s">
        <v>233</v>
      </c>
      <c r="J34" t="e">
        <f t="shared" si="16"/>
        <v>#VALUE!</v>
      </c>
      <c r="K34">
        <v>78.070999999999998</v>
      </c>
      <c r="M34" t="s">
        <v>233</v>
      </c>
      <c r="N34" t="s">
        <v>233</v>
      </c>
      <c r="O34">
        <v>241.167</v>
      </c>
      <c r="P34">
        <v>531.5</v>
      </c>
      <c r="Q34" t="e">
        <f t="shared" si="14"/>
        <v>#VALUE!</v>
      </c>
      <c r="S34" t="e">
        <f t="shared" si="17"/>
        <v>#VALUE!</v>
      </c>
      <c r="V34" t="s">
        <v>233</v>
      </c>
      <c r="W34" t="s">
        <v>236</v>
      </c>
      <c r="X34" s="11">
        <v>60</v>
      </c>
      <c r="Y34">
        <v>86</v>
      </c>
      <c r="Z34">
        <v>138</v>
      </c>
      <c r="AB34" t="e">
        <f t="shared" si="18"/>
        <v>#VALUE!</v>
      </c>
      <c r="AC34">
        <f t="shared" si="19"/>
        <v>5.1999999999999998E-2</v>
      </c>
      <c r="AD34">
        <f t="shared" si="20"/>
        <v>0.104</v>
      </c>
      <c r="AE34">
        <f t="shared" si="21"/>
        <v>0.156</v>
      </c>
      <c r="AG34" t="e">
        <f t="shared" si="24"/>
        <v>#VALUE!</v>
      </c>
      <c r="AH34" t="e">
        <f t="shared" si="23"/>
        <v>#VALUE!</v>
      </c>
      <c r="AJ34">
        <f t="shared" si="22"/>
        <v>3.9181114702713293E-2</v>
      </c>
      <c r="AK34" s="21" t="s">
        <v>169</v>
      </c>
    </row>
    <row r="35" spans="1:1024" x14ac:dyDescent="0.2">
      <c r="A35"/>
      <c r="B35"/>
      <c r="D35">
        <v>2</v>
      </c>
      <c r="E35" s="19" t="s">
        <v>243</v>
      </c>
      <c r="F35">
        <v>500</v>
      </c>
      <c r="G35">
        <v>40.835999999999999</v>
      </c>
      <c r="H35">
        <f t="shared" si="15"/>
        <v>3.9181114702713293E-2</v>
      </c>
      <c r="I35" t="s">
        <v>233</v>
      </c>
      <c r="J35" t="e">
        <f t="shared" si="16"/>
        <v>#VALUE!</v>
      </c>
      <c r="K35">
        <v>76.161000000000001</v>
      </c>
      <c r="M35">
        <v>515.5</v>
      </c>
      <c r="N35">
        <v>290.16699999999997</v>
      </c>
      <c r="O35" t="s">
        <v>233</v>
      </c>
      <c r="P35" t="s">
        <v>233</v>
      </c>
      <c r="Q35" t="e">
        <f t="shared" si="14"/>
        <v>#VALUE!</v>
      </c>
      <c r="S35" t="e">
        <f t="shared" si="17"/>
        <v>#VALUE!</v>
      </c>
      <c r="V35">
        <v>880</v>
      </c>
      <c r="W35">
        <v>895</v>
      </c>
      <c r="X35" t="s">
        <v>233</v>
      </c>
      <c r="Y35" t="s">
        <v>233</v>
      </c>
      <c r="Z35" t="s">
        <v>233</v>
      </c>
      <c r="AB35">
        <f t="shared" si="18"/>
        <v>0.03</v>
      </c>
      <c r="AC35" t="e">
        <f t="shared" si="19"/>
        <v>#VALUE!</v>
      </c>
      <c r="AD35" t="e">
        <f t="shared" si="20"/>
        <v>#VALUE!</v>
      </c>
      <c r="AE35" t="e">
        <f t="shared" si="21"/>
        <v>#VALUE!</v>
      </c>
      <c r="AG35" t="e">
        <f t="shared" si="24"/>
        <v>#VALUE!</v>
      </c>
      <c r="AH35" t="e">
        <f t="shared" si="23"/>
        <v>#VALUE!</v>
      </c>
      <c r="AJ35">
        <f t="shared" si="22"/>
        <v>3.9181114702713293E-2</v>
      </c>
      <c r="AK35" s="21" t="s">
        <v>169</v>
      </c>
    </row>
    <row r="36" spans="1:1024" x14ac:dyDescent="0.2">
      <c r="A36"/>
      <c r="B36" s="18">
        <v>3</v>
      </c>
      <c r="C36" t="s">
        <v>274</v>
      </c>
      <c r="D36">
        <v>1</v>
      </c>
      <c r="E36" s="19" t="s">
        <v>275</v>
      </c>
      <c r="F36" s="35">
        <v>500</v>
      </c>
      <c r="G36">
        <v>44.616</v>
      </c>
      <c r="H36">
        <f t="shared" si="15"/>
        <v>3.5861574323112787E-2</v>
      </c>
      <c r="I36" t="s">
        <v>233</v>
      </c>
      <c r="J36" t="e">
        <f t="shared" si="16"/>
        <v>#VALUE!</v>
      </c>
      <c r="K36">
        <v>73.941000000000003</v>
      </c>
      <c r="M36" t="s">
        <v>233</v>
      </c>
      <c r="N36" t="s">
        <v>233</v>
      </c>
      <c r="O36">
        <v>209.5</v>
      </c>
      <c r="P36">
        <v>569.83299999999997</v>
      </c>
      <c r="Q36" t="e">
        <f t="shared" si="14"/>
        <v>#VALUE!</v>
      </c>
      <c r="S36" t="e">
        <f t="shared" si="17"/>
        <v>#VALUE!</v>
      </c>
      <c r="V36" t="s">
        <v>233</v>
      </c>
      <c r="W36" t="s">
        <v>236</v>
      </c>
      <c r="X36">
        <v>66</v>
      </c>
      <c r="Y36">
        <v>69</v>
      </c>
      <c r="Z36">
        <v>132</v>
      </c>
      <c r="AB36" t="e">
        <f t="shared" si="18"/>
        <v>#VALUE!</v>
      </c>
      <c r="AC36">
        <f t="shared" si="19"/>
        <v>6.0000000000000001E-3</v>
      </c>
      <c r="AD36">
        <f t="shared" si="20"/>
        <v>0.126</v>
      </c>
      <c r="AE36">
        <f t="shared" si="21"/>
        <v>0.13200000000000001</v>
      </c>
      <c r="AG36" t="e">
        <f t="shared" si="24"/>
        <v>#VALUE!</v>
      </c>
      <c r="AH36" t="e">
        <f t="shared" si="23"/>
        <v>#VALUE!</v>
      </c>
      <c r="AJ36">
        <f t="shared" si="22"/>
        <v>3.5861574323112787E-2</v>
      </c>
      <c r="AK36" s="21" t="s">
        <v>169</v>
      </c>
    </row>
    <row r="37" spans="1:1024" x14ac:dyDescent="0.2">
      <c r="A37"/>
      <c r="B37"/>
      <c r="D37">
        <v>2</v>
      </c>
      <c r="E37" s="19" t="s">
        <v>243</v>
      </c>
      <c r="F37">
        <v>500</v>
      </c>
      <c r="G37">
        <v>44.616</v>
      </c>
      <c r="H37">
        <f t="shared" si="15"/>
        <v>3.5861574323112787E-2</v>
      </c>
      <c r="I37" t="s">
        <v>233</v>
      </c>
      <c r="J37" t="e">
        <f t="shared" si="16"/>
        <v>#VALUE!</v>
      </c>
      <c r="K37">
        <v>76.698999999999998</v>
      </c>
      <c r="M37">
        <v>578.5</v>
      </c>
      <c r="N37">
        <v>295.83300000000003</v>
      </c>
      <c r="O37">
        <v>186.833</v>
      </c>
      <c r="P37" t="s">
        <v>233</v>
      </c>
      <c r="Q37" t="e">
        <f t="shared" si="14"/>
        <v>#VALUE!</v>
      </c>
      <c r="S37">
        <f t="shared" si="17"/>
        <v>109.00000000000003</v>
      </c>
      <c r="V37">
        <v>1798</v>
      </c>
      <c r="W37">
        <v>1813</v>
      </c>
      <c r="X37" t="s">
        <v>233</v>
      </c>
      <c r="Y37" t="s">
        <v>233</v>
      </c>
      <c r="Z37" t="s">
        <v>233</v>
      </c>
      <c r="AB37">
        <f t="shared" si="18"/>
        <v>0.03</v>
      </c>
      <c r="AC37" t="e">
        <f t="shared" si="19"/>
        <v>#VALUE!</v>
      </c>
      <c r="AD37" t="e">
        <f t="shared" si="20"/>
        <v>#VALUE!</v>
      </c>
      <c r="AE37" t="e">
        <f t="shared" si="21"/>
        <v>#VALUE!</v>
      </c>
      <c r="AG37" t="e">
        <f t="shared" si="24"/>
        <v>#VALUE!</v>
      </c>
      <c r="AH37">
        <f t="shared" si="23"/>
        <v>3.9089116012192946</v>
      </c>
      <c r="AJ37">
        <f t="shared" si="22"/>
        <v>3.5861574323112787E-2</v>
      </c>
      <c r="AK37" s="21" t="s">
        <v>169</v>
      </c>
    </row>
    <row r="38" spans="1:1024" ht="25.5" x14ac:dyDescent="0.2">
      <c r="A38"/>
      <c r="B38" s="18">
        <v>4</v>
      </c>
      <c r="C38" t="s">
        <v>276</v>
      </c>
      <c r="D38">
        <v>1</v>
      </c>
      <c r="E38" s="19" t="s">
        <v>277</v>
      </c>
      <c r="F38" s="35">
        <v>500</v>
      </c>
      <c r="G38">
        <v>49.801000000000002</v>
      </c>
      <c r="H38">
        <f t="shared" si="15"/>
        <v>3.2127868918294812E-2</v>
      </c>
      <c r="I38" t="s">
        <v>233</v>
      </c>
      <c r="J38" t="e">
        <f t="shared" si="16"/>
        <v>#VALUE!</v>
      </c>
      <c r="K38">
        <v>75.162999999999997</v>
      </c>
      <c r="M38" t="s">
        <v>233</v>
      </c>
      <c r="N38" t="s">
        <v>233</v>
      </c>
      <c r="O38">
        <v>103.67</v>
      </c>
      <c r="Q38" t="e">
        <f t="shared" si="14"/>
        <v>#VALUE!</v>
      </c>
      <c r="S38" t="e">
        <f t="shared" si="17"/>
        <v>#VALUE!</v>
      </c>
      <c r="V38" t="s">
        <v>233</v>
      </c>
      <c r="W38" t="s">
        <v>236</v>
      </c>
      <c r="X38">
        <v>105</v>
      </c>
      <c r="Y38">
        <v>128</v>
      </c>
      <c r="Z38">
        <v>191</v>
      </c>
      <c r="AB38" t="e">
        <f t="shared" si="18"/>
        <v>#VALUE!</v>
      </c>
      <c r="AC38">
        <f t="shared" si="19"/>
        <v>4.5999999999999999E-2</v>
      </c>
      <c r="AD38">
        <f t="shared" si="20"/>
        <v>0.126</v>
      </c>
      <c r="AE38">
        <f t="shared" si="21"/>
        <v>0.17199999999999999</v>
      </c>
      <c r="AG38" t="e">
        <f t="shared" si="24"/>
        <v>#VALUE!</v>
      </c>
      <c r="AH38" t="e">
        <f t="shared" si="23"/>
        <v>#VALUE!</v>
      </c>
      <c r="AJ38">
        <f t="shared" si="22"/>
        <v>3.2127868918294812E-2</v>
      </c>
      <c r="AK38" s="21" t="s">
        <v>169</v>
      </c>
    </row>
    <row r="39" spans="1:1024" ht="25.5" x14ac:dyDescent="0.2">
      <c r="A39"/>
      <c r="B39" s="18">
        <v>5</v>
      </c>
      <c r="C39" t="s">
        <v>278</v>
      </c>
      <c r="D39">
        <v>1</v>
      </c>
      <c r="E39" s="19" t="s">
        <v>279</v>
      </c>
      <c r="F39">
        <v>500</v>
      </c>
      <c r="G39">
        <v>43.46</v>
      </c>
      <c r="H39">
        <f t="shared" si="15"/>
        <v>3.6815462494247587E-2</v>
      </c>
      <c r="I39" t="s">
        <v>233</v>
      </c>
      <c r="J39" t="e">
        <f t="shared" si="16"/>
        <v>#VALUE!</v>
      </c>
      <c r="K39">
        <v>76.531999999999996</v>
      </c>
      <c r="M39" t="s">
        <v>233</v>
      </c>
      <c r="N39" t="s">
        <v>233</v>
      </c>
      <c r="O39">
        <v>110</v>
      </c>
      <c r="P39">
        <v>137.833</v>
      </c>
      <c r="Q39" t="e">
        <f t="shared" si="14"/>
        <v>#VALUE!</v>
      </c>
      <c r="S39" t="e">
        <f t="shared" si="17"/>
        <v>#VALUE!</v>
      </c>
      <c r="V39" t="s">
        <v>233</v>
      </c>
      <c r="W39" t="s">
        <v>236</v>
      </c>
      <c r="X39">
        <v>104</v>
      </c>
      <c r="Y39">
        <v>126</v>
      </c>
      <c r="Z39">
        <v>170</v>
      </c>
      <c r="AB39" t="e">
        <f t="shared" si="18"/>
        <v>#VALUE!</v>
      </c>
      <c r="AC39">
        <f t="shared" si="19"/>
        <v>4.3999999999999997E-2</v>
      </c>
      <c r="AD39">
        <f t="shared" si="20"/>
        <v>8.7999999999999995E-2</v>
      </c>
      <c r="AE39">
        <f t="shared" si="21"/>
        <v>0.13200000000000001</v>
      </c>
      <c r="AG39" t="e">
        <f t="shared" si="24"/>
        <v>#VALUE!</v>
      </c>
      <c r="AH39" t="e">
        <f t="shared" si="23"/>
        <v>#VALUE!</v>
      </c>
      <c r="AJ39">
        <f t="shared" si="22"/>
        <v>3.6815462494247587E-2</v>
      </c>
      <c r="AK39" s="21" t="s">
        <v>169</v>
      </c>
    </row>
    <row r="40" spans="1:1024" x14ac:dyDescent="0.2">
      <c r="A40"/>
      <c r="B40"/>
      <c r="D40">
        <v>2</v>
      </c>
      <c r="E40" s="19" t="s">
        <v>243</v>
      </c>
      <c r="F40" s="35">
        <v>500</v>
      </c>
      <c r="G40">
        <v>43.46</v>
      </c>
      <c r="H40">
        <f t="shared" si="15"/>
        <v>3.6815462494247587E-2</v>
      </c>
      <c r="I40" t="s">
        <v>233</v>
      </c>
      <c r="J40" t="e">
        <f t="shared" si="16"/>
        <v>#VALUE!</v>
      </c>
      <c r="K40">
        <v>72.759</v>
      </c>
      <c r="M40">
        <v>146.833</v>
      </c>
      <c r="N40">
        <v>282.16699999999997</v>
      </c>
      <c r="O40" t="s">
        <v>233</v>
      </c>
      <c r="P40" t="s">
        <v>233</v>
      </c>
      <c r="Q40" t="e">
        <f t="shared" si="14"/>
        <v>#VALUE!</v>
      </c>
      <c r="S40" t="e">
        <f t="shared" si="17"/>
        <v>#VALUE!</v>
      </c>
      <c r="V40">
        <v>1003</v>
      </c>
      <c r="W40">
        <v>1016</v>
      </c>
      <c r="X40" t="s">
        <v>233</v>
      </c>
      <c r="Y40" t="s">
        <v>233</v>
      </c>
      <c r="Z40" t="s">
        <v>233</v>
      </c>
      <c r="AB40">
        <f t="shared" si="18"/>
        <v>2.5999999999999999E-2</v>
      </c>
      <c r="AC40" t="e">
        <f t="shared" si="19"/>
        <v>#VALUE!</v>
      </c>
      <c r="AD40" t="e">
        <f t="shared" si="20"/>
        <v>#VALUE!</v>
      </c>
      <c r="AE40" t="e">
        <f t="shared" si="21"/>
        <v>#VALUE!</v>
      </c>
      <c r="AG40" t="e">
        <f t="shared" si="24"/>
        <v>#VALUE!</v>
      </c>
      <c r="AH40" t="e">
        <f t="shared" si="23"/>
        <v>#VALUE!</v>
      </c>
      <c r="AJ40">
        <f t="shared" si="22"/>
        <v>3.6815462494247587E-2</v>
      </c>
      <c r="AK40" s="21" t="s">
        <v>169</v>
      </c>
    </row>
    <row r="41" spans="1:1024" x14ac:dyDescent="0.2">
      <c r="A41"/>
      <c r="B41" s="18">
        <v>6</v>
      </c>
      <c r="C41" t="s">
        <v>280</v>
      </c>
      <c r="D41">
        <v>1</v>
      </c>
      <c r="E41" s="19" t="s">
        <v>281</v>
      </c>
      <c r="F41">
        <v>500</v>
      </c>
      <c r="G41">
        <v>42.404000000000003</v>
      </c>
      <c r="H41">
        <f t="shared" si="15"/>
        <v>3.773228940665975E-2</v>
      </c>
      <c r="I41" t="s">
        <v>233</v>
      </c>
      <c r="J41" t="e">
        <f t="shared" si="16"/>
        <v>#VALUE!</v>
      </c>
      <c r="K41">
        <v>72.706000000000003</v>
      </c>
      <c r="M41">
        <v>955</v>
      </c>
      <c r="N41">
        <v>289.75</v>
      </c>
      <c r="O41">
        <v>237.833</v>
      </c>
      <c r="P41">
        <v>379.5</v>
      </c>
      <c r="Q41">
        <f t="shared" si="14"/>
        <v>575.5</v>
      </c>
      <c r="S41">
        <f t="shared" si="17"/>
        <v>51.917000000000002</v>
      </c>
      <c r="V41">
        <v>9</v>
      </c>
      <c r="W41">
        <v>33</v>
      </c>
      <c r="X41">
        <v>85</v>
      </c>
      <c r="Y41">
        <v>104</v>
      </c>
      <c r="Z41">
        <v>170</v>
      </c>
      <c r="AB41">
        <f t="shared" si="18"/>
        <v>4.8000000000000001E-2</v>
      </c>
      <c r="AC41">
        <f t="shared" si="19"/>
        <v>3.7999999999999999E-2</v>
      </c>
      <c r="AD41">
        <f t="shared" si="20"/>
        <v>0.13200000000000001</v>
      </c>
      <c r="AE41">
        <f t="shared" si="21"/>
        <v>0.17</v>
      </c>
      <c r="AG41">
        <f t="shared" si="24"/>
        <v>21.714932553532687</v>
      </c>
      <c r="AH41">
        <f t="shared" si="23"/>
        <v>1.9589472691255543</v>
      </c>
      <c r="AJ41">
        <f t="shared" si="22"/>
        <v>3.773228940665975E-2</v>
      </c>
      <c r="AK41" s="21" t="s">
        <v>169</v>
      </c>
    </row>
    <row r="42" spans="1:1024" x14ac:dyDescent="0.2">
      <c r="A42"/>
      <c r="B42"/>
      <c r="D42">
        <v>2</v>
      </c>
      <c r="E42" s="19" t="s">
        <v>243</v>
      </c>
      <c r="F42" s="35">
        <v>500</v>
      </c>
      <c r="G42">
        <v>42.404000000000003</v>
      </c>
      <c r="H42">
        <f t="shared" si="15"/>
        <v>3.773228940665975E-2</v>
      </c>
      <c r="I42" t="s">
        <v>233</v>
      </c>
      <c r="J42" t="e">
        <f t="shared" si="16"/>
        <v>#VALUE!</v>
      </c>
      <c r="K42">
        <v>72.566000000000003</v>
      </c>
      <c r="M42">
        <v>387.83300000000003</v>
      </c>
      <c r="N42">
        <v>288.83300000000003</v>
      </c>
      <c r="O42" t="s">
        <v>233</v>
      </c>
      <c r="P42" t="s">
        <v>233</v>
      </c>
      <c r="Q42" t="e">
        <f t="shared" si="14"/>
        <v>#VALUE!</v>
      </c>
      <c r="S42" t="e">
        <f t="shared" si="17"/>
        <v>#VALUE!</v>
      </c>
      <c r="V42">
        <v>480</v>
      </c>
      <c r="W42">
        <v>494</v>
      </c>
      <c r="X42" t="s">
        <v>233</v>
      </c>
      <c r="Y42" t="s">
        <v>233</v>
      </c>
      <c r="Z42" t="s">
        <v>233</v>
      </c>
      <c r="AB42">
        <f t="shared" si="18"/>
        <v>2.8000000000000001E-2</v>
      </c>
      <c r="AC42" t="e">
        <f t="shared" si="19"/>
        <v>#VALUE!</v>
      </c>
      <c r="AD42" t="e">
        <f t="shared" si="20"/>
        <v>#VALUE!</v>
      </c>
      <c r="AE42" t="e">
        <f t="shared" si="21"/>
        <v>#VALUE!</v>
      </c>
      <c r="AG42" t="e">
        <f t="shared" si="24"/>
        <v>#VALUE!</v>
      </c>
      <c r="AH42" t="e">
        <f t="shared" si="23"/>
        <v>#VALUE!</v>
      </c>
      <c r="AJ42">
        <f t="shared" si="22"/>
        <v>3.773228940665975E-2</v>
      </c>
      <c r="AK42" s="21" t="s">
        <v>169</v>
      </c>
    </row>
    <row r="43" spans="1:1024" ht="38.25" x14ac:dyDescent="0.2">
      <c r="A43"/>
      <c r="B43" s="18">
        <v>7</v>
      </c>
      <c r="C43" t="s">
        <v>282</v>
      </c>
      <c r="D43">
        <v>1</v>
      </c>
      <c r="E43" s="19" t="s">
        <v>283</v>
      </c>
      <c r="F43">
        <v>500</v>
      </c>
      <c r="G43">
        <v>44.911000000000001</v>
      </c>
      <c r="H43">
        <f t="shared" si="15"/>
        <v>3.5626015898109598E-2</v>
      </c>
      <c r="I43" t="s">
        <v>233</v>
      </c>
      <c r="J43" t="e">
        <f t="shared" si="16"/>
        <v>#VALUE!</v>
      </c>
      <c r="K43">
        <v>76.421000000000006</v>
      </c>
      <c r="M43">
        <v>971.16700000000003</v>
      </c>
      <c r="N43">
        <v>298.5</v>
      </c>
      <c r="O43">
        <v>223</v>
      </c>
      <c r="Q43">
        <f t="shared" si="14"/>
        <v>971.16700000000003</v>
      </c>
      <c r="S43">
        <f t="shared" si="17"/>
        <v>75.5</v>
      </c>
      <c r="V43" t="s">
        <v>233</v>
      </c>
      <c r="W43" t="s">
        <v>236</v>
      </c>
      <c r="X43">
        <v>176</v>
      </c>
      <c r="Y43">
        <v>206</v>
      </c>
      <c r="Z43">
        <v>289</v>
      </c>
      <c r="AB43" t="e">
        <f t="shared" si="18"/>
        <v>#VALUE!</v>
      </c>
      <c r="AC43">
        <f t="shared" si="19"/>
        <v>0.06</v>
      </c>
      <c r="AD43">
        <f t="shared" si="20"/>
        <v>0.16600000000000001</v>
      </c>
      <c r="AE43">
        <f t="shared" si="21"/>
        <v>0.22600000000000001</v>
      </c>
      <c r="AG43">
        <f t="shared" si="24"/>
        <v>34.598810981719403</v>
      </c>
      <c r="AH43">
        <f t="shared" si="23"/>
        <v>2.6897642003072746</v>
      </c>
      <c r="AJ43">
        <f t="shared" si="22"/>
        <v>3.5626015898109598E-2</v>
      </c>
      <c r="AK43" s="21" t="s">
        <v>169</v>
      </c>
    </row>
    <row r="44" spans="1:1024" x14ac:dyDescent="0.2">
      <c r="A44"/>
      <c r="B44"/>
      <c r="D44">
        <v>2</v>
      </c>
      <c r="E44" s="19" t="s">
        <v>284</v>
      </c>
      <c r="F44" s="35">
        <v>500</v>
      </c>
      <c r="G44">
        <v>44.911000000000001</v>
      </c>
      <c r="H44">
        <f t="shared" si="15"/>
        <v>3.5626015898109598E-2</v>
      </c>
      <c r="I44" t="s">
        <v>233</v>
      </c>
      <c r="J44" t="e">
        <f t="shared" si="16"/>
        <v>#VALUE!</v>
      </c>
      <c r="K44">
        <v>73.650000000000006</v>
      </c>
      <c r="M44">
        <v>244</v>
      </c>
      <c r="N44">
        <v>290</v>
      </c>
      <c r="O44" t="s">
        <v>233</v>
      </c>
      <c r="P44" t="s">
        <v>233</v>
      </c>
      <c r="Q44" t="e">
        <f t="shared" si="14"/>
        <v>#VALUE!</v>
      </c>
      <c r="S44" t="e">
        <f t="shared" si="17"/>
        <v>#VALUE!</v>
      </c>
      <c r="V44">
        <v>1121</v>
      </c>
      <c r="W44">
        <v>1133</v>
      </c>
      <c r="X44" t="s">
        <v>233</v>
      </c>
      <c r="Y44" t="s">
        <v>233</v>
      </c>
      <c r="Z44" t="s">
        <v>233</v>
      </c>
      <c r="AB44">
        <f t="shared" si="18"/>
        <v>2.4E-2</v>
      </c>
      <c r="AC44" t="e">
        <f t="shared" si="19"/>
        <v>#VALUE!</v>
      </c>
      <c r="AD44" t="e">
        <f t="shared" si="20"/>
        <v>#VALUE!</v>
      </c>
      <c r="AE44" t="e">
        <f t="shared" si="21"/>
        <v>#VALUE!</v>
      </c>
      <c r="AG44" t="e">
        <f t="shared" si="24"/>
        <v>#VALUE!</v>
      </c>
      <c r="AH44" t="e">
        <f t="shared" si="23"/>
        <v>#VALUE!</v>
      </c>
      <c r="AJ44">
        <f t="shared" si="22"/>
        <v>3.5626015898109598E-2</v>
      </c>
      <c r="AK44" s="21" t="s">
        <v>169</v>
      </c>
    </row>
    <row r="45" spans="1:1024" s="42" customFormat="1" x14ac:dyDescent="0.2">
      <c r="E45" s="43"/>
      <c r="F45" s="39"/>
      <c r="H45" s="39"/>
      <c r="J45" s="39"/>
      <c r="Q45" s="39"/>
      <c r="S45" s="39"/>
      <c r="AB45" s="39"/>
      <c r="AC45" s="39"/>
      <c r="AD45" s="39"/>
      <c r="AE45" s="44"/>
      <c r="AG45" s="39"/>
      <c r="AH45" s="39"/>
      <c r="AJ45" s="39"/>
      <c r="AK45" s="40"/>
      <c r="AM45" s="39"/>
      <c r="AMI45"/>
      <c r="AMJ45"/>
    </row>
    <row r="46" spans="1:1024" x14ac:dyDescent="0.2">
      <c r="A46" s="17" t="s">
        <v>101</v>
      </c>
      <c r="B46" s="18">
        <v>1</v>
      </c>
      <c r="C46" t="s">
        <v>285</v>
      </c>
      <c r="D46">
        <v>1</v>
      </c>
      <c r="E46" s="19" t="s">
        <v>286</v>
      </c>
      <c r="F46" s="35">
        <v>500</v>
      </c>
      <c r="G46">
        <v>45.09</v>
      </c>
      <c r="H46">
        <f t="shared" ref="H46:H72" si="25">1.6/G46</f>
        <v>3.5484586382789972E-2</v>
      </c>
      <c r="I46" t="s">
        <v>233</v>
      </c>
      <c r="J46" t="e">
        <f t="shared" ref="J46:J72" si="26">(5.08)/I46</f>
        <v>#VALUE!</v>
      </c>
      <c r="K46">
        <v>79.501000000000005</v>
      </c>
      <c r="L46">
        <f t="shared" ref="L46:L72" si="27">2.23/K46</f>
        <v>2.8049961635702694E-2</v>
      </c>
      <c r="M46">
        <v>158.5</v>
      </c>
      <c r="N46">
        <v>281.16699999999997</v>
      </c>
      <c r="O46">
        <v>166.833</v>
      </c>
      <c r="P46" t="s">
        <v>233</v>
      </c>
      <c r="Q46" t="e">
        <f t="shared" ref="Q46:Q72" si="28">M46-P46</f>
        <v>#VALUE!</v>
      </c>
      <c r="S46">
        <f t="shared" ref="S46:S72" si="29">N46-O46</f>
        <v>114.33399999999997</v>
      </c>
      <c r="V46">
        <v>197</v>
      </c>
      <c r="W46">
        <v>213</v>
      </c>
      <c r="X46">
        <v>293</v>
      </c>
      <c r="Y46">
        <v>302</v>
      </c>
      <c r="Z46">
        <v>343</v>
      </c>
      <c r="AB46">
        <f t="shared" ref="AB46:AB72" si="30">(W46-V46)/F46</f>
        <v>3.2000000000000001E-2</v>
      </c>
      <c r="AC46">
        <f t="shared" ref="AC46:AC72" si="31">(Y46-X46)/F46</f>
        <v>1.7999999999999999E-2</v>
      </c>
      <c r="AD46">
        <f t="shared" ref="AD46:AD72" si="32">(Z46-Y46)/F46</f>
        <v>8.2000000000000003E-2</v>
      </c>
      <c r="AE46">
        <f t="shared" ref="AE46:AE72" si="33">AD46+AC46</f>
        <v>0.1</v>
      </c>
      <c r="AG46" t="e">
        <f t="shared" ref="AG46:AG72" si="34">AJ46*Q46</f>
        <v>#VALUE!</v>
      </c>
      <c r="AH46">
        <f t="shared" ref="AH46:AH72" si="35">AJ46*S46</f>
        <v>4.057094699489908</v>
      </c>
      <c r="AJ46">
        <f t="shared" ref="AJ46:AJ72" si="36">IF(ISERROR(H46), IF(ISERROR(J46), L46, J46), H46)</f>
        <v>3.5484586382789972E-2</v>
      </c>
      <c r="AK46" s="21" t="s">
        <v>169</v>
      </c>
    </row>
    <row r="47" spans="1:1024" ht="38.25" x14ac:dyDescent="0.2">
      <c r="A47"/>
      <c r="B47"/>
      <c r="D47">
        <v>2</v>
      </c>
      <c r="E47" s="19" t="s">
        <v>287</v>
      </c>
      <c r="F47">
        <v>500</v>
      </c>
      <c r="G47">
        <v>40.188000000000002</v>
      </c>
      <c r="H47">
        <f t="shared" si="25"/>
        <v>3.9812879466507418E-2</v>
      </c>
      <c r="I47" t="s">
        <v>233</v>
      </c>
      <c r="J47" t="e">
        <f t="shared" si="26"/>
        <v>#VALUE!</v>
      </c>
      <c r="K47" t="s">
        <v>236</v>
      </c>
      <c r="L47" t="e">
        <f t="shared" si="27"/>
        <v>#VALUE!</v>
      </c>
      <c r="M47" t="s">
        <v>233</v>
      </c>
      <c r="N47" t="s">
        <v>233</v>
      </c>
      <c r="O47" t="s">
        <v>233</v>
      </c>
      <c r="P47" t="s">
        <v>233</v>
      </c>
      <c r="Q47" t="e">
        <f t="shared" si="28"/>
        <v>#VALUE!</v>
      </c>
      <c r="S47" t="e">
        <f t="shared" si="29"/>
        <v>#VALUE!</v>
      </c>
      <c r="V47">
        <v>610</v>
      </c>
      <c r="W47">
        <v>623</v>
      </c>
      <c r="X47" t="s">
        <v>233</v>
      </c>
      <c r="Y47" t="s">
        <v>233</v>
      </c>
      <c r="Z47" t="s">
        <v>233</v>
      </c>
      <c r="AB47">
        <f t="shared" si="30"/>
        <v>2.5999999999999999E-2</v>
      </c>
      <c r="AC47" t="e">
        <f t="shared" si="31"/>
        <v>#VALUE!</v>
      </c>
      <c r="AD47" t="e">
        <f t="shared" si="32"/>
        <v>#VALUE!</v>
      </c>
      <c r="AE47" t="e">
        <f t="shared" si="33"/>
        <v>#VALUE!</v>
      </c>
      <c r="AG47" t="e">
        <f t="shared" si="34"/>
        <v>#VALUE!</v>
      </c>
      <c r="AH47" t="e">
        <f t="shared" si="35"/>
        <v>#VALUE!</v>
      </c>
      <c r="AJ47">
        <f t="shared" si="36"/>
        <v>3.9812879466507418E-2</v>
      </c>
      <c r="AK47" s="21" t="s">
        <v>169</v>
      </c>
    </row>
    <row r="48" spans="1:1024" s="25" customFormat="1" ht="25.5" x14ac:dyDescent="0.2">
      <c r="A48" s="41"/>
      <c r="B48" s="26" t="s">
        <v>288</v>
      </c>
      <c r="C48" s="25" t="s">
        <v>289</v>
      </c>
      <c r="E48" s="27" t="s">
        <v>290</v>
      </c>
      <c r="F48" s="25">
        <v>500</v>
      </c>
      <c r="G48" s="25" t="s">
        <v>236</v>
      </c>
      <c r="H48" s="25" t="e">
        <f t="shared" si="25"/>
        <v>#VALUE!</v>
      </c>
      <c r="I48" s="25" t="s">
        <v>233</v>
      </c>
      <c r="J48" s="25" t="e">
        <f t="shared" si="26"/>
        <v>#VALUE!</v>
      </c>
      <c r="K48" s="25">
        <v>83.144999999999996</v>
      </c>
      <c r="L48" s="25">
        <f t="shared" si="27"/>
        <v>2.6820614588971076E-2</v>
      </c>
      <c r="M48" s="25" t="s">
        <v>233</v>
      </c>
      <c r="N48" s="25" t="s">
        <v>233</v>
      </c>
      <c r="O48" s="25">
        <v>104</v>
      </c>
      <c r="Q48" s="25" t="e">
        <f t="shared" si="28"/>
        <v>#VALUE!</v>
      </c>
      <c r="S48" s="25" t="e">
        <f t="shared" si="29"/>
        <v>#VALUE!</v>
      </c>
      <c r="T48" s="25" t="s">
        <v>291</v>
      </c>
      <c r="V48" s="25" t="s">
        <v>233</v>
      </c>
      <c r="W48" s="25" t="s">
        <v>236</v>
      </c>
      <c r="X48" s="25">
        <v>106</v>
      </c>
      <c r="Y48" s="25" t="s">
        <v>233</v>
      </c>
      <c r="Z48" s="25" t="s">
        <v>233</v>
      </c>
      <c r="AB48" s="25" t="e">
        <f t="shared" si="30"/>
        <v>#VALUE!</v>
      </c>
      <c r="AC48" s="25" t="e">
        <f t="shared" si="31"/>
        <v>#VALUE!</v>
      </c>
      <c r="AD48" s="25" t="e">
        <f t="shared" si="32"/>
        <v>#VALUE!</v>
      </c>
      <c r="AE48" s="25" t="e">
        <f t="shared" si="33"/>
        <v>#VALUE!</v>
      </c>
      <c r="AG48" s="25" t="e">
        <f t="shared" si="34"/>
        <v>#VALUE!</v>
      </c>
      <c r="AH48" s="25" t="e">
        <f t="shared" si="35"/>
        <v>#VALUE!</v>
      </c>
      <c r="AJ48" s="25">
        <f t="shared" si="36"/>
        <v>2.6820614588971076E-2</v>
      </c>
      <c r="AK48" s="28" t="s">
        <v>173</v>
      </c>
      <c r="AM48"/>
      <c r="AMI48"/>
      <c r="AMJ48"/>
    </row>
    <row r="49" spans="2:37" x14ac:dyDescent="0.2">
      <c r="B49" s="18" t="s">
        <v>292</v>
      </c>
      <c r="C49" t="s">
        <v>293</v>
      </c>
      <c r="D49">
        <v>1</v>
      </c>
      <c r="E49" s="19" t="s">
        <v>294</v>
      </c>
      <c r="F49">
        <v>500</v>
      </c>
      <c r="G49">
        <v>43.783999999999999</v>
      </c>
      <c r="H49">
        <f t="shared" si="25"/>
        <v>3.6543029417138682E-2</v>
      </c>
      <c r="I49" t="s">
        <v>233</v>
      </c>
      <c r="J49" t="e">
        <f t="shared" si="26"/>
        <v>#VALUE!</v>
      </c>
      <c r="K49">
        <v>76.724999999999994</v>
      </c>
      <c r="L49">
        <f t="shared" si="27"/>
        <v>2.9064841968067776E-2</v>
      </c>
      <c r="M49">
        <v>778.83299999999997</v>
      </c>
      <c r="N49">
        <v>283.16699999999997</v>
      </c>
      <c r="O49">
        <v>267.5</v>
      </c>
      <c r="P49">
        <v>524.5</v>
      </c>
      <c r="Q49">
        <f t="shared" si="28"/>
        <v>254.33299999999997</v>
      </c>
      <c r="S49">
        <f t="shared" si="29"/>
        <v>15.666999999999973</v>
      </c>
      <c r="V49">
        <v>172</v>
      </c>
      <c r="W49">
        <v>188</v>
      </c>
      <c r="X49">
        <v>215</v>
      </c>
      <c r="Y49">
        <v>222</v>
      </c>
      <c r="Z49">
        <v>272</v>
      </c>
      <c r="AB49">
        <f t="shared" si="30"/>
        <v>3.2000000000000001E-2</v>
      </c>
      <c r="AC49">
        <f t="shared" si="31"/>
        <v>1.4E-2</v>
      </c>
      <c r="AD49">
        <f t="shared" si="32"/>
        <v>0.1</v>
      </c>
      <c r="AE49">
        <f t="shared" si="33"/>
        <v>0.114</v>
      </c>
      <c r="AG49">
        <f t="shared" si="34"/>
        <v>9.2940983007491322</v>
      </c>
      <c r="AH49">
        <f t="shared" si="35"/>
        <v>0.57251964187831073</v>
      </c>
      <c r="AJ49">
        <f t="shared" si="36"/>
        <v>3.6543029417138682E-2</v>
      </c>
      <c r="AK49" s="21" t="s">
        <v>169</v>
      </c>
    </row>
    <row r="50" spans="2:37" x14ac:dyDescent="0.2">
      <c r="B50"/>
      <c r="D50">
        <v>2</v>
      </c>
      <c r="E50" s="19" t="s">
        <v>284</v>
      </c>
      <c r="F50" s="35">
        <v>500</v>
      </c>
      <c r="G50">
        <v>42.808</v>
      </c>
      <c r="H50">
        <f t="shared" si="25"/>
        <v>3.7376191366099799E-2</v>
      </c>
      <c r="I50" t="s">
        <v>233</v>
      </c>
      <c r="J50" t="e">
        <f t="shared" si="26"/>
        <v>#VALUE!</v>
      </c>
      <c r="K50" t="s">
        <v>236</v>
      </c>
      <c r="L50" t="e">
        <f t="shared" si="27"/>
        <v>#VALUE!</v>
      </c>
      <c r="M50">
        <v>508.5</v>
      </c>
      <c r="N50">
        <v>292.5</v>
      </c>
      <c r="O50">
        <v>252</v>
      </c>
      <c r="P50" t="s">
        <v>233</v>
      </c>
      <c r="Q50" t="e">
        <f t="shared" si="28"/>
        <v>#VALUE!</v>
      </c>
      <c r="S50">
        <f t="shared" si="29"/>
        <v>40.5</v>
      </c>
      <c r="V50">
        <v>1171</v>
      </c>
      <c r="W50">
        <v>1189</v>
      </c>
      <c r="X50" t="s">
        <v>233</v>
      </c>
      <c r="Y50" t="s">
        <v>233</v>
      </c>
      <c r="Z50" t="s">
        <v>233</v>
      </c>
      <c r="AB50">
        <f t="shared" si="30"/>
        <v>3.5999999999999997E-2</v>
      </c>
      <c r="AC50" t="e">
        <f t="shared" si="31"/>
        <v>#VALUE!</v>
      </c>
      <c r="AD50" t="e">
        <f t="shared" si="32"/>
        <v>#VALUE!</v>
      </c>
      <c r="AE50" t="e">
        <f t="shared" si="33"/>
        <v>#VALUE!</v>
      </c>
      <c r="AG50" t="e">
        <f t="shared" si="34"/>
        <v>#VALUE!</v>
      </c>
      <c r="AH50">
        <f t="shared" si="35"/>
        <v>1.5137357503270419</v>
      </c>
      <c r="AJ50">
        <f t="shared" si="36"/>
        <v>3.7376191366099799E-2</v>
      </c>
      <c r="AK50" s="21" t="s">
        <v>169</v>
      </c>
    </row>
    <row r="51" spans="2:37" x14ac:dyDescent="0.2">
      <c r="B51" s="18">
        <v>3</v>
      </c>
      <c r="C51" t="s">
        <v>295</v>
      </c>
      <c r="D51">
        <v>1</v>
      </c>
      <c r="E51"/>
      <c r="F51">
        <v>500</v>
      </c>
      <c r="G51" t="s">
        <v>236</v>
      </c>
      <c r="H51" t="e">
        <f t="shared" si="25"/>
        <v>#VALUE!</v>
      </c>
      <c r="I51" t="s">
        <v>233</v>
      </c>
      <c r="J51" t="e">
        <f t="shared" si="26"/>
        <v>#VALUE!</v>
      </c>
      <c r="K51">
        <v>86.144999999999996</v>
      </c>
      <c r="L51">
        <f t="shared" si="27"/>
        <v>2.5886586569156655E-2</v>
      </c>
      <c r="M51">
        <v>848.5</v>
      </c>
      <c r="N51">
        <v>294.16699999999997</v>
      </c>
      <c r="O51">
        <v>241.5</v>
      </c>
      <c r="P51">
        <v>390.5</v>
      </c>
      <c r="Q51">
        <f t="shared" si="28"/>
        <v>458</v>
      </c>
      <c r="S51">
        <f t="shared" si="29"/>
        <v>52.666999999999973</v>
      </c>
      <c r="V51">
        <v>28</v>
      </c>
      <c r="W51">
        <v>50</v>
      </c>
      <c r="X51">
        <v>99</v>
      </c>
      <c r="Y51">
        <v>139</v>
      </c>
      <c r="Z51">
        <v>195</v>
      </c>
      <c r="AB51">
        <f t="shared" si="30"/>
        <v>4.3999999999999997E-2</v>
      </c>
      <c r="AC51">
        <f t="shared" si="31"/>
        <v>0.08</v>
      </c>
      <c r="AD51">
        <f t="shared" si="32"/>
        <v>0.112</v>
      </c>
      <c r="AE51">
        <f t="shared" si="33"/>
        <v>0.192</v>
      </c>
      <c r="AG51">
        <f t="shared" si="34"/>
        <v>11.856056648673748</v>
      </c>
      <c r="AH51">
        <f t="shared" si="35"/>
        <v>1.3633688548377729</v>
      </c>
      <c r="AJ51">
        <f t="shared" si="36"/>
        <v>2.5886586569156655E-2</v>
      </c>
      <c r="AK51" s="21" t="s">
        <v>169</v>
      </c>
    </row>
    <row r="52" spans="2:37" x14ac:dyDescent="0.2">
      <c r="B52"/>
      <c r="D52">
        <v>2</v>
      </c>
      <c r="E52" s="19" t="s">
        <v>284</v>
      </c>
      <c r="F52" s="35">
        <v>500</v>
      </c>
      <c r="G52" t="s">
        <v>236</v>
      </c>
      <c r="H52" t="e">
        <f t="shared" si="25"/>
        <v>#VALUE!</v>
      </c>
      <c r="I52" t="s">
        <v>233</v>
      </c>
      <c r="J52" t="e">
        <f t="shared" si="26"/>
        <v>#VALUE!</v>
      </c>
      <c r="K52">
        <v>74.974999999999994</v>
      </c>
      <c r="L52">
        <f t="shared" si="27"/>
        <v>2.9743247749249753E-2</v>
      </c>
      <c r="M52">
        <v>300</v>
      </c>
      <c r="N52">
        <v>284</v>
      </c>
      <c r="O52">
        <v>197.75</v>
      </c>
      <c r="P52" t="s">
        <v>233</v>
      </c>
      <c r="Q52" t="e">
        <f t="shared" si="28"/>
        <v>#VALUE!</v>
      </c>
      <c r="S52">
        <f t="shared" si="29"/>
        <v>86.25</v>
      </c>
      <c r="V52">
        <v>204</v>
      </c>
      <c r="W52">
        <v>224</v>
      </c>
      <c r="X52" t="s">
        <v>233</v>
      </c>
      <c r="Y52" t="s">
        <v>233</v>
      </c>
      <c r="Z52" t="s">
        <v>233</v>
      </c>
      <c r="AB52">
        <f t="shared" si="30"/>
        <v>0.04</v>
      </c>
      <c r="AC52" t="e">
        <f t="shared" si="31"/>
        <v>#VALUE!</v>
      </c>
      <c r="AD52" t="e">
        <f t="shared" si="32"/>
        <v>#VALUE!</v>
      </c>
      <c r="AE52" t="e">
        <f t="shared" si="33"/>
        <v>#VALUE!</v>
      </c>
      <c r="AG52" t="e">
        <f t="shared" si="34"/>
        <v>#VALUE!</v>
      </c>
      <c r="AH52">
        <f t="shared" si="35"/>
        <v>2.5653551183727914</v>
      </c>
      <c r="AJ52">
        <f t="shared" si="36"/>
        <v>2.9743247749249753E-2</v>
      </c>
      <c r="AK52" s="21" t="s">
        <v>169</v>
      </c>
    </row>
    <row r="53" spans="2:37" ht="25.5" x14ac:dyDescent="0.2">
      <c r="B53" s="18">
        <v>4</v>
      </c>
      <c r="C53" t="s">
        <v>296</v>
      </c>
      <c r="D53">
        <v>1</v>
      </c>
      <c r="E53" s="19" t="s">
        <v>273</v>
      </c>
      <c r="F53">
        <v>500</v>
      </c>
      <c r="G53" t="s">
        <v>236</v>
      </c>
      <c r="H53" t="e">
        <f t="shared" si="25"/>
        <v>#VALUE!</v>
      </c>
      <c r="I53" t="s">
        <v>233</v>
      </c>
      <c r="J53" t="e">
        <f t="shared" si="26"/>
        <v>#VALUE!</v>
      </c>
      <c r="K53">
        <v>81.174999999999997</v>
      </c>
      <c r="L53">
        <f t="shared" si="27"/>
        <v>2.7471512165075453E-2</v>
      </c>
      <c r="M53" t="s">
        <v>233</v>
      </c>
      <c r="N53" t="s">
        <v>233</v>
      </c>
      <c r="O53" t="s">
        <v>233</v>
      </c>
      <c r="P53" t="s">
        <v>233</v>
      </c>
      <c r="Q53" t="e">
        <f t="shared" si="28"/>
        <v>#VALUE!</v>
      </c>
      <c r="S53" t="e">
        <f t="shared" si="29"/>
        <v>#VALUE!</v>
      </c>
      <c r="V53" t="s">
        <v>233</v>
      </c>
      <c r="W53" t="s">
        <v>236</v>
      </c>
      <c r="X53">
        <v>31</v>
      </c>
      <c r="Y53">
        <v>55</v>
      </c>
      <c r="Z53">
        <v>135</v>
      </c>
      <c r="AB53" t="e">
        <f t="shared" si="30"/>
        <v>#VALUE!</v>
      </c>
      <c r="AC53">
        <f t="shared" si="31"/>
        <v>4.8000000000000001E-2</v>
      </c>
      <c r="AD53">
        <f t="shared" si="32"/>
        <v>0.16</v>
      </c>
      <c r="AE53">
        <f t="shared" si="33"/>
        <v>0.20800000000000002</v>
      </c>
      <c r="AG53" t="e">
        <f t="shared" si="34"/>
        <v>#VALUE!</v>
      </c>
      <c r="AH53" t="e">
        <f t="shared" si="35"/>
        <v>#VALUE!</v>
      </c>
      <c r="AJ53">
        <f t="shared" si="36"/>
        <v>2.7471512165075453E-2</v>
      </c>
      <c r="AK53" s="21" t="s">
        <v>169</v>
      </c>
    </row>
    <row r="54" spans="2:37" x14ac:dyDescent="0.2">
      <c r="B54"/>
      <c r="D54">
        <v>2</v>
      </c>
      <c r="E54"/>
      <c r="F54" s="35">
        <v>500</v>
      </c>
      <c r="G54" t="s">
        <v>236</v>
      </c>
      <c r="H54" t="e">
        <f t="shared" si="25"/>
        <v>#VALUE!</v>
      </c>
      <c r="I54" t="s">
        <v>233</v>
      </c>
      <c r="J54" t="e">
        <f t="shared" si="26"/>
        <v>#VALUE!</v>
      </c>
      <c r="K54">
        <v>86.683000000000007</v>
      </c>
      <c r="L54">
        <f t="shared" si="27"/>
        <v>2.5725920884141062E-2</v>
      </c>
      <c r="M54">
        <v>758.16700000000003</v>
      </c>
      <c r="N54">
        <v>285.16699999999997</v>
      </c>
      <c r="O54">
        <v>254.167</v>
      </c>
      <c r="P54">
        <v>408.16699999999997</v>
      </c>
      <c r="Q54">
        <f t="shared" si="28"/>
        <v>350.00000000000006</v>
      </c>
      <c r="S54">
        <f t="shared" si="29"/>
        <v>30.999999999999972</v>
      </c>
      <c r="V54">
        <v>874</v>
      </c>
      <c r="W54">
        <v>895</v>
      </c>
      <c r="X54">
        <v>931</v>
      </c>
      <c r="Y54">
        <v>942</v>
      </c>
      <c r="Z54">
        <v>1020</v>
      </c>
      <c r="AB54">
        <f t="shared" si="30"/>
        <v>4.2000000000000003E-2</v>
      </c>
      <c r="AC54">
        <f t="shared" si="31"/>
        <v>2.1999999999999999E-2</v>
      </c>
      <c r="AD54">
        <f t="shared" si="32"/>
        <v>0.156</v>
      </c>
      <c r="AE54">
        <f t="shared" si="33"/>
        <v>0.17799999999999999</v>
      </c>
      <c r="AG54">
        <f t="shared" si="34"/>
        <v>9.0040723094493735</v>
      </c>
      <c r="AH54">
        <f t="shared" si="35"/>
        <v>0.79750354740837215</v>
      </c>
      <c r="AJ54">
        <f t="shared" si="36"/>
        <v>2.5725920884141062E-2</v>
      </c>
      <c r="AK54" s="21" t="s">
        <v>169</v>
      </c>
    </row>
    <row r="55" spans="2:37" x14ac:dyDescent="0.2">
      <c r="B55"/>
      <c r="D55">
        <v>3</v>
      </c>
      <c r="E55" s="19" t="s">
        <v>284</v>
      </c>
      <c r="F55">
        <v>500</v>
      </c>
      <c r="G55" t="s">
        <v>236</v>
      </c>
      <c r="H55" t="e">
        <f t="shared" si="25"/>
        <v>#VALUE!</v>
      </c>
      <c r="I55" t="s">
        <v>233</v>
      </c>
      <c r="J55" t="e">
        <f t="shared" si="26"/>
        <v>#VALUE!</v>
      </c>
      <c r="K55">
        <v>76.855999999999995</v>
      </c>
      <c r="L55">
        <f t="shared" si="27"/>
        <v>2.9015301342770899E-2</v>
      </c>
      <c r="M55">
        <v>355.16699999999997</v>
      </c>
      <c r="N55">
        <v>289.5</v>
      </c>
      <c r="O55">
        <v>169.5</v>
      </c>
      <c r="P55" t="s">
        <v>233</v>
      </c>
      <c r="Q55" t="e">
        <f t="shared" si="28"/>
        <v>#VALUE!</v>
      </c>
      <c r="S55">
        <f t="shared" si="29"/>
        <v>120</v>
      </c>
      <c r="V55">
        <v>1030</v>
      </c>
      <c r="W55">
        <v>1046</v>
      </c>
      <c r="X55" t="s">
        <v>233</v>
      </c>
      <c r="Y55" t="s">
        <v>233</v>
      </c>
      <c r="Z55" t="s">
        <v>233</v>
      </c>
      <c r="AB55">
        <f t="shared" si="30"/>
        <v>3.2000000000000001E-2</v>
      </c>
      <c r="AC55" t="e">
        <f t="shared" si="31"/>
        <v>#VALUE!</v>
      </c>
      <c r="AD55" t="e">
        <f t="shared" si="32"/>
        <v>#VALUE!</v>
      </c>
      <c r="AE55" t="e">
        <f t="shared" si="33"/>
        <v>#VALUE!</v>
      </c>
      <c r="AG55" t="e">
        <f t="shared" si="34"/>
        <v>#VALUE!</v>
      </c>
      <c r="AH55">
        <f t="shared" si="35"/>
        <v>3.4818361611325077</v>
      </c>
      <c r="AJ55">
        <f t="shared" si="36"/>
        <v>2.9015301342770899E-2</v>
      </c>
      <c r="AK55" s="21" t="s">
        <v>169</v>
      </c>
    </row>
    <row r="56" spans="2:37" x14ac:dyDescent="0.2">
      <c r="B56" s="18">
        <v>5</v>
      </c>
      <c r="C56" t="s">
        <v>297</v>
      </c>
      <c r="D56">
        <v>1</v>
      </c>
      <c r="E56" s="19" t="s">
        <v>275</v>
      </c>
      <c r="F56" s="35">
        <v>500</v>
      </c>
      <c r="G56" t="s">
        <v>236</v>
      </c>
      <c r="H56" t="e">
        <f t="shared" si="25"/>
        <v>#VALUE!</v>
      </c>
      <c r="I56" t="s">
        <v>233</v>
      </c>
      <c r="J56" t="e">
        <f t="shared" si="26"/>
        <v>#VALUE!</v>
      </c>
      <c r="K56">
        <v>83.596000000000004</v>
      </c>
      <c r="L56">
        <f t="shared" si="27"/>
        <v>2.6675917508014735E-2</v>
      </c>
      <c r="M56" t="s">
        <v>233</v>
      </c>
      <c r="N56" t="s">
        <v>233</v>
      </c>
      <c r="O56">
        <v>248.75</v>
      </c>
      <c r="P56" t="s">
        <v>233</v>
      </c>
      <c r="Q56" t="e">
        <f t="shared" si="28"/>
        <v>#VALUE!</v>
      </c>
      <c r="S56" t="e">
        <f t="shared" si="29"/>
        <v>#VALUE!</v>
      </c>
      <c r="V56" t="s">
        <v>233</v>
      </c>
      <c r="W56" t="s">
        <v>236</v>
      </c>
      <c r="X56">
        <v>48</v>
      </c>
      <c r="Y56">
        <v>50</v>
      </c>
      <c r="Z56">
        <v>93</v>
      </c>
      <c r="AB56" t="e">
        <f t="shared" si="30"/>
        <v>#VALUE!</v>
      </c>
      <c r="AC56">
        <f t="shared" si="31"/>
        <v>4.0000000000000001E-3</v>
      </c>
      <c r="AD56">
        <f t="shared" si="32"/>
        <v>8.5999999999999993E-2</v>
      </c>
      <c r="AE56">
        <f t="shared" si="33"/>
        <v>0.09</v>
      </c>
      <c r="AG56" t="e">
        <f t="shared" si="34"/>
        <v>#VALUE!</v>
      </c>
      <c r="AH56" t="e">
        <f t="shared" si="35"/>
        <v>#VALUE!</v>
      </c>
      <c r="AJ56">
        <f t="shared" si="36"/>
        <v>2.6675917508014735E-2</v>
      </c>
      <c r="AK56" s="21" t="s">
        <v>169</v>
      </c>
    </row>
    <row r="57" spans="2:37" x14ac:dyDescent="0.2">
      <c r="B57"/>
      <c r="D57">
        <v>2</v>
      </c>
      <c r="E57" s="19" t="s">
        <v>298</v>
      </c>
      <c r="F57">
        <v>500</v>
      </c>
      <c r="G57">
        <v>45.302</v>
      </c>
      <c r="H57">
        <f t="shared" si="25"/>
        <v>3.5318528983267851E-2</v>
      </c>
      <c r="I57" t="s">
        <v>233</v>
      </c>
      <c r="J57" t="e">
        <f t="shared" si="26"/>
        <v>#VALUE!</v>
      </c>
      <c r="K57">
        <v>83.563000000000002</v>
      </c>
      <c r="L57">
        <f t="shared" si="27"/>
        <v>2.6686452137907924E-2</v>
      </c>
      <c r="M57">
        <v>779.75</v>
      </c>
      <c r="N57">
        <v>286</v>
      </c>
      <c r="O57">
        <v>113</v>
      </c>
      <c r="P57">
        <v>143.833</v>
      </c>
      <c r="Q57">
        <f t="shared" si="28"/>
        <v>635.91700000000003</v>
      </c>
      <c r="S57">
        <f t="shared" si="29"/>
        <v>173</v>
      </c>
      <c r="V57">
        <v>832</v>
      </c>
      <c r="W57">
        <v>844</v>
      </c>
      <c r="X57">
        <v>1017</v>
      </c>
      <c r="Y57">
        <v>1019</v>
      </c>
      <c r="Z57">
        <v>1095</v>
      </c>
      <c r="AB57">
        <f t="shared" si="30"/>
        <v>2.4E-2</v>
      </c>
      <c r="AC57">
        <f t="shared" si="31"/>
        <v>4.0000000000000001E-3</v>
      </c>
      <c r="AD57">
        <f t="shared" si="32"/>
        <v>0.152</v>
      </c>
      <c r="AE57">
        <f t="shared" si="33"/>
        <v>0.156</v>
      </c>
      <c r="AG57">
        <f t="shared" si="34"/>
        <v>22.459652995452743</v>
      </c>
      <c r="AH57">
        <f t="shared" si="35"/>
        <v>6.1101055141053386</v>
      </c>
      <c r="AJ57">
        <f t="shared" si="36"/>
        <v>3.5318528983267851E-2</v>
      </c>
      <c r="AK57" s="21" t="s">
        <v>169</v>
      </c>
    </row>
    <row r="58" spans="2:37" x14ac:dyDescent="0.2">
      <c r="B58"/>
      <c r="D58">
        <v>3</v>
      </c>
      <c r="E58" s="19" t="s">
        <v>243</v>
      </c>
      <c r="F58" s="35">
        <v>500</v>
      </c>
      <c r="G58">
        <v>47.133000000000003</v>
      </c>
      <c r="H58">
        <f t="shared" si="25"/>
        <v>3.3946491842233681E-2</v>
      </c>
      <c r="I58" t="s">
        <v>233</v>
      </c>
      <c r="J58" t="e">
        <f t="shared" si="26"/>
        <v>#VALUE!</v>
      </c>
      <c r="K58" t="s">
        <v>236</v>
      </c>
      <c r="L58" t="e">
        <f t="shared" si="27"/>
        <v>#VALUE!</v>
      </c>
      <c r="M58">
        <v>28.167000000000002</v>
      </c>
      <c r="N58">
        <v>303.5</v>
      </c>
      <c r="O58" t="s">
        <v>233</v>
      </c>
      <c r="P58" t="s">
        <v>233</v>
      </c>
      <c r="Q58" t="e">
        <f t="shared" si="28"/>
        <v>#VALUE!</v>
      </c>
      <c r="S58" t="e">
        <f t="shared" si="29"/>
        <v>#VALUE!</v>
      </c>
      <c r="V58">
        <v>1137</v>
      </c>
      <c r="W58">
        <v>1154</v>
      </c>
      <c r="X58" t="s">
        <v>233</v>
      </c>
      <c r="Y58" t="s">
        <v>233</v>
      </c>
      <c r="Z58" t="s">
        <v>233</v>
      </c>
      <c r="AB58">
        <f t="shared" si="30"/>
        <v>3.4000000000000002E-2</v>
      </c>
      <c r="AC58" t="e">
        <f t="shared" si="31"/>
        <v>#VALUE!</v>
      </c>
      <c r="AD58" t="e">
        <f t="shared" si="32"/>
        <v>#VALUE!</v>
      </c>
      <c r="AE58" t="e">
        <f t="shared" si="33"/>
        <v>#VALUE!</v>
      </c>
      <c r="AG58" t="e">
        <f t="shared" si="34"/>
        <v>#VALUE!</v>
      </c>
      <c r="AH58" t="e">
        <f t="shared" si="35"/>
        <v>#VALUE!</v>
      </c>
      <c r="AJ58">
        <f t="shared" si="36"/>
        <v>3.3946491842233681E-2</v>
      </c>
      <c r="AK58" s="21" t="s">
        <v>169</v>
      </c>
    </row>
    <row r="59" spans="2:37" x14ac:dyDescent="0.2">
      <c r="B59" s="18">
        <v>6</v>
      </c>
      <c r="C59" t="s">
        <v>299</v>
      </c>
      <c r="D59">
        <v>1</v>
      </c>
      <c r="E59" s="19" t="s">
        <v>275</v>
      </c>
      <c r="F59">
        <v>500</v>
      </c>
      <c r="G59" t="s">
        <v>236</v>
      </c>
      <c r="H59" t="e">
        <f t="shared" si="25"/>
        <v>#VALUE!</v>
      </c>
      <c r="I59" t="s">
        <v>233</v>
      </c>
      <c r="J59" t="e">
        <f t="shared" si="26"/>
        <v>#VALUE!</v>
      </c>
      <c r="K59" t="s">
        <v>236</v>
      </c>
      <c r="L59" t="e">
        <f t="shared" si="27"/>
        <v>#VALUE!</v>
      </c>
      <c r="Q59">
        <f t="shared" si="28"/>
        <v>0</v>
      </c>
      <c r="S59">
        <f t="shared" si="29"/>
        <v>0</v>
      </c>
      <c r="V59" t="s">
        <v>233</v>
      </c>
      <c r="W59" t="s">
        <v>236</v>
      </c>
      <c r="X59">
        <v>28</v>
      </c>
      <c r="Y59">
        <v>76</v>
      </c>
      <c r="Z59">
        <v>125</v>
      </c>
      <c r="AB59" t="e">
        <f t="shared" si="30"/>
        <v>#VALUE!</v>
      </c>
      <c r="AC59">
        <f t="shared" si="31"/>
        <v>9.6000000000000002E-2</v>
      </c>
      <c r="AD59">
        <f t="shared" si="32"/>
        <v>9.8000000000000004E-2</v>
      </c>
      <c r="AE59">
        <f t="shared" si="33"/>
        <v>0.19400000000000001</v>
      </c>
      <c r="AG59" t="e">
        <f t="shared" si="34"/>
        <v>#VALUE!</v>
      </c>
      <c r="AH59" t="e">
        <f t="shared" si="35"/>
        <v>#VALUE!</v>
      </c>
      <c r="AJ59" t="e">
        <f t="shared" si="36"/>
        <v>#VALUE!</v>
      </c>
      <c r="AK59" s="21" t="s">
        <v>169</v>
      </c>
    </row>
    <row r="60" spans="2:37" x14ac:dyDescent="0.2">
      <c r="B60"/>
      <c r="D60">
        <v>2</v>
      </c>
      <c r="E60"/>
      <c r="F60" s="35">
        <v>500</v>
      </c>
      <c r="G60" t="s">
        <v>236</v>
      </c>
      <c r="H60" t="e">
        <f t="shared" si="25"/>
        <v>#VALUE!</v>
      </c>
      <c r="I60" t="s">
        <v>233</v>
      </c>
      <c r="J60" t="e">
        <f t="shared" si="26"/>
        <v>#VALUE!</v>
      </c>
      <c r="K60">
        <v>81.819800000000001</v>
      </c>
      <c r="L60">
        <f t="shared" si="27"/>
        <v>2.7255016511895654E-2</v>
      </c>
      <c r="M60">
        <v>773.83299999999997</v>
      </c>
      <c r="N60">
        <v>284.16699999999997</v>
      </c>
      <c r="O60">
        <v>176.833</v>
      </c>
      <c r="P60">
        <v>25.5</v>
      </c>
      <c r="Q60">
        <f t="shared" si="28"/>
        <v>748.33299999999997</v>
      </c>
      <c r="S60">
        <f t="shared" si="29"/>
        <v>107.33399999999997</v>
      </c>
      <c r="V60">
        <v>139</v>
      </c>
      <c r="W60">
        <v>152</v>
      </c>
      <c r="X60">
        <v>225</v>
      </c>
      <c r="Y60">
        <v>227</v>
      </c>
      <c r="Z60">
        <v>311</v>
      </c>
      <c r="AB60">
        <f t="shared" si="30"/>
        <v>2.5999999999999999E-2</v>
      </c>
      <c r="AC60">
        <f t="shared" si="31"/>
        <v>4.0000000000000001E-3</v>
      </c>
      <c r="AD60">
        <f t="shared" si="32"/>
        <v>0.16800000000000001</v>
      </c>
      <c r="AE60">
        <f t="shared" si="33"/>
        <v>0.17200000000000001</v>
      </c>
      <c r="AG60">
        <f t="shared" si="34"/>
        <v>20.395828271396411</v>
      </c>
      <c r="AH60">
        <f t="shared" si="35"/>
        <v>2.9253899422878074</v>
      </c>
      <c r="AJ60">
        <f t="shared" si="36"/>
        <v>2.7255016511895654E-2</v>
      </c>
      <c r="AK60" s="21" t="s">
        <v>169</v>
      </c>
    </row>
    <row r="61" spans="2:37" x14ac:dyDescent="0.2">
      <c r="B61"/>
      <c r="D61">
        <v>3</v>
      </c>
      <c r="E61" s="19" t="s">
        <v>243</v>
      </c>
      <c r="F61">
        <v>500</v>
      </c>
      <c r="G61" t="s">
        <v>236</v>
      </c>
      <c r="H61" t="e">
        <f t="shared" si="25"/>
        <v>#VALUE!</v>
      </c>
      <c r="I61" t="s">
        <v>233</v>
      </c>
      <c r="J61" t="e">
        <f t="shared" si="26"/>
        <v>#VALUE!</v>
      </c>
      <c r="K61" t="s">
        <v>236</v>
      </c>
      <c r="L61" t="e">
        <f t="shared" si="27"/>
        <v>#VALUE!</v>
      </c>
      <c r="M61">
        <v>25.832999999999998</v>
      </c>
      <c r="N61">
        <v>294.16699999999997</v>
      </c>
      <c r="O61" t="s">
        <v>233</v>
      </c>
      <c r="P61" t="s">
        <v>233</v>
      </c>
      <c r="Q61" t="e">
        <f t="shared" si="28"/>
        <v>#VALUE!</v>
      </c>
      <c r="S61" t="e">
        <f t="shared" si="29"/>
        <v>#VALUE!</v>
      </c>
      <c r="V61" s="11">
        <v>600</v>
      </c>
      <c r="W61" s="11">
        <v>617</v>
      </c>
      <c r="X61" t="s">
        <v>233</v>
      </c>
      <c r="Y61" t="s">
        <v>233</v>
      </c>
      <c r="Z61" t="s">
        <v>233</v>
      </c>
      <c r="AB61">
        <f t="shared" si="30"/>
        <v>3.4000000000000002E-2</v>
      </c>
      <c r="AC61" t="e">
        <f t="shared" si="31"/>
        <v>#VALUE!</v>
      </c>
      <c r="AD61" t="e">
        <f t="shared" si="32"/>
        <v>#VALUE!</v>
      </c>
      <c r="AE61" t="e">
        <f t="shared" si="33"/>
        <v>#VALUE!</v>
      </c>
      <c r="AG61" t="e">
        <f t="shared" si="34"/>
        <v>#VALUE!</v>
      </c>
      <c r="AH61" t="e">
        <f t="shared" si="35"/>
        <v>#VALUE!</v>
      </c>
      <c r="AJ61" t="e">
        <f t="shared" si="36"/>
        <v>#VALUE!</v>
      </c>
      <c r="AK61" s="21" t="s">
        <v>169</v>
      </c>
    </row>
    <row r="62" spans="2:37" x14ac:dyDescent="0.2">
      <c r="B62" s="18">
        <v>7</v>
      </c>
      <c r="C62" t="s">
        <v>300</v>
      </c>
      <c r="D62">
        <v>1</v>
      </c>
      <c r="E62"/>
      <c r="F62" s="35">
        <v>500</v>
      </c>
      <c r="G62" t="s">
        <v>236</v>
      </c>
      <c r="H62" t="e">
        <f t="shared" si="25"/>
        <v>#VALUE!</v>
      </c>
      <c r="I62" t="s">
        <v>233</v>
      </c>
      <c r="J62" t="e">
        <f t="shared" si="26"/>
        <v>#VALUE!</v>
      </c>
      <c r="K62">
        <v>81.543999999999997</v>
      </c>
      <c r="L62">
        <f t="shared" si="27"/>
        <v>2.7347199058177181E-2</v>
      </c>
      <c r="M62">
        <v>863.5</v>
      </c>
      <c r="N62">
        <v>287.83300000000003</v>
      </c>
      <c r="O62">
        <v>211.167</v>
      </c>
      <c r="P62">
        <v>270.83300000000003</v>
      </c>
      <c r="Q62">
        <f t="shared" si="28"/>
        <v>592.66699999999992</v>
      </c>
      <c r="S62">
        <f t="shared" si="29"/>
        <v>76.666000000000025</v>
      </c>
      <c r="V62">
        <v>21</v>
      </c>
      <c r="W62">
        <v>38</v>
      </c>
      <c r="X62">
        <v>99</v>
      </c>
      <c r="Y62">
        <v>103</v>
      </c>
      <c r="Z62">
        <v>191</v>
      </c>
      <c r="AB62">
        <f t="shared" si="30"/>
        <v>3.4000000000000002E-2</v>
      </c>
      <c r="AC62">
        <f t="shared" si="31"/>
        <v>8.0000000000000002E-3</v>
      </c>
      <c r="AD62">
        <f t="shared" si="32"/>
        <v>0.17599999999999999</v>
      </c>
      <c r="AE62">
        <f t="shared" si="33"/>
        <v>0.184</v>
      </c>
      <c r="AG62">
        <f t="shared" si="34"/>
        <v>16.207782424212692</v>
      </c>
      <c r="AH62">
        <f t="shared" si="35"/>
        <v>2.0966003629942125</v>
      </c>
      <c r="AJ62">
        <f t="shared" si="36"/>
        <v>2.7347199058177181E-2</v>
      </c>
      <c r="AK62" s="21" t="s">
        <v>169</v>
      </c>
    </row>
    <row r="63" spans="2:37" x14ac:dyDescent="0.2">
      <c r="B63"/>
      <c r="D63">
        <v>2</v>
      </c>
      <c r="E63" s="19" t="s">
        <v>243</v>
      </c>
      <c r="F63">
        <v>500</v>
      </c>
      <c r="G63">
        <v>42.054000000000002</v>
      </c>
      <c r="H63">
        <f t="shared" si="25"/>
        <v>3.8046321396299994E-2</v>
      </c>
      <c r="I63" t="s">
        <v>233</v>
      </c>
      <c r="J63" t="e">
        <f t="shared" si="26"/>
        <v>#VALUE!</v>
      </c>
      <c r="K63">
        <v>79.811999999999998</v>
      </c>
      <c r="L63">
        <f t="shared" si="27"/>
        <v>2.7940660552297901E-2</v>
      </c>
      <c r="M63">
        <v>270.83300000000003</v>
      </c>
      <c r="N63">
        <v>286.83300000000003</v>
      </c>
      <c r="O63">
        <v>208.5</v>
      </c>
      <c r="P63" t="s">
        <v>236</v>
      </c>
      <c r="Q63" t="e">
        <f t="shared" si="28"/>
        <v>#VALUE!</v>
      </c>
      <c r="S63">
        <f t="shared" si="29"/>
        <v>78.333000000000027</v>
      </c>
      <c r="V63">
        <v>530</v>
      </c>
      <c r="W63">
        <v>547</v>
      </c>
      <c r="X63" t="s">
        <v>233</v>
      </c>
      <c r="Y63" t="s">
        <v>233</v>
      </c>
      <c r="Z63" t="s">
        <v>233</v>
      </c>
      <c r="AB63">
        <f t="shared" si="30"/>
        <v>3.4000000000000002E-2</v>
      </c>
      <c r="AC63" t="e">
        <f t="shared" si="31"/>
        <v>#VALUE!</v>
      </c>
      <c r="AD63" t="e">
        <f t="shared" si="32"/>
        <v>#VALUE!</v>
      </c>
      <c r="AE63" t="e">
        <f t="shared" si="33"/>
        <v>#VALUE!</v>
      </c>
      <c r="AG63" t="e">
        <f t="shared" si="34"/>
        <v>#VALUE!</v>
      </c>
      <c r="AH63">
        <f t="shared" si="35"/>
        <v>2.9802824939363686</v>
      </c>
      <c r="AJ63">
        <f t="shared" si="36"/>
        <v>3.8046321396299994E-2</v>
      </c>
      <c r="AK63" s="21" t="s">
        <v>169</v>
      </c>
    </row>
    <row r="64" spans="2:37" ht="25.5" x14ac:dyDescent="0.2">
      <c r="B64" s="18">
        <v>8</v>
      </c>
      <c r="C64" t="s">
        <v>301</v>
      </c>
      <c r="D64">
        <v>1</v>
      </c>
      <c r="E64" s="19" t="s">
        <v>273</v>
      </c>
      <c r="F64" s="35">
        <v>500</v>
      </c>
      <c r="G64" t="s">
        <v>236</v>
      </c>
      <c r="H64" t="e">
        <f t="shared" si="25"/>
        <v>#VALUE!</v>
      </c>
      <c r="I64" t="s">
        <v>233</v>
      </c>
      <c r="J64" t="e">
        <f t="shared" si="26"/>
        <v>#VALUE!</v>
      </c>
      <c r="K64">
        <v>78.954999999999998</v>
      </c>
      <c r="L64">
        <f t="shared" si="27"/>
        <v>2.8243936419479452E-2</v>
      </c>
      <c r="N64" t="s">
        <v>233</v>
      </c>
      <c r="O64">
        <v>198.5</v>
      </c>
      <c r="P64" t="s">
        <v>233</v>
      </c>
      <c r="Q64" t="e">
        <f t="shared" si="28"/>
        <v>#VALUE!</v>
      </c>
      <c r="S64" t="e">
        <f t="shared" si="29"/>
        <v>#VALUE!</v>
      </c>
      <c r="V64" t="s">
        <v>233</v>
      </c>
      <c r="W64" t="s">
        <v>236</v>
      </c>
      <c r="X64">
        <v>68</v>
      </c>
      <c r="Y64">
        <v>70</v>
      </c>
      <c r="Z64">
        <v>149</v>
      </c>
      <c r="AB64" t="e">
        <f t="shared" si="30"/>
        <v>#VALUE!</v>
      </c>
      <c r="AC64">
        <f t="shared" si="31"/>
        <v>4.0000000000000001E-3</v>
      </c>
      <c r="AD64">
        <f t="shared" si="32"/>
        <v>0.158</v>
      </c>
      <c r="AE64">
        <f t="shared" si="33"/>
        <v>0.16200000000000001</v>
      </c>
      <c r="AG64" t="e">
        <f t="shared" si="34"/>
        <v>#VALUE!</v>
      </c>
      <c r="AH64" t="e">
        <f t="shared" si="35"/>
        <v>#VALUE!</v>
      </c>
      <c r="AJ64">
        <f t="shared" si="36"/>
        <v>2.8243936419479452E-2</v>
      </c>
      <c r="AK64" s="21" t="s">
        <v>169</v>
      </c>
    </row>
    <row r="65" spans="2:37" x14ac:dyDescent="0.2">
      <c r="B65"/>
      <c r="D65">
        <v>2</v>
      </c>
      <c r="E65"/>
      <c r="F65">
        <v>500</v>
      </c>
      <c r="G65">
        <v>45.323</v>
      </c>
      <c r="H65">
        <f t="shared" si="25"/>
        <v>3.5302164463958695E-2</v>
      </c>
      <c r="I65" t="s">
        <v>233</v>
      </c>
      <c r="J65" t="e">
        <f t="shared" si="26"/>
        <v>#VALUE!</v>
      </c>
      <c r="K65">
        <v>79.201999999999998</v>
      </c>
      <c r="L65">
        <f t="shared" si="27"/>
        <v>2.81558546501351E-2</v>
      </c>
      <c r="M65">
        <v>647.5</v>
      </c>
      <c r="N65">
        <v>286.5</v>
      </c>
      <c r="O65">
        <v>151.833</v>
      </c>
      <c r="P65">
        <v>17.167000000000002</v>
      </c>
      <c r="Q65">
        <f t="shared" si="28"/>
        <v>630.33299999999997</v>
      </c>
      <c r="S65">
        <f t="shared" si="29"/>
        <v>134.667</v>
      </c>
      <c r="V65">
        <v>1233</v>
      </c>
      <c r="W65">
        <v>1256</v>
      </c>
      <c r="X65">
        <v>1332</v>
      </c>
      <c r="Y65">
        <v>1335</v>
      </c>
      <c r="Z65" t="s">
        <v>302</v>
      </c>
      <c r="AB65">
        <f t="shared" si="30"/>
        <v>4.5999999999999999E-2</v>
      </c>
      <c r="AC65">
        <f t="shared" si="31"/>
        <v>6.0000000000000001E-3</v>
      </c>
      <c r="AD65" t="e">
        <f t="shared" si="32"/>
        <v>#VALUE!</v>
      </c>
      <c r="AE65" t="e">
        <f t="shared" si="33"/>
        <v>#VALUE!</v>
      </c>
      <c r="AG65">
        <f t="shared" si="34"/>
        <v>22.252119233060476</v>
      </c>
      <c r="AH65">
        <f t="shared" si="35"/>
        <v>4.7540365818679255</v>
      </c>
      <c r="AJ65">
        <f t="shared" si="36"/>
        <v>3.5302164463958695E-2</v>
      </c>
      <c r="AK65" s="21" t="s">
        <v>169</v>
      </c>
    </row>
    <row r="66" spans="2:37" x14ac:dyDescent="0.2">
      <c r="B66"/>
      <c r="D66">
        <v>3</v>
      </c>
      <c r="E66" s="19" t="s">
        <v>243</v>
      </c>
      <c r="F66" s="35">
        <v>500</v>
      </c>
      <c r="G66">
        <v>45.962000000000003</v>
      </c>
      <c r="H66">
        <f t="shared" si="25"/>
        <v>3.4811365910969928E-2</v>
      </c>
      <c r="I66" t="s">
        <v>233</v>
      </c>
      <c r="J66" t="e">
        <f t="shared" si="26"/>
        <v>#VALUE!</v>
      </c>
      <c r="K66" t="s">
        <v>236</v>
      </c>
      <c r="L66" t="e">
        <f t="shared" si="27"/>
        <v>#VALUE!</v>
      </c>
      <c r="M66">
        <v>17.167000000000002</v>
      </c>
      <c r="N66">
        <v>282.5</v>
      </c>
      <c r="P66" t="s">
        <v>320</v>
      </c>
      <c r="Q66" t="e">
        <f t="shared" si="28"/>
        <v>#VALUE!</v>
      </c>
      <c r="S66">
        <f t="shared" si="29"/>
        <v>282.5</v>
      </c>
      <c r="V66" t="s">
        <v>233</v>
      </c>
      <c r="W66" t="s">
        <v>236</v>
      </c>
      <c r="X66" t="s">
        <v>233</v>
      </c>
      <c r="Y66" t="s">
        <v>233</v>
      </c>
      <c r="Z66" t="s">
        <v>233</v>
      </c>
      <c r="AB66" t="e">
        <f t="shared" si="30"/>
        <v>#VALUE!</v>
      </c>
      <c r="AC66" t="e">
        <f t="shared" si="31"/>
        <v>#VALUE!</v>
      </c>
      <c r="AD66" t="e">
        <f t="shared" si="32"/>
        <v>#VALUE!</v>
      </c>
      <c r="AE66" t="e">
        <f t="shared" si="33"/>
        <v>#VALUE!</v>
      </c>
      <c r="AG66" t="e">
        <f t="shared" si="34"/>
        <v>#VALUE!</v>
      </c>
      <c r="AH66">
        <f t="shared" si="35"/>
        <v>9.8342108698490041</v>
      </c>
      <c r="AJ66">
        <f t="shared" si="36"/>
        <v>3.4811365910969928E-2</v>
      </c>
      <c r="AK66" s="21" t="s">
        <v>169</v>
      </c>
    </row>
    <row r="67" spans="2:37" x14ac:dyDescent="0.2">
      <c r="B67" s="18" t="s">
        <v>303</v>
      </c>
      <c r="C67" t="s">
        <v>304</v>
      </c>
      <c r="D67">
        <v>1</v>
      </c>
      <c r="E67" s="19" t="s">
        <v>275</v>
      </c>
      <c r="F67">
        <v>500</v>
      </c>
      <c r="G67" t="s">
        <v>236</v>
      </c>
      <c r="H67" t="e">
        <f t="shared" si="25"/>
        <v>#VALUE!</v>
      </c>
      <c r="I67" t="s">
        <v>233</v>
      </c>
      <c r="J67" t="e">
        <f t="shared" si="26"/>
        <v>#VALUE!</v>
      </c>
      <c r="K67">
        <v>80.489000000000004</v>
      </c>
      <c r="L67">
        <f t="shared" si="27"/>
        <v>2.7705649219147956E-2</v>
      </c>
      <c r="M67" t="s">
        <v>233</v>
      </c>
      <c r="N67" t="s">
        <v>233</v>
      </c>
      <c r="O67">
        <v>205.5</v>
      </c>
      <c r="P67" t="s">
        <v>233</v>
      </c>
      <c r="Q67" t="e">
        <f t="shared" si="28"/>
        <v>#VALUE!</v>
      </c>
      <c r="S67" t="e">
        <f t="shared" si="29"/>
        <v>#VALUE!</v>
      </c>
      <c r="V67" t="s">
        <v>233</v>
      </c>
      <c r="W67" t="s">
        <v>236</v>
      </c>
      <c r="X67">
        <v>59</v>
      </c>
      <c r="Y67">
        <v>62</v>
      </c>
      <c r="Z67">
        <v>172</v>
      </c>
      <c r="AB67" t="e">
        <f t="shared" si="30"/>
        <v>#VALUE!</v>
      </c>
      <c r="AC67">
        <f t="shared" si="31"/>
        <v>6.0000000000000001E-3</v>
      </c>
      <c r="AD67">
        <f t="shared" si="32"/>
        <v>0.22</v>
      </c>
      <c r="AE67">
        <f t="shared" si="33"/>
        <v>0.22600000000000001</v>
      </c>
      <c r="AG67" t="e">
        <f t="shared" si="34"/>
        <v>#VALUE!</v>
      </c>
      <c r="AH67" t="e">
        <f t="shared" si="35"/>
        <v>#VALUE!</v>
      </c>
      <c r="AJ67">
        <f t="shared" si="36"/>
        <v>2.7705649219147956E-2</v>
      </c>
      <c r="AK67" s="21" t="s">
        <v>169</v>
      </c>
    </row>
    <row r="68" spans="2:37" x14ac:dyDescent="0.2">
      <c r="B68"/>
      <c r="D68">
        <v>2</v>
      </c>
      <c r="E68" s="19" t="s">
        <v>305</v>
      </c>
      <c r="F68" s="35">
        <v>500</v>
      </c>
      <c r="G68" t="s">
        <v>236</v>
      </c>
      <c r="H68" t="e">
        <f t="shared" si="25"/>
        <v>#VALUE!</v>
      </c>
      <c r="I68" t="s">
        <v>233</v>
      </c>
      <c r="J68" t="e">
        <f t="shared" si="26"/>
        <v>#VALUE!</v>
      </c>
      <c r="K68">
        <v>77.138999999999996</v>
      </c>
      <c r="L68">
        <f t="shared" si="27"/>
        <v>2.8908852850049911E-2</v>
      </c>
      <c r="M68">
        <v>702.83299999999997</v>
      </c>
      <c r="N68">
        <v>283.83300000000003</v>
      </c>
      <c r="O68">
        <v>182.833</v>
      </c>
      <c r="P68">
        <v>63.5</v>
      </c>
      <c r="Q68">
        <f t="shared" si="28"/>
        <v>639.33299999999997</v>
      </c>
      <c r="S68">
        <f t="shared" si="29"/>
        <v>101.00000000000003</v>
      </c>
      <c r="V68">
        <v>282</v>
      </c>
      <c r="W68">
        <v>311</v>
      </c>
      <c r="X68">
        <v>381</v>
      </c>
      <c r="Y68">
        <v>383</v>
      </c>
      <c r="Z68">
        <v>477</v>
      </c>
      <c r="AB68">
        <f t="shared" si="30"/>
        <v>5.8000000000000003E-2</v>
      </c>
      <c r="AC68">
        <f t="shared" si="31"/>
        <v>4.0000000000000001E-3</v>
      </c>
      <c r="AD68">
        <f t="shared" si="32"/>
        <v>0.188</v>
      </c>
      <c r="AE68">
        <f t="shared" si="33"/>
        <v>0.192</v>
      </c>
      <c r="AG68">
        <f t="shared" si="34"/>
        <v>18.482383619180958</v>
      </c>
      <c r="AH68">
        <f t="shared" si="35"/>
        <v>2.919794137855042</v>
      </c>
      <c r="AJ68">
        <f t="shared" si="36"/>
        <v>2.8908852850049911E-2</v>
      </c>
      <c r="AK68" s="21" t="s">
        <v>169</v>
      </c>
    </row>
    <row r="69" spans="2:37" x14ac:dyDescent="0.2">
      <c r="B69"/>
      <c r="D69">
        <v>3</v>
      </c>
      <c r="E69" s="19" t="s">
        <v>243</v>
      </c>
      <c r="F69">
        <v>500</v>
      </c>
      <c r="G69" t="s">
        <v>236</v>
      </c>
      <c r="H69" t="e">
        <f t="shared" si="25"/>
        <v>#VALUE!</v>
      </c>
      <c r="I69" t="s">
        <v>233</v>
      </c>
      <c r="J69" t="e">
        <f t="shared" si="26"/>
        <v>#VALUE!</v>
      </c>
      <c r="K69">
        <v>74.594999999999999</v>
      </c>
      <c r="L69">
        <f t="shared" si="27"/>
        <v>2.9894765064682621E-2</v>
      </c>
      <c r="M69">
        <v>63.5</v>
      </c>
      <c r="N69">
        <v>275.83300000000003</v>
      </c>
      <c r="O69" t="s">
        <v>236</v>
      </c>
      <c r="P69" t="s">
        <v>236</v>
      </c>
      <c r="Q69" t="e">
        <f t="shared" si="28"/>
        <v>#VALUE!</v>
      </c>
      <c r="S69" t="e">
        <f t="shared" si="29"/>
        <v>#VALUE!</v>
      </c>
      <c r="V69">
        <v>874</v>
      </c>
      <c r="W69">
        <v>907</v>
      </c>
      <c r="X69" t="s">
        <v>233</v>
      </c>
      <c r="Y69" t="s">
        <v>233</v>
      </c>
      <c r="Z69" t="s">
        <v>233</v>
      </c>
      <c r="AB69">
        <f t="shared" si="30"/>
        <v>6.6000000000000003E-2</v>
      </c>
      <c r="AC69" t="e">
        <f t="shared" si="31"/>
        <v>#VALUE!</v>
      </c>
      <c r="AD69" t="e">
        <f t="shared" si="32"/>
        <v>#VALUE!</v>
      </c>
      <c r="AE69" t="e">
        <f t="shared" si="33"/>
        <v>#VALUE!</v>
      </c>
      <c r="AG69" t="e">
        <f t="shared" si="34"/>
        <v>#VALUE!</v>
      </c>
      <c r="AH69" t="e">
        <f t="shared" si="35"/>
        <v>#VALUE!</v>
      </c>
      <c r="AJ69">
        <f t="shared" si="36"/>
        <v>2.9894765064682621E-2</v>
      </c>
      <c r="AK69" s="21" t="s">
        <v>169</v>
      </c>
    </row>
    <row r="70" spans="2:37" x14ac:dyDescent="0.2">
      <c r="B70" s="18" t="s">
        <v>306</v>
      </c>
      <c r="C70" t="s">
        <v>307</v>
      </c>
      <c r="D70">
        <v>1</v>
      </c>
      <c r="E70"/>
      <c r="F70" s="35">
        <v>500</v>
      </c>
      <c r="G70" t="s">
        <v>236</v>
      </c>
      <c r="H70" t="e">
        <f t="shared" si="25"/>
        <v>#VALUE!</v>
      </c>
      <c r="I70" t="s">
        <v>233</v>
      </c>
      <c r="J70" t="e">
        <f t="shared" si="26"/>
        <v>#VALUE!</v>
      </c>
      <c r="K70">
        <v>76.78</v>
      </c>
      <c r="L70">
        <f t="shared" si="27"/>
        <v>2.9044021880698098E-2</v>
      </c>
      <c r="M70">
        <v>952</v>
      </c>
      <c r="N70">
        <v>275.25</v>
      </c>
      <c r="O70">
        <v>171.5</v>
      </c>
      <c r="P70">
        <v>456.75</v>
      </c>
      <c r="Q70">
        <f t="shared" si="28"/>
        <v>495.25</v>
      </c>
      <c r="S70">
        <f t="shared" si="29"/>
        <v>103.75</v>
      </c>
      <c r="V70">
        <v>56</v>
      </c>
      <c r="W70">
        <v>77</v>
      </c>
      <c r="X70">
        <v>144</v>
      </c>
      <c r="Y70">
        <v>146</v>
      </c>
      <c r="Z70">
        <v>212</v>
      </c>
      <c r="AB70">
        <f t="shared" si="30"/>
        <v>4.2000000000000003E-2</v>
      </c>
      <c r="AC70">
        <f t="shared" si="31"/>
        <v>4.0000000000000001E-3</v>
      </c>
      <c r="AD70">
        <f t="shared" si="32"/>
        <v>0.13200000000000001</v>
      </c>
      <c r="AE70">
        <f t="shared" si="33"/>
        <v>0.13600000000000001</v>
      </c>
      <c r="AG70">
        <f t="shared" si="34"/>
        <v>14.384051836415733</v>
      </c>
      <c r="AH70">
        <f t="shared" si="35"/>
        <v>3.0133172701224278</v>
      </c>
      <c r="AJ70">
        <f t="shared" si="36"/>
        <v>2.9044021880698098E-2</v>
      </c>
      <c r="AK70" s="21" t="s">
        <v>169</v>
      </c>
    </row>
    <row r="71" spans="2:37" x14ac:dyDescent="0.2">
      <c r="D71">
        <v>2</v>
      </c>
      <c r="E71"/>
      <c r="F71">
        <v>500</v>
      </c>
      <c r="G71">
        <v>43.212000000000003</v>
      </c>
      <c r="H71">
        <f t="shared" si="25"/>
        <v>3.702675182819587E-2</v>
      </c>
      <c r="I71" t="s">
        <v>233</v>
      </c>
      <c r="J71" t="e">
        <f t="shared" si="26"/>
        <v>#VALUE!</v>
      </c>
      <c r="K71">
        <v>80.319999999999993</v>
      </c>
      <c r="L71">
        <f t="shared" si="27"/>
        <v>2.7763944223107573E-2</v>
      </c>
      <c r="M71">
        <v>457.75</v>
      </c>
      <c r="N71">
        <v>284.75</v>
      </c>
      <c r="O71">
        <v>206.25</v>
      </c>
      <c r="P71">
        <v>35.5</v>
      </c>
      <c r="Q71">
        <f t="shared" si="28"/>
        <v>422.25</v>
      </c>
      <c r="S71">
        <f t="shared" si="29"/>
        <v>78.5</v>
      </c>
      <c r="V71">
        <v>900</v>
      </c>
      <c r="W71">
        <v>923</v>
      </c>
      <c r="X71">
        <v>978</v>
      </c>
      <c r="Y71">
        <v>979</v>
      </c>
      <c r="Z71">
        <v>1046</v>
      </c>
      <c r="AB71">
        <f t="shared" si="30"/>
        <v>4.5999999999999999E-2</v>
      </c>
      <c r="AC71">
        <f t="shared" si="31"/>
        <v>2E-3</v>
      </c>
      <c r="AD71">
        <f t="shared" si="32"/>
        <v>0.13400000000000001</v>
      </c>
      <c r="AE71">
        <f t="shared" si="33"/>
        <v>0.13600000000000001</v>
      </c>
      <c r="AG71">
        <f t="shared" si="34"/>
        <v>15.634545959455705</v>
      </c>
      <c r="AH71">
        <f t="shared" si="35"/>
        <v>2.9066000185133758</v>
      </c>
      <c r="AJ71">
        <f t="shared" si="36"/>
        <v>3.702675182819587E-2</v>
      </c>
      <c r="AK71" s="21" t="s">
        <v>169</v>
      </c>
    </row>
    <row r="72" spans="2:37" x14ac:dyDescent="0.2">
      <c r="D72">
        <v>3</v>
      </c>
      <c r="E72" s="19" t="s">
        <v>243</v>
      </c>
      <c r="F72" s="35">
        <v>500</v>
      </c>
      <c r="G72">
        <v>43.28</v>
      </c>
      <c r="H72">
        <f t="shared" si="25"/>
        <v>3.6968576709796676E-2</v>
      </c>
      <c r="I72" t="s">
        <v>233</v>
      </c>
      <c r="J72" t="e">
        <f t="shared" si="26"/>
        <v>#VALUE!</v>
      </c>
      <c r="K72">
        <v>76.53</v>
      </c>
      <c r="L72">
        <f t="shared" si="27"/>
        <v>2.913889977786489E-2</v>
      </c>
      <c r="M72">
        <v>38.5</v>
      </c>
      <c r="N72">
        <v>280</v>
      </c>
      <c r="O72" t="s">
        <v>233</v>
      </c>
      <c r="P72" t="s">
        <v>233</v>
      </c>
      <c r="Q72" t="e">
        <f t="shared" si="28"/>
        <v>#VALUE!</v>
      </c>
      <c r="S72" t="e">
        <f t="shared" si="29"/>
        <v>#VALUE!</v>
      </c>
      <c r="V72">
        <v>1552</v>
      </c>
      <c r="W72">
        <v>1572</v>
      </c>
      <c r="X72" t="s">
        <v>233</v>
      </c>
      <c r="Y72" t="s">
        <v>233</v>
      </c>
      <c r="Z72" t="s">
        <v>233</v>
      </c>
      <c r="AB72">
        <f t="shared" si="30"/>
        <v>0.04</v>
      </c>
      <c r="AC72" t="e">
        <f t="shared" si="31"/>
        <v>#VALUE!</v>
      </c>
      <c r="AD72" t="e">
        <f t="shared" si="32"/>
        <v>#VALUE!</v>
      </c>
      <c r="AE72" t="e">
        <f t="shared" si="33"/>
        <v>#VALUE!</v>
      </c>
      <c r="AG72" t="e">
        <f t="shared" si="34"/>
        <v>#VALUE!</v>
      </c>
      <c r="AH72" t="e">
        <f t="shared" si="35"/>
        <v>#VALUE!</v>
      </c>
      <c r="AJ72">
        <f t="shared" si="36"/>
        <v>3.6968576709796676E-2</v>
      </c>
      <c r="AK72" s="21" t="s">
        <v>169</v>
      </c>
    </row>
  </sheetData>
  <mergeCells count="1">
    <mergeCell ref="AM1:AS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3"/>
  <sheetViews>
    <sheetView windowProtection="1" workbookViewId="0">
      <selection activeCell="U4" sqref="U4"/>
    </sheetView>
  </sheetViews>
  <sheetFormatPr defaultRowHeight="12.75" x14ac:dyDescent="0.2"/>
  <sheetData>
    <row r="1" spans="1:14" ht="25.5" x14ac:dyDescent="0.2">
      <c r="A1" s="3" t="s">
        <v>115</v>
      </c>
      <c r="B1" s="3" t="s">
        <v>1</v>
      </c>
      <c r="C1" s="3" t="s">
        <v>2</v>
      </c>
      <c r="D1" s="3" t="s">
        <v>116</v>
      </c>
      <c r="E1" s="3" t="s">
        <v>117</v>
      </c>
      <c r="F1" s="3" t="s">
        <v>118</v>
      </c>
    </row>
    <row r="2" spans="1:14" x14ac:dyDescent="0.2">
      <c r="A2" s="7" t="s">
        <v>18</v>
      </c>
      <c r="B2" s="8">
        <v>4</v>
      </c>
      <c r="C2" s="7" t="s">
        <v>25</v>
      </c>
      <c r="D2" s="8">
        <v>1</v>
      </c>
      <c r="E2">
        <v>500</v>
      </c>
      <c r="F2">
        <v>94.219028252821701</v>
      </c>
      <c r="H2" t="s">
        <v>321</v>
      </c>
    </row>
    <row r="3" spans="1:14" x14ac:dyDescent="0.2">
      <c r="A3" t="s">
        <v>18</v>
      </c>
      <c r="B3">
        <v>4</v>
      </c>
      <c r="C3" t="s">
        <v>25</v>
      </c>
      <c r="D3">
        <v>2</v>
      </c>
      <c r="E3">
        <v>500</v>
      </c>
      <c r="F3">
        <v>94.219028252821701</v>
      </c>
      <c r="H3" t="s">
        <v>321</v>
      </c>
    </row>
    <row r="4" spans="1:14" x14ac:dyDescent="0.2">
      <c r="A4" t="s">
        <v>18</v>
      </c>
      <c r="B4">
        <v>5</v>
      </c>
      <c r="C4" t="s">
        <v>27</v>
      </c>
      <c r="D4">
        <v>1</v>
      </c>
      <c r="E4">
        <v>500</v>
      </c>
      <c r="F4">
        <v>109.45465850830099</v>
      </c>
      <c r="H4" t="s">
        <v>321</v>
      </c>
      <c r="M4" t="s">
        <v>328</v>
      </c>
      <c r="N4" t="s">
        <v>329</v>
      </c>
    </row>
    <row r="5" spans="1:14" x14ac:dyDescent="0.2">
      <c r="A5" t="s">
        <v>18</v>
      </c>
      <c r="B5">
        <v>5</v>
      </c>
      <c r="C5" t="s">
        <v>27</v>
      </c>
      <c r="D5">
        <v>2</v>
      </c>
      <c r="E5">
        <v>500</v>
      </c>
      <c r="F5">
        <v>109.45465850830099</v>
      </c>
      <c r="H5" t="s">
        <v>322</v>
      </c>
      <c r="L5" t="s">
        <v>321</v>
      </c>
      <c r="M5">
        <f>COUNTIF($H$2:$H$35, "lower leg")</f>
        <v>21</v>
      </c>
      <c r="N5">
        <f>COUNTIF($H$43:$H$113, "lower leg")</f>
        <v>4</v>
      </c>
    </row>
    <row r="6" spans="1:14" x14ac:dyDescent="0.2">
      <c r="A6" t="s">
        <v>18</v>
      </c>
      <c r="B6">
        <v>6</v>
      </c>
      <c r="C6" t="s">
        <v>29</v>
      </c>
      <c r="D6">
        <v>1</v>
      </c>
      <c r="E6">
        <v>500</v>
      </c>
      <c r="F6">
        <v>92.386999745719393</v>
      </c>
      <c r="H6" t="s">
        <v>321</v>
      </c>
      <c r="L6" t="s">
        <v>330</v>
      </c>
      <c r="M6">
        <f>COUNTIF($H$2:$H$35, "upper leg")</f>
        <v>0</v>
      </c>
      <c r="N6">
        <f>COUNTIF($H$43:$H$113, "upper leg")</f>
        <v>0</v>
      </c>
    </row>
    <row r="7" spans="1:14" x14ac:dyDescent="0.2">
      <c r="A7" t="s">
        <v>18</v>
      </c>
      <c r="B7">
        <v>6</v>
      </c>
      <c r="C7" t="s">
        <v>29</v>
      </c>
      <c r="D7">
        <v>2</v>
      </c>
      <c r="E7">
        <v>500</v>
      </c>
      <c r="F7">
        <v>92.386999745719393</v>
      </c>
      <c r="H7" t="s">
        <v>321</v>
      </c>
      <c r="L7" t="s">
        <v>323</v>
      </c>
      <c r="M7">
        <f>COUNTIF($H$2:$H$35, "body")</f>
        <v>0</v>
      </c>
      <c r="N7">
        <f>COUNTIF($H$43:$H$113, "body")</f>
        <v>17</v>
      </c>
    </row>
    <row r="8" spans="1:14" x14ac:dyDescent="0.2">
      <c r="A8" t="s">
        <v>18</v>
      </c>
      <c r="B8">
        <v>6</v>
      </c>
      <c r="C8" t="s">
        <v>29</v>
      </c>
      <c r="D8">
        <v>3</v>
      </c>
      <c r="E8">
        <v>500</v>
      </c>
      <c r="F8">
        <v>92.386999745719393</v>
      </c>
      <c r="H8" t="s">
        <v>322</v>
      </c>
      <c r="L8" t="s">
        <v>331</v>
      </c>
      <c r="M8">
        <f>COUNTIF($H$2:$H$35, "arm")</f>
        <v>0</v>
      </c>
      <c r="N8">
        <f>COUNTIF($H$43:$H$113, "arm")</f>
        <v>15</v>
      </c>
    </row>
    <row r="9" spans="1:14" x14ac:dyDescent="0.2">
      <c r="A9" t="s">
        <v>18</v>
      </c>
      <c r="B9">
        <v>10</v>
      </c>
      <c r="C9" t="s">
        <v>37</v>
      </c>
      <c r="D9">
        <v>1</v>
      </c>
      <c r="E9">
        <v>250</v>
      </c>
      <c r="F9">
        <v>78.758538062936594</v>
      </c>
      <c r="I9" t="s">
        <v>324</v>
      </c>
    </row>
    <row r="10" spans="1:14" x14ac:dyDescent="0.2">
      <c r="A10" t="s">
        <v>18</v>
      </c>
      <c r="B10">
        <v>10</v>
      </c>
      <c r="C10" t="s">
        <v>37</v>
      </c>
      <c r="D10">
        <v>2</v>
      </c>
      <c r="E10">
        <v>250</v>
      </c>
      <c r="F10">
        <v>78.758538062936594</v>
      </c>
      <c r="H10" t="s">
        <v>321</v>
      </c>
    </row>
    <row r="11" spans="1:14" x14ac:dyDescent="0.2">
      <c r="A11" t="s">
        <v>18</v>
      </c>
      <c r="B11">
        <v>10</v>
      </c>
      <c r="C11" t="s">
        <v>37</v>
      </c>
      <c r="D11">
        <v>3</v>
      </c>
      <c r="E11">
        <v>250</v>
      </c>
      <c r="F11">
        <v>78.758538062936594</v>
      </c>
      <c r="H11" t="s">
        <v>322</v>
      </c>
    </row>
    <row r="12" spans="1:14" ht="13.5" x14ac:dyDescent="0.25">
      <c r="E12" s="9"/>
      <c r="F12" s="9"/>
    </row>
    <row r="13" spans="1:14" ht="13.5" x14ac:dyDescent="0.25">
      <c r="D13">
        <v>-1</v>
      </c>
      <c r="E13" s="9"/>
      <c r="F13" s="9"/>
      <c r="H13" t="s">
        <v>321</v>
      </c>
      <c r="I13" t="s">
        <v>325</v>
      </c>
    </row>
    <row r="14" spans="1:14" x14ac:dyDescent="0.2">
      <c r="A14" t="s">
        <v>52</v>
      </c>
      <c r="B14">
        <v>4</v>
      </c>
      <c r="C14" t="s">
        <v>59</v>
      </c>
      <c r="D14">
        <v>1</v>
      </c>
      <c r="E14">
        <v>250</v>
      </c>
      <c r="F14">
        <v>102.04534566778899</v>
      </c>
      <c r="H14" t="s">
        <v>321</v>
      </c>
    </row>
    <row r="15" spans="1:14" x14ac:dyDescent="0.2">
      <c r="A15" t="s">
        <v>52</v>
      </c>
      <c r="B15">
        <v>4</v>
      </c>
      <c r="C15" t="s">
        <v>59</v>
      </c>
      <c r="D15">
        <v>2</v>
      </c>
      <c r="E15">
        <v>250</v>
      </c>
      <c r="F15">
        <v>102.04534566778899</v>
      </c>
      <c r="H15" t="s">
        <v>322</v>
      </c>
    </row>
    <row r="16" spans="1:14" x14ac:dyDescent="0.2">
      <c r="A16" t="s">
        <v>52</v>
      </c>
      <c r="B16">
        <v>6</v>
      </c>
      <c r="C16" t="s">
        <v>63</v>
      </c>
      <c r="D16">
        <v>1</v>
      </c>
      <c r="E16">
        <v>250</v>
      </c>
      <c r="F16">
        <v>98.071794099896906</v>
      </c>
      <c r="H16" t="s">
        <v>321</v>
      </c>
    </row>
    <row r="17" spans="1:9" x14ac:dyDescent="0.2">
      <c r="A17" t="s">
        <v>52</v>
      </c>
      <c r="B17">
        <v>6</v>
      </c>
      <c r="C17" t="s">
        <v>63</v>
      </c>
      <c r="D17">
        <v>2</v>
      </c>
      <c r="E17">
        <v>250</v>
      </c>
      <c r="F17">
        <v>98.071794099896906</v>
      </c>
      <c r="H17" t="s">
        <v>321</v>
      </c>
    </row>
    <row r="18" spans="1:9" x14ac:dyDescent="0.2">
      <c r="A18" t="s">
        <v>52</v>
      </c>
      <c r="B18">
        <v>9</v>
      </c>
      <c r="C18" t="s">
        <v>69</v>
      </c>
      <c r="D18">
        <v>1</v>
      </c>
      <c r="E18">
        <v>250</v>
      </c>
      <c r="F18">
        <v>127.599945431664</v>
      </c>
      <c r="H18" t="s">
        <v>321</v>
      </c>
    </row>
    <row r="19" spans="1:9" x14ac:dyDescent="0.2">
      <c r="A19" t="s">
        <v>52</v>
      </c>
      <c r="B19">
        <v>14</v>
      </c>
      <c r="C19" t="s">
        <v>79</v>
      </c>
      <c r="D19">
        <v>1</v>
      </c>
      <c r="E19">
        <v>500</v>
      </c>
      <c r="F19">
        <v>104.42319617049201</v>
      </c>
      <c r="I19" t="s">
        <v>326</v>
      </c>
    </row>
    <row r="20" spans="1:9" x14ac:dyDescent="0.2">
      <c r="A20" t="s">
        <v>52</v>
      </c>
      <c r="B20">
        <v>14</v>
      </c>
      <c r="C20" t="s">
        <v>79</v>
      </c>
      <c r="D20">
        <v>2</v>
      </c>
      <c r="E20">
        <v>500</v>
      </c>
      <c r="F20">
        <v>104.42319617049201</v>
      </c>
      <c r="H20" t="s">
        <v>321</v>
      </c>
    </row>
    <row r="21" spans="1:9" x14ac:dyDescent="0.2">
      <c r="A21" t="s">
        <v>52</v>
      </c>
      <c r="B21">
        <v>15</v>
      </c>
      <c r="C21" t="s">
        <v>81</v>
      </c>
      <c r="D21">
        <v>1</v>
      </c>
      <c r="E21">
        <v>500</v>
      </c>
      <c r="F21">
        <v>105.265897657488</v>
      </c>
      <c r="H21" t="s">
        <v>321</v>
      </c>
    </row>
    <row r="22" spans="1:9" x14ac:dyDescent="0.2">
      <c r="A22" t="s">
        <v>52</v>
      </c>
      <c r="B22">
        <v>15</v>
      </c>
      <c r="C22" t="s">
        <v>81</v>
      </c>
      <c r="D22">
        <v>2</v>
      </c>
      <c r="E22">
        <v>500</v>
      </c>
      <c r="F22">
        <v>105.265897657488</v>
      </c>
      <c r="H22" t="s">
        <v>321</v>
      </c>
    </row>
    <row r="23" spans="1:9" x14ac:dyDescent="0.2">
      <c r="A23" t="s">
        <v>52</v>
      </c>
      <c r="B23">
        <v>18</v>
      </c>
      <c r="C23" t="s">
        <v>87</v>
      </c>
      <c r="D23">
        <v>1</v>
      </c>
      <c r="E23">
        <v>500</v>
      </c>
      <c r="F23">
        <v>89.250502422763702</v>
      </c>
      <c r="H23" t="s">
        <v>321</v>
      </c>
    </row>
    <row r="24" spans="1:9" x14ac:dyDescent="0.2">
      <c r="A24" t="s">
        <v>52</v>
      </c>
      <c r="B24">
        <v>18</v>
      </c>
      <c r="C24" t="s">
        <v>87</v>
      </c>
      <c r="D24">
        <v>2</v>
      </c>
      <c r="E24">
        <v>500</v>
      </c>
      <c r="F24">
        <v>89.250502422763702</v>
      </c>
      <c r="H24" t="s">
        <v>321</v>
      </c>
    </row>
    <row r="25" spans="1:9" x14ac:dyDescent="0.2">
      <c r="A25" t="s">
        <v>52</v>
      </c>
      <c r="B25">
        <v>20</v>
      </c>
      <c r="C25" t="s">
        <v>91</v>
      </c>
      <c r="D25">
        <v>1</v>
      </c>
      <c r="E25">
        <v>500</v>
      </c>
      <c r="F25">
        <v>110.340639016795</v>
      </c>
      <c r="I25" t="s">
        <v>326</v>
      </c>
    </row>
    <row r="26" spans="1:9" x14ac:dyDescent="0.2">
      <c r="A26" t="s">
        <v>52</v>
      </c>
      <c r="B26">
        <v>20</v>
      </c>
      <c r="C26" t="s">
        <v>91</v>
      </c>
      <c r="D26">
        <v>2</v>
      </c>
      <c r="E26">
        <v>500</v>
      </c>
      <c r="F26">
        <v>110.340639016795</v>
      </c>
      <c r="H26" t="s">
        <v>322</v>
      </c>
    </row>
    <row r="27" spans="1:9" x14ac:dyDescent="0.2">
      <c r="A27" t="s">
        <v>52</v>
      </c>
      <c r="B27">
        <v>21</v>
      </c>
      <c r="C27" t="s">
        <v>93</v>
      </c>
      <c r="D27">
        <v>1</v>
      </c>
      <c r="E27">
        <v>500</v>
      </c>
      <c r="F27">
        <v>96.065095613018897</v>
      </c>
      <c r="H27" t="s">
        <v>321</v>
      </c>
    </row>
    <row r="28" spans="1:9" x14ac:dyDescent="0.2">
      <c r="A28" t="s">
        <v>52</v>
      </c>
      <c r="B28">
        <v>21</v>
      </c>
      <c r="C28" t="s">
        <v>93</v>
      </c>
      <c r="D28">
        <v>2</v>
      </c>
      <c r="E28">
        <v>500</v>
      </c>
      <c r="F28">
        <v>96.065095613018897</v>
      </c>
      <c r="H28" t="s">
        <v>322</v>
      </c>
    </row>
    <row r="29" spans="1:9" x14ac:dyDescent="0.2">
      <c r="A29" t="s">
        <v>52</v>
      </c>
      <c r="B29">
        <v>22</v>
      </c>
      <c r="C29" t="s">
        <v>95</v>
      </c>
      <c r="D29">
        <v>1</v>
      </c>
      <c r="E29">
        <v>500</v>
      </c>
      <c r="F29">
        <v>94.061775426335799</v>
      </c>
      <c r="H29" t="s">
        <v>321</v>
      </c>
    </row>
    <row r="30" spans="1:9" x14ac:dyDescent="0.2">
      <c r="A30" t="s">
        <v>52</v>
      </c>
      <c r="B30">
        <v>22</v>
      </c>
      <c r="C30" t="s">
        <v>95</v>
      </c>
      <c r="D30">
        <v>2</v>
      </c>
      <c r="E30">
        <v>500</v>
      </c>
      <c r="F30">
        <v>94.061775426335799</v>
      </c>
      <c r="H30" t="s">
        <v>321</v>
      </c>
    </row>
    <row r="31" spans="1:9" x14ac:dyDescent="0.2">
      <c r="A31" t="s">
        <v>52</v>
      </c>
      <c r="B31">
        <v>23</v>
      </c>
      <c r="C31" t="s">
        <v>97</v>
      </c>
      <c r="D31">
        <v>1</v>
      </c>
      <c r="E31">
        <v>500</v>
      </c>
      <c r="F31">
        <v>111.731253028521</v>
      </c>
      <c r="H31" t="s">
        <v>321</v>
      </c>
    </row>
    <row r="32" spans="1:9" x14ac:dyDescent="0.2">
      <c r="A32" t="s">
        <v>52</v>
      </c>
      <c r="B32">
        <v>23</v>
      </c>
      <c r="C32" t="s">
        <v>97</v>
      </c>
      <c r="D32">
        <v>2</v>
      </c>
      <c r="E32">
        <v>500</v>
      </c>
      <c r="F32">
        <v>111.731253028521</v>
      </c>
      <c r="H32" t="s">
        <v>322</v>
      </c>
    </row>
    <row r="34" spans="1:9" x14ac:dyDescent="0.2">
      <c r="A34" t="s">
        <v>101</v>
      </c>
      <c r="B34">
        <v>3</v>
      </c>
      <c r="C34" t="s">
        <v>106</v>
      </c>
      <c r="D34">
        <v>1</v>
      </c>
      <c r="E34">
        <v>250</v>
      </c>
      <c r="F34">
        <v>110.860816345215</v>
      </c>
      <c r="I34" t="s">
        <v>326</v>
      </c>
    </row>
    <row r="35" spans="1:9" x14ac:dyDescent="0.2">
      <c r="A35" t="s">
        <v>101</v>
      </c>
      <c r="B35">
        <v>3</v>
      </c>
      <c r="C35" t="s">
        <v>106</v>
      </c>
      <c r="D35">
        <v>2</v>
      </c>
      <c r="E35">
        <v>250</v>
      </c>
      <c r="F35">
        <v>110.860816345215</v>
      </c>
      <c r="H35" t="s">
        <v>321</v>
      </c>
    </row>
    <row r="43" spans="1:9" ht="25.5" x14ac:dyDescent="0.2">
      <c r="B43" s="17" t="s">
        <v>18</v>
      </c>
      <c r="C43" s="18">
        <v>1</v>
      </c>
      <c r="D43" t="s">
        <v>230</v>
      </c>
      <c r="E43">
        <v>1</v>
      </c>
      <c r="F43" s="12" t="s">
        <v>231</v>
      </c>
      <c r="H43" t="s">
        <v>323</v>
      </c>
    </row>
    <row r="44" spans="1:9" x14ac:dyDescent="0.2">
      <c r="E44">
        <v>2</v>
      </c>
      <c r="F44" s="12"/>
      <c r="H44" t="s">
        <v>323</v>
      </c>
    </row>
    <row r="45" spans="1:9" x14ac:dyDescent="0.2">
      <c r="E45">
        <v>3</v>
      </c>
      <c r="F45" s="12"/>
      <c r="H45" t="s">
        <v>327</v>
      </c>
    </row>
    <row r="46" spans="1:9" ht="76.5" x14ac:dyDescent="0.2">
      <c r="E46">
        <v>4</v>
      </c>
      <c r="F46" s="12" t="s">
        <v>232</v>
      </c>
      <c r="H46" t="s">
        <v>322</v>
      </c>
    </row>
    <row r="47" spans="1:9" ht="114.75" x14ac:dyDescent="0.2">
      <c r="B47" s="25"/>
      <c r="C47" s="26">
        <v>2</v>
      </c>
      <c r="D47" s="25" t="s">
        <v>234</v>
      </c>
      <c r="E47" s="25"/>
      <c r="F47" s="27" t="s">
        <v>235</v>
      </c>
    </row>
    <row r="48" spans="1:9" ht="153" x14ac:dyDescent="0.2">
      <c r="B48" s="25"/>
      <c r="C48" s="26" t="s">
        <v>238</v>
      </c>
      <c r="D48" s="25" t="s">
        <v>239</v>
      </c>
      <c r="E48" s="25">
        <v>1</v>
      </c>
      <c r="F48" s="27" t="s">
        <v>240</v>
      </c>
    </row>
    <row r="49" spans="2:8" ht="153" x14ac:dyDescent="0.2">
      <c r="E49">
        <v>2</v>
      </c>
      <c r="F49" s="12" t="s">
        <v>242</v>
      </c>
      <c r="H49" t="s">
        <v>327</v>
      </c>
    </row>
    <row r="50" spans="2:8" ht="25.5" x14ac:dyDescent="0.2">
      <c r="E50">
        <v>3</v>
      </c>
      <c r="F50" s="12" t="s">
        <v>243</v>
      </c>
      <c r="H50" t="s">
        <v>322</v>
      </c>
    </row>
    <row r="51" spans="2:8" ht="89.25" x14ac:dyDescent="0.2">
      <c r="C51" s="18">
        <v>4</v>
      </c>
      <c r="D51" t="s">
        <v>244</v>
      </c>
      <c r="E51">
        <v>1</v>
      </c>
      <c r="F51" s="12" t="s">
        <v>245</v>
      </c>
      <c r="H51" t="s">
        <v>327</v>
      </c>
    </row>
    <row r="52" spans="2:8" ht="25.5" x14ac:dyDescent="0.2">
      <c r="E52">
        <v>2</v>
      </c>
      <c r="F52" s="12" t="s">
        <v>243</v>
      </c>
      <c r="H52" t="s">
        <v>322</v>
      </c>
    </row>
    <row r="53" spans="2:8" ht="127.5" x14ac:dyDescent="0.2">
      <c r="C53">
        <v>5</v>
      </c>
      <c r="D53" t="s">
        <v>246</v>
      </c>
      <c r="E53">
        <v>1</v>
      </c>
      <c r="F53" s="12" t="s">
        <v>247</v>
      </c>
      <c r="H53" t="s">
        <v>327</v>
      </c>
    </row>
    <row r="54" spans="2:8" x14ac:dyDescent="0.2">
      <c r="E54">
        <v>2</v>
      </c>
      <c r="F54" s="12"/>
      <c r="H54" t="s">
        <v>323</v>
      </c>
    </row>
    <row r="55" spans="2:8" ht="63.75" x14ac:dyDescent="0.2">
      <c r="E55">
        <v>3</v>
      </c>
      <c r="F55" s="19" t="s">
        <v>248</v>
      </c>
      <c r="H55" t="s">
        <v>323</v>
      </c>
    </row>
    <row r="56" spans="2:8" x14ac:dyDescent="0.2">
      <c r="E56">
        <v>4</v>
      </c>
      <c r="F56" t="s">
        <v>243</v>
      </c>
      <c r="H56" t="s">
        <v>322</v>
      </c>
    </row>
    <row r="57" spans="2:8" ht="76.5" x14ac:dyDescent="0.2">
      <c r="B57" s="25"/>
      <c r="C57" s="26">
        <v>6</v>
      </c>
      <c r="D57" s="25" t="s">
        <v>249</v>
      </c>
      <c r="E57" s="25">
        <v>1</v>
      </c>
      <c r="F57" s="27" t="s">
        <v>250</v>
      </c>
    </row>
    <row r="58" spans="2:8" ht="25.5" x14ac:dyDescent="0.2">
      <c r="E58">
        <v>2</v>
      </c>
      <c r="F58" s="19" t="s">
        <v>243</v>
      </c>
      <c r="H58" t="s">
        <v>322</v>
      </c>
    </row>
    <row r="59" spans="2:8" ht="38.25" x14ac:dyDescent="0.2">
      <c r="C59" s="18">
        <v>7</v>
      </c>
      <c r="D59" t="s">
        <v>251</v>
      </c>
      <c r="E59">
        <v>1</v>
      </c>
      <c r="F59" s="19" t="s">
        <v>252</v>
      </c>
      <c r="H59" t="s">
        <v>321</v>
      </c>
    </row>
    <row r="60" spans="2:8" ht="63.75" x14ac:dyDescent="0.2">
      <c r="E60">
        <v>2</v>
      </c>
      <c r="F60" s="19" t="s">
        <v>248</v>
      </c>
      <c r="H60" t="s">
        <v>323</v>
      </c>
    </row>
    <row r="61" spans="2:8" ht="178.5" x14ac:dyDescent="0.2">
      <c r="B61" s="25"/>
      <c r="C61" s="26">
        <v>8</v>
      </c>
      <c r="D61" s="25" t="s">
        <v>253</v>
      </c>
      <c r="E61" s="25">
        <v>1</v>
      </c>
      <c r="F61" s="27" t="s">
        <v>254</v>
      </c>
    </row>
    <row r="62" spans="2:8" ht="76.5" x14ac:dyDescent="0.2">
      <c r="E62">
        <v>2</v>
      </c>
      <c r="F62" s="19" t="s">
        <v>255</v>
      </c>
      <c r="H62" t="s">
        <v>322</v>
      </c>
    </row>
    <row r="63" spans="2:8" ht="140.25" x14ac:dyDescent="0.2">
      <c r="B63" s="25"/>
      <c r="C63" s="26">
        <v>9</v>
      </c>
      <c r="D63" s="25" t="s">
        <v>256</v>
      </c>
      <c r="E63" s="25">
        <v>1</v>
      </c>
      <c r="F63" s="27" t="s">
        <v>257</v>
      </c>
    </row>
    <row r="64" spans="2:8" ht="127.5" x14ac:dyDescent="0.2">
      <c r="E64">
        <v>2</v>
      </c>
      <c r="F64" s="19" t="s">
        <v>258</v>
      </c>
      <c r="H64" t="s">
        <v>322</v>
      </c>
    </row>
    <row r="65" spans="2:8" ht="153" x14ac:dyDescent="0.2">
      <c r="B65" s="25"/>
      <c r="C65" s="26" t="s">
        <v>259</v>
      </c>
      <c r="D65" s="25" t="s">
        <v>260</v>
      </c>
      <c r="E65" s="25">
        <v>1</v>
      </c>
      <c r="F65" s="27" t="s">
        <v>261</v>
      </c>
    </row>
    <row r="66" spans="2:8" ht="216.75" x14ac:dyDescent="0.2">
      <c r="E66">
        <v>2</v>
      </c>
      <c r="F66" s="19" t="s">
        <v>262</v>
      </c>
      <c r="H66" t="s">
        <v>327</v>
      </c>
    </row>
    <row r="67" spans="2:8" ht="25.5" x14ac:dyDescent="0.2">
      <c r="E67">
        <v>3</v>
      </c>
      <c r="F67" s="19" t="s">
        <v>243</v>
      </c>
      <c r="H67" t="s">
        <v>322</v>
      </c>
    </row>
    <row r="68" spans="2:8" ht="76.5" x14ac:dyDescent="0.2">
      <c r="C68" s="18" t="s">
        <v>263</v>
      </c>
      <c r="D68" t="s">
        <v>264</v>
      </c>
      <c r="E68">
        <v>1</v>
      </c>
      <c r="F68" s="19" t="s">
        <v>265</v>
      </c>
      <c r="H68" t="s">
        <v>323</v>
      </c>
    </row>
    <row r="69" spans="2:8" ht="89.25" x14ac:dyDescent="0.2">
      <c r="E69">
        <v>2</v>
      </c>
      <c r="F69" s="19" t="s">
        <v>266</v>
      </c>
      <c r="H69" t="s">
        <v>327</v>
      </c>
    </row>
    <row r="70" spans="2:8" x14ac:dyDescent="0.2">
      <c r="B70" s="37"/>
      <c r="C70" s="37"/>
      <c r="D70" s="37"/>
      <c r="E70" s="37"/>
      <c r="F70" s="38"/>
    </row>
    <row r="71" spans="2:8" ht="38.25" x14ac:dyDescent="0.2">
      <c r="B71" s="17" t="s">
        <v>41</v>
      </c>
      <c r="C71" s="18">
        <v>1</v>
      </c>
      <c r="D71" t="s">
        <v>267</v>
      </c>
      <c r="E71">
        <v>1</v>
      </c>
      <c r="F71" s="12" t="s">
        <v>268</v>
      </c>
      <c r="H71" t="s">
        <v>327</v>
      </c>
    </row>
    <row r="72" spans="2:8" ht="51" x14ac:dyDescent="0.2">
      <c r="B72" s="41"/>
      <c r="C72" s="26"/>
      <c r="D72" s="25"/>
      <c r="E72" s="25">
        <v>2</v>
      </c>
      <c r="F72" s="27" t="s">
        <v>269</v>
      </c>
    </row>
    <row r="73" spans="2:8" ht="25.5" x14ac:dyDescent="0.2">
      <c r="E73">
        <v>3</v>
      </c>
      <c r="F73" s="19" t="s">
        <v>270</v>
      </c>
      <c r="H73" t="s">
        <v>327</v>
      </c>
    </row>
    <row r="74" spans="2:8" ht="76.5" x14ac:dyDescent="0.2">
      <c r="E74">
        <v>4</v>
      </c>
      <c r="F74" s="19" t="s">
        <v>271</v>
      </c>
      <c r="H74" t="s">
        <v>322</v>
      </c>
    </row>
    <row r="75" spans="2:8" ht="51" x14ac:dyDescent="0.2">
      <c r="C75" s="18">
        <v>2</v>
      </c>
      <c r="D75" t="s">
        <v>272</v>
      </c>
      <c r="E75">
        <v>1</v>
      </c>
      <c r="F75" s="19" t="s">
        <v>273</v>
      </c>
      <c r="H75" t="s">
        <v>327</v>
      </c>
    </row>
    <row r="76" spans="2:8" ht="25.5" x14ac:dyDescent="0.2">
      <c r="E76">
        <v>2</v>
      </c>
      <c r="F76" s="19" t="s">
        <v>243</v>
      </c>
      <c r="H76" t="s">
        <v>322</v>
      </c>
    </row>
    <row r="77" spans="2:8" ht="25.5" x14ac:dyDescent="0.2">
      <c r="C77" s="18">
        <v>3</v>
      </c>
      <c r="D77" t="s">
        <v>274</v>
      </c>
      <c r="E77">
        <v>1</v>
      </c>
      <c r="F77" s="19" t="s">
        <v>275</v>
      </c>
      <c r="H77" t="s">
        <v>321</v>
      </c>
    </row>
    <row r="78" spans="2:8" ht="25.5" x14ac:dyDescent="0.2">
      <c r="E78">
        <v>2</v>
      </c>
      <c r="F78" s="19" t="s">
        <v>243</v>
      </c>
      <c r="H78" t="s">
        <v>322</v>
      </c>
    </row>
    <row r="79" spans="2:8" ht="76.5" x14ac:dyDescent="0.2">
      <c r="C79" s="18">
        <v>4</v>
      </c>
      <c r="D79" t="s">
        <v>276</v>
      </c>
      <c r="E79">
        <v>1</v>
      </c>
      <c r="F79" s="19" t="s">
        <v>277</v>
      </c>
      <c r="H79" t="s">
        <v>321</v>
      </c>
    </row>
    <row r="80" spans="2:8" ht="51" x14ac:dyDescent="0.2">
      <c r="C80" s="18">
        <v>5</v>
      </c>
      <c r="D80" t="s">
        <v>278</v>
      </c>
      <c r="E80">
        <v>1</v>
      </c>
      <c r="F80" s="19" t="s">
        <v>279</v>
      </c>
      <c r="H80" t="s">
        <v>327</v>
      </c>
    </row>
    <row r="81" spans="2:8" ht="25.5" x14ac:dyDescent="0.2">
      <c r="E81">
        <v>2</v>
      </c>
      <c r="F81" s="19" t="s">
        <v>243</v>
      </c>
      <c r="H81" t="s">
        <v>322</v>
      </c>
    </row>
    <row r="82" spans="2:8" ht="38.25" x14ac:dyDescent="0.2">
      <c r="C82" s="18">
        <v>6</v>
      </c>
      <c r="D82" t="s">
        <v>280</v>
      </c>
      <c r="E82">
        <v>1</v>
      </c>
      <c r="F82" s="19" t="s">
        <v>281</v>
      </c>
      <c r="H82" t="s">
        <v>323</v>
      </c>
    </row>
    <row r="83" spans="2:8" ht="25.5" x14ac:dyDescent="0.2">
      <c r="E83">
        <v>2</v>
      </c>
      <c r="F83" s="19" t="s">
        <v>243</v>
      </c>
      <c r="H83" t="s">
        <v>322</v>
      </c>
    </row>
    <row r="84" spans="2:8" ht="89.25" x14ac:dyDescent="0.2">
      <c r="C84" s="18">
        <v>7</v>
      </c>
      <c r="D84" t="s">
        <v>282</v>
      </c>
      <c r="E84">
        <v>1</v>
      </c>
      <c r="F84" s="19" t="s">
        <v>283</v>
      </c>
      <c r="H84" t="s">
        <v>321</v>
      </c>
    </row>
    <row r="85" spans="2:8" ht="25.5" x14ac:dyDescent="0.2">
      <c r="E85">
        <v>2</v>
      </c>
      <c r="F85" s="19" t="s">
        <v>284</v>
      </c>
      <c r="H85" t="s">
        <v>322</v>
      </c>
    </row>
    <row r="86" spans="2:8" x14ac:dyDescent="0.2">
      <c r="B86" s="42"/>
      <c r="C86" s="42"/>
      <c r="D86" s="42"/>
      <c r="E86" s="42"/>
      <c r="F86" s="43"/>
    </row>
    <row r="87" spans="2:8" ht="38.25" x14ac:dyDescent="0.2">
      <c r="B87" s="17" t="s">
        <v>101</v>
      </c>
      <c r="C87" s="18">
        <v>1</v>
      </c>
      <c r="D87" t="s">
        <v>285</v>
      </c>
      <c r="E87">
        <v>1</v>
      </c>
      <c r="F87" s="19" t="s">
        <v>286</v>
      </c>
      <c r="H87" t="s">
        <v>327</v>
      </c>
    </row>
    <row r="88" spans="2:8" ht="76.5" x14ac:dyDescent="0.2">
      <c r="E88">
        <v>2</v>
      </c>
      <c r="F88" s="19" t="s">
        <v>287</v>
      </c>
      <c r="H88" t="s">
        <v>322</v>
      </c>
    </row>
    <row r="89" spans="2:8" ht="76.5" x14ac:dyDescent="0.2">
      <c r="B89" s="41"/>
      <c r="C89" s="26" t="s">
        <v>288</v>
      </c>
      <c r="D89" s="25" t="s">
        <v>289</v>
      </c>
      <c r="E89" s="25"/>
      <c r="F89" s="27" t="s">
        <v>290</v>
      </c>
    </row>
    <row r="90" spans="2:8" ht="25.5" x14ac:dyDescent="0.2">
      <c r="B90" s="17"/>
      <c r="C90" s="18" t="s">
        <v>292</v>
      </c>
      <c r="D90" t="s">
        <v>293</v>
      </c>
      <c r="E90">
        <v>1</v>
      </c>
      <c r="F90" s="19" t="s">
        <v>294</v>
      </c>
      <c r="H90" t="s">
        <v>323</v>
      </c>
    </row>
    <row r="91" spans="2:8" ht="25.5" x14ac:dyDescent="0.2">
      <c r="B91" s="17"/>
      <c r="E91">
        <v>2</v>
      </c>
      <c r="F91" s="19" t="s">
        <v>284</v>
      </c>
      <c r="H91" t="s">
        <v>322</v>
      </c>
    </row>
    <row r="92" spans="2:8" x14ac:dyDescent="0.2">
      <c r="B92" s="17"/>
      <c r="C92" s="18">
        <v>3</v>
      </c>
      <c r="D92" t="s">
        <v>295</v>
      </c>
      <c r="E92">
        <v>1</v>
      </c>
      <c r="H92" t="s">
        <v>327</v>
      </c>
    </row>
    <row r="93" spans="2:8" ht="25.5" x14ac:dyDescent="0.2">
      <c r="B93" s="17"/>
      <c r="E93">
        <v>2</v>
      </c>
      <c r="F93" s="19" t="s">
        <v>284</v>
      </c>
      <c r="H93" t="s">
        <v>322</v>
      </c>
    </row>
    <row r="94" spans="2:8" ht="51" x14ac:dyDescent="0.2">
      <c r="B94" s="17"/>
      <c r="C94" s="18">
        <v>4</v>
      </c>
      <c r="D94" t="s">
        <v>296</v>
      </c>
      <c r="E94">
        <v>1</v>
      </c>
      <c r="F94" s="19" t="s">
        <v>273</v>
      </c>
      <c r="H94" t="s">
        <v>327</v>
      </c>
    </row>
    <row r="95" spans="2:8" x14ac:dyDescent="0.2">
      <c r="B95" s="17"/>
      <c r="E95">
        <v>2</v>
      </c>
      <c r="H95" t="s">
        <v>323</v>
      </c>
    </row>
    <row r="96" spans="2:8" ht="25.5" x14ac:dyDescent="0.2">
      <c r="B96" s="17"/>
      <c r="E96">
        <v>3</v>
      </c>
      <c r="F96" s="19" t="s">
        <v>284</v>
      </c>
      <c r="H96" t="s">
        <v>322</v>
      </c>
    </row>
    <row r="97" spans="2:8" ht="25.5" x14ac:dyDescent="0.2">
      <c r="B97" s="17"/>
      <c r="C97" s="18">
        <v>5</v>
      </c>
      <c r="D97" t="s">
        <v>297</v>
      </c>
      <c r="E97">
        <v>1</v>
      </c>
      <c r="F97" s="19" t="s">
        <v>275</v>
      </c>
      <c r="H97" t="s">
        <v>323</v>
      </c>
    </row>
    <row r="98" spans="2:8" ht="25.5" x14ac:dyDescent="0.2">
      <c r="B98" s="17"/>
      <c r="E98">
        <v>2</v>
      </c>
      <c r="F98" s="19" t="s">
        <v>298</v>
      </c>
    </row>
    <row r="99" spans="2:8" ht="25.5" x14ac:dyDescent="0.2">
      <c r="B99" s="17"/>
      <c r="E99">
        <v>3</v>
      </c>
      <c r="F99" s="19" t="s">
        <v>243</v>
      </c>
    </row>
    <row r="100" spans="2:8" ht="25.5" x14ac:dyDescent="0.2">
      <c r="B100" s="17"/>
      <c r="C100" s="18">
        <v>6</v>
      </c>
      <c r="D100" t="s">
        <v>299</v>
      </c>
      <c r="E100">
        <v>1</v>
      </c>
      <c r="F100" s="19" t="s">
        <v>275</v>
      </c>
      <c r="H100" t="s">
        <v>323</v>
      </c>
    </row>
    <row r="101" spans="2:8" x14ac:dyDescent="0.2">
      <c r="B101" s="17"/>
      <c r="E101">
        <v>2</v>
      </c>
      <c r="H101" t="s">
        <v>323</v>
      </c>
    </row>
    <row r="102" spans="2:8" ht="25.5" x14ac:dyDescent="0.2">
      <c r="B102" s="17"/>
      <c r="E102">
        <v>3</v>
      </c>
      <c r="F102" s="19" t="s">
        <v>243</v>
      </c>
      <c r="H102" t="s">
        <v>322</v>
      </c>
    </row>
    <row r="103" spans="2:8" x14ac:dyDescent="0.2">
      <c r="B103" s="17"/>
      <c r="C103" s="18">
        <v>7</v>
      </c>
      <c r="D103" t="s">
        <v>300</v>
      </c>
      <c r="E103">
        <v>1</v>
      </c>
      <c r="H103" t="s">
        <v>327</v>
      </c>
    </row>
    <row r="104" spans="2:8" ht="25.5" x14ac:dyDescent="0.2">
      <c r="B104" s="17"/>
      <c r="E104">
        <v>2</v>
      </c>
      <c r="F104" s="19" t="s">
        <v>243</v>
      </c>
      <c r="H104" t="s">
        <v>322</v>
      </c>
    </row>
    <row r="105" spans="2:8" ht="51" x14ac:dyDescent="0.2">
      <c r="B105" s="17"/>
      <c r="C105" s="18">
        <v>8</v>
      </c>
      <c r="D105" t="s">
        <v>301</v>
      </c>
      <c r="E105">
        <v>1</v>
      </c>
      <c r="F105" s="19" t="s">
        <v>273</v>
      </c>
      <c r="H105" t="s">
        <v>323</v>
      </c>
    </row>
    <row r="106" spans="2:8" x14ac:dyDescent="0.2">
      <c r="B106" s="17"/>
      <c r="E106">
        <v>2</v>
      </c>
      <c r="H106" t="s">
        <v>323</v>
      </c>
    </row>
    <row r="107" spans="2:8" ht="25.5" x14ac:dyDescent="0.2">
      <c r="B107" s="17"/>
      <c r="E107">
        <v>3</v>
      </c>
      <c r="F107" s="19" t="s">
        <v>243</v>
      </c>
      <c r="H107" t="s">
        <v>322</v>
      </c>
    </row>
    <row r="108" spans="2:8" ht="25.5" x14ac:dyDescent="0.2">
      <c r="B108" s="17"/>
      <c r="C108" s="18" t="s">
        <v>303</v>
      </c>
      <c r="D108" t="s">
        <v>304</v>
      </c>
      <c r="E108">
        <v>1</v>
      </c>
      <c r="F108" s="19" t="s">
        <v>275</v>
      </c>
      <c r="H108" t="s">
        <v>323</v>
      </c>
    </row>
    <row r="109" spans="2:8" ht="25.5" x14ac:dyDescent="0.2">
      <c r="B109" s="17"/>
      <c r="E109">
        <v>2</v>
      </c>
      <c r="F109" s="19" t="s">
        <v>305</v>
      </c>
      <c r="H109" t="s">
        <v>323</v>
      </c>
    </row>
    <row r="110" spans="2:8" ht="25.5" x14ac:dyDescent="0.2">
      <c r="B110" s="17"/>
      <c r="E110">
        <v>3</v>
      </c>
      <c r="F110" s="19" t="s">
        <v>243</v>
      </c>
      <c r="H110" t="s">
        <v>322</v>
      </c>
    </row>
    <row r="111" spans="2:8" x14ac:dyDescent="0.2">
      <c r="B111" s="17"/>
      <c r="C111" s="18" t="s">
        <v>306</v>
      </c>
      <c r="D111" t="s">
        <v>307</v>
      </c>
      <c r="E111">
        <v>1</v>
      </c>
      <c r="H111" t="s">
        <v>323</v>
      </c>
    </row>
    <row r="112" spans="2:8" x14ac:dyDescent="0.2">
      <c r="B112" s="17"/>
      <c r="C112" s="18"/>
      <c r="E112">
        <v>2</v>
      </c>
      <c r="H112" t="s">
        <v>327</v>
      </c>
    </row>
    <row r="113" spans="2:8" ht="25.5" x14ac:dyDescent="0.2">
      <c r="B113" s="17"/>
      <c r="C113" s="18"/>
      <c r="E113">
        <v>3</v>
      </c>
      <c r="F113" s="19" t="s">
        <v>243</v>
      </c>
      <c r="H113" t="s">
        <v>322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No of jumps</vt:lpstr>
      <vt:lpstr>Above&amp;Below water surface</vt:lpstr>
      <vt:lpstr>Individual Jump Data AUTOMATED</vt:lpstr>
      <vt:lpstr>Strict Jump Def Data AUTOMATED</vt:lpstr>
      <vt:lpstr>StrictJmpDef---AVG</vt:lpstr>
      <vt:lpstr>LandLocomotion Data</vt:lpstr>
      <vt:lpstr>landing position histogram</vt:lpstr>
      <vt:lpstr>'LandLocomotion Data'!Print_Area</vt:lpstr>
      <vt:lpstr>'LandLocomotion Data'!Print_Area_0</vt:lpstr>
      <vt:lpstr>'LandLocomotion Data'!Print_Area_0_0</vt:lpstr>
      <vt:lpstr>'LandLocomotion Data'!Print_Area_0_0_0</vt:lpstr>
      <vt:lpstr>'LandLocomotion Data'!Print_Area_0_0_0_0</vt:lpstr>
      <vt:lpstr>'LandLocomotion Data'!Print_Area_0_0_0_0_0</vt:lpstr>
      <vt:lpstr>'LandLocomotion Data'!Print_Area_0_0_0_0_0_0</vt:lpstr>
      <vt:lpstr>'LandLocomotion Data'!Print_Area_0_0_0_0_0_0_0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talcat</dc:creator>
  <dc:description/>
  <cp:lastModifiedBy>Talia Weiss</cp:lastModifiedBy>
  <cp:revision>99</cp:revision>
  <dcterms:created xsi:type="dcterms:W3CDTF">2018-07-24T12:54:50Z</dcterms:created>
  <dcterms:modified xsi:type="dcterms:W3CDTF">2021-11-19T17:41:47Z</dcterms:modified>
  <dc:language>en-US</dc:language>
</cp:coreProperties>
</file>