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omments7.xml" ContentType="application/vnd.openxmlformats-officedocument.spreadsheetml.comments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7.xml" ContentType="application/vnd.openxmlformats-officedocument.drawingml.chartshape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9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10.xml" ContentType="application/vnd.openxmlformats-officedocument.drawingml.chartshapes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11.xml" ContentType="application/vnd.openxmlformats-officedocument.drawingml.chartshapes+xml"/>
  <Override PartName="/xl/comments8.xml" ContentType="application/vnd.openxmlformats-officedocument.spreadsheetml.comments+xml"/>
  <Override PartName="/xl/drawings/drawing12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13.xml" ContentType="application/vnd.openxmlformats-officedocument.drawingml.chartshapes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14.xml" ContentType="application/vnd.openxmlformats-officedocument.drawingml.chartshapes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15.xml" ContentType="application/vnd.openxmlformats-officedocument.drawingml.chartshapes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49.xml" ContentType="application/vnd.openxmlformats-officedocument.drawingml.chart+xml"/>
  <Override PartName="/xl/drawings/drawing18.xml" ContentType="application/vnd.openxmlformats-officedocument.drawingml.chartshapes+xml"/>
  <Override PartName="/xl/charts/chart50.xml" ContentType="application/vnd.openxmlformats-officedocument.drawingml.chart+xml"/>
  <Override PartName="/xl/drawings/drawing19.xml" ContentType="application/vnd.openxmlformats-officedocument.drawingml.chartshapes+xml"/>
  <Override PartName="/xl/charts/chart51.xml" ContentType="application/vnd.openxmlformats-officedocument.drawingml.chart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52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22.xml" ContentType="application/vnd.openxmlformats-officedocument.drawingml.chartshapes+xml"/>
  <Override PartName="/xl/charts/chart53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54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25.xml" ContentType="application/vnd.openxmlformats-officedocument.drawingml.chartshapes+xml"/>
  <Override PartName="/xl/charts/chart55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26.xml" ContentType="application/vnd.openxmlformats-officedocument.drawingml.chartshapes+xml"/>
  <Override PartName="/xl/charts/chart56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57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29.xml" ContentType="application/vnd.openxmlformats-officedocument.drawingml.chartshapes+xml"/>
  <Override PartName="/xl/charts/chart58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30.xml" ContentType="application/vnd.openxmlformats-officedocument.drawing+xml"/>
  <Override PartName="/xl/charts/chart59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31.xml" ContentType="application/vnd.openxmlformats-officedocument.drawingml.chartshapes+xml"/>
  <Override PartName="/xl/drawings/drawing32.xml" ContentType="application/vnd.openxmlformats-officedocument.drawing+xml"/>
  <Override PartName="/xl/charts/chart60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33.xml" ContentType="application/vnd.openxmlformats-officedocument.drawingml.chartshapes+xml"/>
  <Override PartName="/xl/charts/chart61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62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36.xml" ContentType="application/vnd.openxmlformats-officedocument.drawing+xml"/>
  <Override PartName="/xl/charts/chart63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37.xml" ContentType="application/vnd.openxmlformats-officedocument.drawingml.chartshapes+xml"/>
  <Override PartName="/xl/drawings/drawing38.xml" ContentType="application/vnd.openxmlformats-officedocument.drawing+xml"/>
  <Override PartName="/xl/charts/chart64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5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6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7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8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9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70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charts/chart71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72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drawings/drawing4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Claude Project\MEBU Database\EXPERIMENT DATA\"/>
    </mc:Choice>
  </mc:AlternateContent>
  <xr:revisionPtr revIDLastSave="0" documentId="13_ncr:1_{CBF52563-0B2D-427A-9855-7F9EC1745BAE}" xr6:coauthVersionLast="47" xr6:coauthVersionMax="47" xr10:uidLastSave="{00000000-0000-0000-0000-000000000000}"/>
  <bookViews>
    <workbookView xWindow="-120" yWindow="-120" windowWidth="38640" windowHeight="15720" tabRatio="901" xr2:uid="{7ABCFBB2-F5C9-4860-BDAB-D4EB52B92FC9}"/>
  </bookViews>
  <sheets>
    <sheet name="ISV" sheetId="65" r:id="rId1"/>
    <sheet name="LTO DAILY" sheetId="6" r:id="rId2"/>
    <sheet name="HPS DAILY" sheetId="7" r:id="rId3"/>
    <sheet name="LCF ABQ3358 Products" sheetId="79" r:id="rId4"/>
    <sheet name="LCF LS Products" sheetId="72" r:id="rId5"/>
    <sheet name="LCF HS Products" sheetId="74" r:id="rId6"/>
    <sheet name="SCEP FULL TEST" sheetId="71" r:id="rId7"/>
    <sheet name="CII" sheetId="51" r:id="rId8"/>
    <sheet name="HPS LTO DAILY " sheetId="8" r:id="rId9"/>
    <sheet name="Lab Results Summary" sheetId="21" r:id="rId10"/>
    <sheet name="CatConv" sheetId="59" r:id="rId11"/>
    <sheet name="FeedStock_Summ" sheetId="46" r:id="rId12"/>
    <sheet name="Master Template" sheetId="4" r:id="rId13"/>
    <sheet name="MetConv_Ni_V" sheetId="62" r:id="rId14"/>
    <sheet name="Condition" sheetId="66" r:id="rId15"/>
    <sheet name="CrkConv" sheetId="67" r:id="rId16"/>
    <sheet name="Breakdown Yld" sheetId="27" r:id="rId17"/>
    <sheet name="API" sheetId="70" r:id="rId18"/>
    <sheet name="SedM" sheetId="38" r:id="rId19"/>
    <sheet name="MetConv(Ni+V)" sheetId="23" r:id="rId20"/>
    <sheet name="McrConv" sheetId="24" r:id="rId21"/>
    <sheet name="LTO Split" sheetId="75" r:id="rId22"/>
    <sheet name="Average" sheetId="76" r:id="rId23"/>
    <sheet name="HPS Comparing" sheetId="68" r:id="rId24"/>
    <sheet name="Kinetic" sheetId="69" r:id="rId25"/>
    <sheet name="Flowrate" sheetId="78" r:id="rId26"/>
    <sheet name="Rx" sheetId="61" r:id="rId27"/>
    <sheet name="To do list" sheetId="16" r:id="rId28"/>
    <sheet name="Sheet2" sheetId="77" r:id="rId29"/>
  </sheets>
  <externalReferences>
    <externalReference r:id="rId30"/>
  </externalReferences>
  <definedNames>
    <definedName name="AllottedFunds">#REF!</definedName>
    <definedName name="ColumnTitle2">#REF!</definedName>
    <definedName name="ColumnTitleRegion1..D4.2">#REF!</definedName>
    <definedName name="FundsRemaining">INDEX(#REF!,ROWS(#REF!),1)</definedName>
    <definedName name="FundsRemainingLabel">#REF!</definedName>
    <definedName name="FundsUsed">#REF!</definedName>
    <definedName name="FundsUsedLabel">#REF!</definedName>
    <definedName name="_xlnm.Print_Area" localSheetId="10">CatConv!$A$1:$S$40</definedName>
    <definedName name="_xlnm.Print_Area" localSheetId="23">'HPS Comparing'!$C$1:$N$79</definedName>
    <definedName name="_xlnm.Print_Area" localSheetId="2">'HPS DAILY'!$D$6:$N$90</definedName>
    <definedName name="_xlnm.Print_Area" localSheetId="8">'HPS LTO DAILY '!$C$1:$N$79</definedName>
    <definedName name="_xlnm.Print_Area" localSheetId="0">ISV!$D$6:$K$89</definedName>
    <definedName name="_xlnm.Print_Area" localSheetId="9">'Lab Results Summary'!$A$1:$S$34</definedName>
    <definedName name="_xlnm.Print_Area" localSheetId="1">'LTO DAILY'!$D$5:$H$68</definedName>
    <definedName name="_xlnm.Print_Area" localSheetId="20">McrConv!$A$1:$S$40</definedName>
    <definedName name="_xlnm.Print_Area" localSheetId="19">'MetConv(Ni+V)'!$A$1:$U$44</definedName>
    <definedName name="_xlnm.Print_Area" localSheetId="13">MetConv_Ni_V!$A$1:$U$44</definedName>
    <definedName name="RowTitleRegion1..C11">#REF!</definedName>
    <definedName name="Tit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156" i="4" l="1"/>
  <c r="R135" i="4"/>
  <c r="S135" i="4"/>
  <c r="T135" i="4"/>
  <c r="U135" i="4"/>
  <c r="Q135" i="4"/>
  <c r="P135" i="4"/>
  <c r="L135" i="4"/>
  <c r="M135" i="4"/>
  <c r="N135" i="4"/>
  <c r="O135" i="4"/>
  <c r="K135" i="4"/>
  <c r="J135" i="4"/>
  <c r="G135" i="4"/>
  <c r="H135" i="4"/>
  <c r="I135" i="4"/>
  <c r="F135" i="4"/>
  <c r="I261" i="4"/>
  <c r="AE200" i="4" l="1"/>
  <c r="AE199" i="4"/>
  <c r="AD200" i="4"/>
  <c r="AD199" i="4"/>
  <c r="AC200" i="4"/>
  <c r="AC199" i="4"/>
  <c r="AD187" i="4"/>
  <c r="AD186" i="4"/>
  <c r="AC186" i="4"/>
  <c r="AC187" i="4"/>
  <c r="AE187" i="4"/>
  <c r="AE186" i="4"/>
  <c r="AC164" i="4"/>
  <c r="AE262" i="4"/>
  <c r="AE261" i="4"/>
  <c r="AE260" i="4"/>
  <c r="AE259" i="4"/>
  <c r="AE257" i="4"/>
  <c r="AE256" i="4"/>
  <c r="AE254" i="4"/>
  <c r="AE253" i="4"/>
  <c r="AE241" i="4"/>
  <c r="AE240" i="4"/>
  <c r="AE229" i="4"/>
  <c r="AE228" i="4"/>
  <c r="AE227" i="4"/>
  <c r="AE226" i="4"/>
  <c r="AE164" i="4"/>
  <c r="AE163" i="4"/>
  <c r="AE141" i="4"/>
  <c r="AE140" i="4"/>
  <c r="AE266" i="4"/>
  <c r="AE265" i="4"/>
  <c r="BE59" i="4"/>
  <c r="AC262" i="4"/>
  <c r="AC261" i="4"/>
  <c r="AC260" i="4"/>
  <c r="AC259" i="4"/>
  <c r="AC256" i="4"/>
  <c r="AC257" i="4"/>
  <c r="AC254" i="4"/>
  <c r="AC253" i="4"/>
  <c r="H252" i="4"/>
  <c r="I252" i="4"/>
  <c r="AD164" i="4"/>
  <c r="AD163" i="4"/>
  <c r="AC163" i="4"/>
  <c r="AD141" i="4"/>
  <c r="AD140" i="4"/>
  <c r="AC141" i="4"/>
  <c r="AC140" i="4"/>
  <c r="D43" i="78" l="1"/>
  <c r="I32" i="78"/>
  <c r="D33" i="78"/>
  <c r="D34" i="78"/>
  <c r="D35" i="78"/>
  <c r="D36" i="78"/>
  <c r="D37" i="78"/>
  <c r="D38" i="78"/>
  <c r="D39" i="78"/>
  <c r="D40" i="78"/>
  <c r="D42" i="78"/>
  <c r="D32" i="78"/>
  <c r="D30" i="78"/>
  <c r="D26" i="78"/>
  <c r="D22" i="78"/>
  <c r="D18" i="78"/>
  <c r="D17" i="78"/>
  <c r="D16" i="78"/>
  <c r="D15" i="78"/>
  <c r="D13" i="78"/>
  <c r="D11" i="78"/>
  <c r="D9" i="78"/>
  <c r="I24" i="78"/>
  <c r="I25" i="78"/>
  <c r="I26" i="78"/>
  <c r="I27" i="78"/>
  <c r="I28" i="78"/>
  <c r="I29" i="78"/>
  <c r="I31" i="78"/>
  <c r="I23" i="78"/>
  <c r="I22" i="78"/>
  <c r="I21" i="78"/>
  <c r="I19" i="78"/>
  <c r="I3" i="78"/>
  <c r="I18" i="78"/>
  <c r="I17" i="78"/>
  <c r="I15" i="78"/>
  <c r="I13" i="78"/>
  <c r="I12" i="78"/>
  <c r="I11" i="78"/>
  <c r="I9" i="78"/>
  <c r="I8" i="78"/>
  <c r="I7" i="78"/>
  <c r="I5" i="78"/>
  <c r="D7" i="78"/>
  <c r="D4" i="78"/>
  <c r="I2" i="78"/>
  <c r="I34" i="78" s="1"/>
  <c r="D3" i="78"/>
  <c r="D8" i="78"/>
  <c r="D2" i="78"/>
  <c r="D45" i="78" s="1"/>
  <c r="AC229" i="4"/>
  <c r="AC228" i="4"/>
  <c r="AD229" i="4"/>
  <c r="AD228" i="4"/>
  <c r="AC226" i="4"/>
  <c r="AC227" i="4"/>
  <c r="AD226" i="4"/>
  <c r="AD227" i="4"/>
  <c r="AC265" i="4"/>
  <c r="AC266" i="4"/>
  <c r="AC241" i="4"/>
  <c r="AC240" i="4"/>
  <c r="AD266" i="4"/>
  <c r="AD265" i="4"/>
  <c r="AD262" i="4"/>
  <c r="AD261" i="4"/>
  <c r="AD260" i="4"/>
  <c r="AD259" i="4"/>
  <c r="AD256" i="4"/>
  <c r="AD257" i="4"/>
  <c r="AD254" i="4"/>
  <c r="AD253" i="4"/>
  <c r="AD241" i="4"/>
  <c r="AD240" i="4"/>
  <c r="G8" i="76"/>
  <c r="G9" i="76"/>
  <c r="G10" i="76"/>
  <c r="G7" i="76"/>
  <c r="F4" i="76"/>
  <c r="F5" i="76"/>
  <c r="F6" i="76"/>
  <c r="F7" i="76"/>
  <c r="F8" i="76"/>
  <c r="F9" i="76"/>
  <c r="F10" i="76"/>
  <c r="L11" i="76"/>
  <c r="L5" i="76"/>
  <c r="L6" i="76"/>
  <c r="L7" i="76"/>
  <c r="L8" i="76"/>
  <c r="L9" i="76"/>
  <c r="L10" i="76"/>
  <c r="L4" i="76"/>
  <c r="K11" i="76"/>
  <c r="K6" i="76"/>
  <c r="K5" i="76"/>
  <c r="K4" i="76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Y229" i="4"/>
  <c r="Z229" i="4"/>
  <c r="Z266" i="4"/>
  <c r="Y266" i="4"/>
  <c r="Z265" i="4"/>
  <c r="Y265" i="4"/>
  <c r="Z262" i="4"/>
  <c r="Y262" i="4"/>
  <c r="Z261" i="4"/>
  <c r="Y261" i="4"/>
  <c r="Z260" i="4"/>
  <c r="Y260" i="4"/>
  <c r="Z259" i="4"/>
  <c r="Y259" i="4"/>
  <c r="Z257" i="4"/>
  <c r="Y257" i="4"/>
  <c r="Z256" i="4"/>
  <c r="Y256" i="4"/>
  <c r="Z254" i="4"/>
  <c r="Y254" i="4"/>
  <c r="Z253" i="4"/>
  <c r="Y253" i="4"/>
  <c r="Z241" i="4"/>
  <c r="Y241" i="4"/>
  <c r="Z226" i="4"/>
  <c r="Z227" i="4"/>
  <c r="Y227" i="4"/>
  <c r="Z142" i="4"/>
  <c r="Y142" i="4"/>
  <c r="AD57" i="72" l="1"/>
  <c r="AB57" i="72"/>
  <c r="AB52" i="72" l="1"/>
  <c r="AD52" i="72"/>
  <c r="AB51" i="72"/>
  <c r="AD51" i="72"/>
  <c r="Z51" i="72"/>
  <c r="K19" i="72" l="1"/>
  <c r="J19" i="72"/>
  <c r="K19" i="79"/>
  <c r="J19" i="79"/>
  <c r="Z44" i="72" l="1"/>
  <c r="AA44" i="72"/>
  <c r="AB44" i="72"/>
  <c r="AC44" i="72"/>
  <c r="AD44" i="72"/>
  <c r="Y44" i="72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F162" i="4"/>
  <c r="K19" i="74"/>
  <c r="Y20" i="46"/>
  <c r="Y7" i="46"/>
  <c r="X20" i="46"/>
  <c r="X21" i="46" l="1"/>
  <c r="Y21" i="46"/>
  <c r="R38" i="46" l="1"/>
  <c r="S38" i="46" s="1"/>
  <c r="R36" i="46"/>
  <c r="S36" i="46" s="1"/>
  <c r="R37" i="46"/>
  <c r="S37" i="46" s="1"/>
  <c r="R35" i="46"/>
  <c r="S35" i="46" s="1"/>
  <c r="S39" i="46" s="1"/>
  <c r="S40" i="46" s="1"/>
  <c r="O35" i="46"/>
  <c r="N36" i="46"/>
  <c r="O36" i="46" s="1"/>
  <c r="N37" i="46"/>
  <c r="O37" i="46" s="1"/>
  <c r="N38" i="46"/>
  <c r="O38" i="46" s="1"/>
  <c r="N39" i="46"/>
  <c r="O39" i="46" s="1"/>
  <c r="N35" i="46"/>
  <c r="O40" i="46" l="1"/>
  <c r="O41" i="46" s="1"/>
  <c r="O41" i="70"/>
  <c r="P41" i="70" s="1"/>
  <c r="Q41" i="70" s="1"/>
  <c r="N41" i="70"/>
  <c r="M41" i="70"/>
  <c r="I41" i="70"/>
  <c r="J41" i="70" s="1"/>
  <c r="K41" i="70" s="1"/>
  <c r="L41" i="70" s="1"/>
  <c r="H41" i="70"/>
  <c r="G41" i="70"/>
  <c r="E41" i="70"/>
  <c r="F41" i="70" s="1"/>
  <c r="D41" i="70"/>
  <c r="C41" i="70"/>
  <c r="H10" i="7"/>
  <c r="I10" i="7"/>
  <c r="G10" i="7"/>
  <c r="G30" i="7" l="1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H30" i="7"/>
  <c r="I30" i="7"/>
  <c r="J30" i="7"/>
  <c r="K30" i="7"/>
  <c r="L30" i="7"/>
  <c r="M30" i="7"/>
  <c r="K9" i="76"/>
  <c r="K8" i="76"/>
  <c r="J11" i="76"/>
  <c r="J8" i="76" s="1"/>
  <c r="D5" i="76"/>
  <c r="D6" i="76"/>
  <c r="D7" i="76"/>
  <c r="D8" i="76"/>
  <c r="D11" i="76" s="1"/>
  <c r="E7" i="76" s="1"/>
  <c r="D9" i="76"/>
  <c r="E9" i="76" s="1"/>
  <c r="D10" i="76"/>
  <c r="E10" i="76" s="1"/>
  <c r="D4" i="76"/>
  <c r="F11" i="76" l="1"/>
  <c r="G4" i="76" s="1"/>
  <c r="K10" i="76"/>
  <c r="E8" i="76"/>
  <c r="E11" i="76" s="1"/>
  <c r="J7" i="76"/>
  <c r="J10" i="76"/>
  <c r="J9" i="76"/>
  <c r="G6" i="76" l="1"/>
  <c r="G5" i="76"/>
  <c r="AV7" i="68"/>
  <c r="AV8" i="68"/>
  <c r="AV9" i="68"/>
  <c r="AV10" i="68"/>
  <c r="AV11" i="68"/>
  <c r="AV12" i="68"/>
  <c r="AV13" i="68"/>
  <c r="AV14" i="68"/>
  <c r="AV15" i="68"/>
  <c r="AV16" i="68"/>
  <c r="AV17" i="68"/>
  <c r="AV18" i="68"/>
  <c r="AV19" i="68"/>
  <c r="AV20" i="68"/>
  <c r="AV21" i="68"/>
  <c r="AV22" i="68"/>
  <c r="AV23" i="68"/>
  <c r="AV24" i="68"/>
  <c r="AV25" i="68"/>
  <c r="AV26" i="68"/>
  <c r="AV27" i="68"/>
  <c r="AV28" i="68"/>
  <c r="AV29" i="68"/>
  <c r="AV30" i="68"/>
  <c r="AV31" i="68"/>
  <c r="AV32" i="68"/>
  <c r="AV33" i="68"/>
  <c r="AV34" i="68"/>
  <c r="AV35" i="68"/>
  <c r="AV36" i="68"/>
  <c r="AV37" i="68"/>
  <c r="AV38" i="68"/>
  <c r="AV39" i="68"/>
  <c r="AV40" i="68"/>
  <c r="AV41" i="68"/>
  <c r="AV42" i="68"/>
  <c r="AV43" i="68"/>
  <c r="AV44" i="68"/>
  <c r="AV45" i="68"/>
  <c r="AV46" i="68"/>
  <c r="AV47" i="68"/>
  <c r="AV48" i="68"/>
  <c r="AV49" i="68"/>
  <c r="AV50" i="68"/>
  <c r="AV51" i="68"/>
  <c r="AV52" i="68"/>
  <c r="AV53" i="68"/>
  <c r="AV54" i="68"/>
  <c r="AV55" i="68"/>
  <c r="AV56" i="68"/>
  <c r="AV57" i="68"/>
  <c r="AV58" i="68"/>
  <c r="AV59" i="68"/>
  <c r="AV60" i="68"/>
  <c r="AV61" i="68"/>
  <c r="AV62" i="68"/>
  <c r="AV63" i="68"/>
  <c r="AV64" i="68"/>
  <c r="AV65" i="68"/>
  <c r="AV66" i="68"/>
  <c r="AV67" i="68"/>
  <c r="AV68" i="68"/>
  <c r="AV69" i="68"/>
  <c r="AV70" i="68"/>
  <c r="AV71" i="68"/>
  <c r="AV72" i="68"/>
  <c r="AV73" i="68"/>
  <c r="AV74" i="68"/>
  <c r="AV75" i="68"/>
  <c r="AV76" i="68"/>
  <c r="AV77" i="68"/>
  <c r="AV78" i="68"/>
  <c r="AV79" i="68"/>
  <c r="AV80" i="68"/>
  <c r="AV81" i="68"/>
  <c r="AV82" i="68"/>
  <c r="AV83" i="68"/>
  <c r="AV84" i="68"/>
  <c r="AV85" i="68"/>
  <c r="AV86" i="68"/>
  <c r="AV87" i="68"/>
  <c r="AV88" i="68"/>
  <c r="AV89" i="68"/>
  <c r="AV90" i="68"/>
  <c r="AV91" i="68"/>
  <c r="AV92" i="68"/>
  <c r="AV93" i="68"/>
  <c r="AV94" i="68"/>
  <c r="AV95" i="68"/>
  <c r="AV6" i="68"/>
  <c r="U124" i="7"/>
  <c r="T124" i="7"/>
  <c r="S124" i="7"/>
  <c r="R124" i="7"/>
  <c r="Q124" i="7"/>
  <c r="P124" i="7"/>
  <c r="O124" i="7"/>
  <c r="R62" i="4" l="1"/>
  <c r="S62" i="4"/>
  <c r="T62" i="4"/>
  <c r="U62" i="4"/>
  <c r="Q62" i="4"/>
  <c r="P62" i="4"/>
  <c r="CW59" i="4" l="1"/>
  <c r="T21" i="46"/>
  <c r="T20" i="46"/>
  <c r="R21" i="46"/>
  <c r="L21" i="46"/>
  <c r="L20" i="46"/>
  <c r="J21" i="46"/>
  <c r="J20" i="46"/>
  <c r="R20" i="46"/>
  <c r="P21" i="46"/>
  <c r="N21" i="46"/>
  <c r="H31" i="46" l="1"/>
  <c r="G31" i="46"/>
  <c r="F31" i="46"/>
  <c r="E31" i="46"/>
  <c r="P20" i="46" l="1"/>
  <c r="N20" i="46"/>
  <c r="H21" i="46"/>
  <c r="G21" i="46"/>
  <c r="F21" i="46"/>
  <c r="E21" i="46"/>
  <c r="H20" i="46"/>
  <c r="G20" i="46"/>
  <c r="E20" i="46"/>
  <c r="F20" i="46"/>
  <c r="J59" i="4" l="1"/>
  <c r="P33" i="4"/>
  <c r="BL59" i="4" l="1"/>
  <c r="P26" i="4" l="1"/>
  <c r="Q26" i="4"/>
  <c r="R26" i="4"/>
  <c r="S26" i="4"/>
  <c r="T26" i="4"/>
  <c r="U26" i="4"/>
  <c r="BW59" i="4"/>
  <c r="U61" i="4" l="1"/>
  <c r="DH59" i="4"/>
  <c r="CP59" i="4"/>
  <c r="U59" i="4"/>
  <c r="U277" i="4" s="1"/>
  <c r="CO59" i="4"/>
  <c r="AN103" i="4"/>
  <c r="AN85" i="4"/>
  <c r="AN88" i="4"/>
  <c r="AN89" i="4"/>
  <c r="F265" i="4" a="1"/>
  <c r="V215" i="4"/>
  <c r="V218" i="4"/>
  <c r="V221" i="4"/>
  <c r="V224" i="4"/>
  <c r="V225" i="4"/>
  <c r="V212" i="4"/>
  <c r="V239" i="4" s="1"/>
  <c r="V169" i="4"/>
  <c r="V174" i="4"/>
  <c r="V132" i="4"/>
  <c r="BH26" i="4" a="1"/>
  <c r="BH26" i="4" s="1"/>
  <c r="BH24" i="4" a="1"/>
  <c r="BH24" i="4" s="1"/>
  <c r="BX59" i="4"/>
  <c r="BF59" i="4"/>
  <c r="BF33" i="4"/>
  <c r="AP30" i="4" a="1"/>
  <c r="AP30" i="4" s="1"/>
  <c r="AP28" i="4" a="1"/>
  <c r="AP28" i="4" s="1"/>
  <c r="AP26" i="4" a="1"/>
  <c r="AP26" i="4" s="1"/>
  <c r="AP24" i="4" a="1"/>
  <c r="AP24" i="4" s="1"/>
  <c r="AP22" i="4" a="1"/>
  <c r="AP22" i="4" s="1"/>
  <c r="AP20" i="4" a="1"/>
  <c r="AP20" i="4" s="1"/>
  <c r="AP18" i="4" a="1"/>
  <c r="AP18" i="4" s="1"/>
  <c r="BF36" i="4"/>
  <c r="BF37" i="4"/>
  <c r="BF38" i="4"/>
  <c r="BF39" i="4"/>
  <c r="V8" i="4" a="1"/>
  <c r="V8" i="4" s="1"/>
  <c r="U8" i="4" a="1"/>
  <c r="U8" i="4" s="1"/>
  <c r="V20" i="4"/>
  <c r="V88" i="4" s="1"/>
  <c r="V22" i="4"/>
  <c r="V89" i="4" s="1"/>
  <c r="V18" i="4"/>
  <c r="V85" i="4" s="1"/>
  <c r="V36" i="4"/>
  <c r="V37" i="4"/>
  <c r="V38" i="4"/>
  <c r="V39" i="4"/>
  <c r="V28" i="4"/>
  <c r="V96" i="4" s="1"/>
  <c r="V30" i="4"/>
  <c r="V97" i="4" s="1"/>
  <c r="V33" i="4"/>
  <c r="V99" i="4" s="1"/>
  <c r="V92" i="4"/>
  <c r="V93" i="4"/>
  <c r="V101" i="4"/>
  <c r="V102" i="4"/>
  <c r="V180" i="4"/>
  <c r="V182" i="4" s="1"/>
  <c r="CS16" i="4" a="1"/>
  <c r="CS16" i="4" s="1"/>
  <c r="CQ8" i="4" a="1"/>
  <c r="CQ8" i="4" s="1"/>
  <c r="CA16" i="4" a="1"/>
  <c r="CA16" i="4" s="1"/>
  <c r="DI8" i="4" a="1"/>
  <c r="DI8" i="4" s="1"/>
  <c r="X62" i="6"/>
  <c r="BX8" i="4" s="1" a="1"/>
  <c r="BX8" i="4" s="1"/>
  <c r="X53" i="6"/>
  <c r="X52" i="6"/>
  <c r="X51" i="6"/>
  <c r="X50" i="6"/>
  <c r="X49" i="6"/>
  <c r="X48" i="6"/>
  <c r="X47" i="6"/>
  <c r="X46" i="6"/>
  <c r="X45" i="6"/>
  <c r="X44" i="6"/>
  <c r="X43" i="6"/>
  <c r="X42" i="6"/>
  <c r="X41" i="6"/>
  <c r="X40" i="6"/>
  <c r="X23" i="6"/>
  <c r="Z25" i="7"/>
  <c r="Z34" i="7" s="1"/>
  <c r="Z47" i="7"/>
  <c r="Z48" i="7"/>
  <c r="Z49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72" i="7"/>
  <c r="Z73" i="7" s="1"/>
  <c r="Z79" i="7"/>
  <c r="S72" i="7"/>
  <c r="DG59" i="4"/>
  <c r="BV59" i="4"/>
  <c r="T61" i="4" s="1"/>
  <c r="BD59" i="4"/>
  <c r="T59" i="4"/>
  <c r="T277" i="4" s="1"/>
  <c r="CW102" i="4"/>
  <c r="F265" i="4" l="1"/>
  <c r="BX79" i="4"/>
  <c r="V103" i="4"/>
  <c r="BF89" i="4"/>
  <c r="V183" i="4" s="1"/>
  <c r="BX74" i="4"/>
  <c r="V90" i="4"/>
  <c r="BX77" i="4"/>
  <c r="BF93" i="4"/>
  <c r="BX76" i="4"/>
  <c r="BF92" i="4"/>
  <c r="BX75" i="4"/>
  <c r="BF97" i="4"/>
  <c r="V205" i="4" s="1"/>
  <c r="BX93" i="4"/>
  <c r="BF96" i="4"/>
  <c r="V210" i="4" s="1"/>
  <c r="BX92" i="4"/>
  <c r="BF85" i="4"/>
  <c r="V148" i="4" s="1"/>
  <c r="V156" i="4" s="1"/>
  <c r="BF99" i="4"/>
  <c r="V199" i="4" s="1"/>
  <c r="BX80" i="4"/>
  <c r="BF88" i="4"/>
  <c r="V152" i="4" s="1"/>
  <c r="V157" i="4" s="1"/>
  <c r="AN90" i="4"/>
  <c r="V94" i="4"/>
  <c r="BX78" i="4"/>
  <c r="BF8" i="4" a="1"/>
  <c r="BF8" i="4" s="1"/>
  <c r="BF74" i="4" s="1"/>
  <c r="V181" i="4"/>
  <c r="X28" i="6"/>
  <c r="X32" i="6" s="1"/>
  <c r="Z33" i="7"/>
  <c r="Z31" i="7" s="1"/>
  <c r="N72" i="7"/>
  <c r="AK59" i="4"/>
  <c r="BU59" i="4"/>
  <c r="DF59" i="4"/>
  <c r="CN59" i="4"/>
  <c r="BC59" i="4"/>
  <c r="S59" i="4"/>
  <c r="S277" i="4" s="1"/>
  <c r="AJ59" i="4"/>
  <c r="E12" i="69"/>
  <c r="E9" i="69"/>
  <c r="D9" i="69"/>
  <c r="R59" i="4"/>
  <c r="CM59" i="4"/>
  <c r="DE59" i="4"/>
  <c r="BS59" i="4"/>
  <c r="BT59" i="4"/>
  <c r="BB59" i="4"/>
  <c r="P277" i="4"/>
  <c r="G8" i="69"/>
  <c r="H8" i="69"/>
  <c r="C20" i="69"/>
  <c r="C21" i="69" s="1"/>
  <c r="C24" i="69" s="1"/>
  <c r="C25" i="69" s="1"/>
  <c r="C16" i="69"/>
  <c r="C17" i="69" s="1"/>
  <c r="C18" i="69" s="1"/>
  <c r="C6" i="69"/>
  <c r="C13" i="69" s="1"/>
  <c r="F5" i="69"/>
  <c r="H5" i="69" s="1"/>
  <c r="S61" i="4" l="1"/>
  <c r="R61" i="4"/>
  <c r="R277" i="4"/>
  <c r="V189" i="4"/>
  <c r="V195" i="4" s="1"/>
  <c r="BX94" i="4"/>
  <c r="BF94" i="4"/>
  <c r="BX81" i="4"/>
  <c r="V186" i="4"/>
  <c r="V192" i="4" s="1"/>
  <c r="V158" i="4"/>
  <c r="BF90" i="4"/>
  <c r="BF80" i="4"/>
  <c r="V140" i="4" s="1"/>
  <c r="V141" i="4" s="1"/>
  <c r="BF79" i="4"/>
  <c r="V235" i="4" s="1"/>
  <c r="BF75" i="4"/>
  <c r="V231" i="4" s="1"/>
  <c r="BF78" i="4"/>
  <c r="V234" i="4" s="1"/>
  <c r="BF76" i="4"/>
  <c r="V232" i="4" s="1"/>
  <c r="V255" i="4" s="1"/>
  <c r="BF77" i="4"/>
  <c r="V233" i="4" s="1"/>
  <c r="V230" i="4"/>
  <c r="Z32" i="7"/>
  <c r="BF41" i="4"/>
  <c r="BF101" i="4" s="1"/>
  <c r="X31" i="6"/>
  <c r="X29" i="6" s="1"/>
  <c r="X30" i="6" s="1"/>
  <c r="X33" i="6" s="1"/>
  <c r="I5" i="69"/>
  <c r="C14" i="69"/>
  <c r="C19" i="69"/>
  <c r="C26" i="69" s="1"/>
  <c r="K6" i="69" s="1"/>
  <c r="G5" i="69"/>
  <c r="G10" i="69" s="1"/>
  <c r="V159" i="4" l="1"/>
  <c r="V164" i="4"/>
  <c r="V135" i="4"/>
  <c r="V163" i="4"/>
  <c r="BF81" i="4"/>
  <c r="V236" i="4"/>
  <c r="V258" i="4"/>
  <c r="V252" i="4"/>
  <c r="V245" i="4"/>
  <c r="Z35" i="7"/>
  <c r="BF42" i="4"/>
  <c r="BF102" i="4" s="1"/>
  <c r="BF103" i="4" s="1"/>
  <c r="K5" i="69"/>
  <c r="CL59" i="4" l="1"/>
  <c r="BR59" i="4"/>
  <c r="AE59" i="4"/>
  <c r="AI59" i="4"/>
  <c r="BS62" i="4" l="1"/>
  <c r="BA59" i="4"/>
  <c r="Q61" i="4" s="1"/>
  <c r="Q59" i="4"/>
  <c r="Q277" i="4" s="1"/>
  <c r="DD59" i="4"/>
  <c r="DC59" i="4"/>
  <c r="DB59" i="4"/>
  <c r="DA59" i="4"/>
  <c r="CZ59" i="4"/>
  <c r="CK59" i="4"/>
  <c r="CJ59" i="4"/>
  <c r="CI59" i="4"/>
  <c r="CH59" i="4"/>
  <c r="BN59" i="4"/>
  <c r="BO59" i="4"/>
  <c r="BP59" i="4"/>
  <c r="N61" i="4" s="1"/>
  <c r="BQ59" i="4"/>
  <c r="AV59" i="4"/>
  <c r="AW59" i="4"/>
  <c r="AX59" i="4"/>
  <c r="AY59" i="4"/>
  <c r="AZ59" i="4"/>
  <c r="P61" i="4" s="1"/>
  <c r="M61" i="4" l="1"/>
  <c r="L61" i="4"/>
  <c r="O61" i="4"/>
  <c r="BA62" i="4"/>
  <c r="BS63" i="4" s="1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H47" i="6"/>
  <c r="H45" i="6"/>
  <c r="N59" i="4" l="1"/>
  <c r="O59" i="4"/>
  <c r="I51" i="7"/>
  <c r="I63" i="7"/>
  <c r="I62" i="7"/>
  <c r="I61" i="7"/>
  <c r="I60" i="7"/>
  <c r="I59" i="7"/>
  <c r="I58" i="7"/>
  <c r="I57" i="7"/>
  <c r="I56" i="7"/>
  <c r="I55" i="7"/>
  <c r="I54" i="7"/>
  <c r="I53" i="7"/>
  <c r="I52" i="7"/>
  <c r="N29" i="65"/>
  <c r="G29" i="65"/>
  <c r="H29" i="65"/>
  <c r="I29" i="65"/>
  <c r="K29" i="65"/>
  <c r="L29" i="65"/>
  <c r="M29" i="65"/>
  <c r="I25" i="7"/>
  <c r="M59" i="4"/>
  <c r="N62" i="6"/>
  <c r="L55" i="65"/>
  <c r="CY59" i="4"/>
  <c r="CG59" i="4"/>
  <c r="AD59" i="4"/>
  <c r="L59" i="4"/>
  <c r="CT59" i="4" l="1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CX58" i="4"/>
  <c r="CX59" i="4" s="1"/>
  <c r="CF59" i="4"/>
  <c r="AB59" i="4"/>
  <c r="AC59" i="4"/>
  <c r="BM59" i="4"/>
  <c r="AU59" i="4"/>
  <c r="AU62" i="4" s="1"/>
  <c r="K59" i="4"/>
  <c r="BM62" i="4" l="1"/>
  <c r="BM63" i="4" s="1"/>
  <c r="K61" i="4"/>
  <c r="N100" i="7"/>
  <c r="N113" i="7"/>
  <c r="L113" i="7"/>
  <c r="M113" i="7"/>
  <c r="K113" i="7"/>
  <c r="J113" i="7"/>
  <c r="M100" i="7"/>
  <c r="L100" i="7"/>
  <c r="K100" i="7"/>
  <c r="J100" i="7"/>
  <c r="CE59" i="4"/>
  <c r="AT59" i="4"/>
  <c r="J61" i="4" s="1"/>
  <c r="CV58" i="4"/>
  <c r="CV59" i="4" s="1"/>
  <c r="CD58" i="4"/>
  <c r="CD59" i="4" s="1"/>
  <c r="AS58" i="4"/>
  <c r="AS59" i="4" s="1"/>
  <c r="I56" i="4"/>
  <c r="I57" i="4" s="1"/>
  <c r="I54" i="4"/>
  <c r="I55" i="4" s="1"/>
  <c r="CU59" i="4"/>
  <c r="BK59" i="4"/>
  <c r="I61" i="4" l="1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G25" i="7"/>
  <c r="G79" i="7"/>
  <c r="N47" i="7"/>
  <c r="J47" i="7"/>
  <c r="CC58" i="4"/>
  <c r="CC59" i="4" s="1"/>
  <c r="CB59" i="4"/>
  <c r="BI59" i="4"/>
  <c r="BJ58" i="4"/>
  <c r="BJ59" i="4" s="1"/>
  <c r="AR58" i="4"/>
  <c r="AR59" i="4" s="1"/>
  <c r="Z59" i="4"/>
  <c r="H56" i="4"/>
  <c r="H54" i="4"/>
  <c r="H55" i="4" s="1"/>
  <c r="AQ59" i="4"/>
  <c r="Y59" i="4"/>
  <c r="G57" i="4"/>
  <c r="G55" i="4"/>
  <c r="F58" i="4"/>
  <c r="AP58" i="4"/>
  <c r="X59" i="4"/>
  <c r="F56" i="4"/>
  <c r="F57" i="4" s="1"/>
  <c r="F54" i="4"/>
  <c r="F18" i="4"/>
  <c r="I23" i="6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T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U208" i="4"/>
  <c r="G208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G207" i="4"/>
  <c r="F208" i="4"/>
  <c r="F207" i="4"/>
  <c r="F154" i="4"/>
  <c r="CS8" i="4" a="1"/>
  <c r="CS8" i="4" s="1"/>
  <c r="K72" i="7"/>
  <c r="I62" i="6"/>
  <c r="J62" i="6"/>
  <c r="K62" i="6"/>
  <c r="L62" i="6"/>
  <c r="M62" i="6"/>
  <c r="O62" i="6"/>
  <c r="P62" i="6"/>
  <c r="Q62" i="6"/>
  <c r="R62" i="6"/>
  <c r="S62" i="6"/>
  <c r="T62" i="6"/>
  <c r="U62" i="6"/>
  <c r="V62" i="6"/>
  <c r="W62" i="6"/>
  <c r="H62" i="6"/>
  <c r="G61" i="4" l="1"/>
  <c r="H61" i="4"/>
  <c r="Q33" i="7"/>
  <c r="R48" i="65"/>
  <c r="S48" i="65"/>
  <c r="T48" i="65"/>
  <c r="U48" i="65"/>
  <c r="V48" i="65"/>
  <c r="Q48" i="65"/>
  <c r="L48" i="65"/>
  <c r="M48" i="65"/>
  <c r="N48" i="65"/>
  <c r="O48" i="65"/>
  <c r="P48" i="65"/>
  <c r="K48" i="65"/>
  <c r="H48" i="65"/>
  <c r="I48" i="65"/>
  <c r="J48" i="65"/>
  <c r="G48" i="65"/>
  <c r="H23" i="6"/>
  <c r="H31" i="6" s="1"/>
  <c r="R47" i="65"/>
  <c r="S47" i="65"/>
  <c r="T47" i="65"/>
  <c r="U47" i="65"/>
  <c r="V47" i="65"/>
  <c r="Q47" i="65"/>
  <c r="L47" i="65"/>
  <c r="M47" i="65"/>
  <c r="N47" i="65"/>
  <c r="O47" i="65"/>
  <c r="P47" i="65"/>
  <c r="K47" i="65"/>
  <c r="H47" i="65"/>
  <c r="I47" i="65"/>
  <c r="J47" i="65"/>
  <c r="G47" i="65"/>
  <c r="R46" i="65"/>
  <c r="S46" i="65"/>
  <c r="T46" i="65"/>
  <c r="U46" i="65"/>
  <c r="V46" i="65"/>
  <c r="Q46" i="65"/>
  <c r="L46" i="65"/>
  <c r="M46" i="65"/>
  <c r="N46" i="65"/>
  <c r="O46" i="65"/>
  <c r="P46" i="65"/>
  <c r="K46" i="65"/>
  <c r="H46" i="65"/>
  <c r="I46" i="65"/>
  <c r="J46" i="65"/>
  <c r="G46" i="65"/>
  <c r="H28" i="6"/>
  <c r="H32" i="6" s="1"/>
  <c r="I28" i="6"/>
  <c r="I32" i="6" s="1"/>
  <c r="J28" i="6"/>
  <c r="J31" i="6" s="1"/>
  <c r="K28" i="6"/>
  <c r="K32" i="6" s="1"/>
  <c r="L28" i="6"/>
  <c r="L31" i="6" s="1"/>
  <c r="M28" i="6"/>
  <c r="M31" i="6" s="1"/>
  <c r="N28" i="6"/>
  <c r="N31" i="6" s="1"/>
  <c r="O28" i="6"/>
  <c r="O31" i="6" s="1"/>
  <c r="P28" i="6"/>
  <c r="P32" i="6" s="1"/>
  <c r="Q28" i="6"/>
  <c r="Q32" i="6" s="1"/>
  <c r="R28" i="6"/>
  <c r="R32" i="6" s="1"/>
  <c r="S28" i="6"/>
  <c r="S31" i="6" s="1"/>
  <c r="T28" i="6"/>
  <c r="T31" i="6" s="1"/>
  <c r="U28" i="6"/>
  <c r="U31" i="6" s="1"/>
  <c r="V28" i="6"/>
  <c r="V31" i="6" s="1"/>
  <c r="W28" i="6"/>
  <c r="W31" i="6" s="1"/>
  <c r="J32" i="6"/>
  <c r="U32" i="6"/>
  <c r="W32" i="6"/>
  <c r="H53" i="6"/>
  <c r="H52" i="6"/>
  <c r="H51" i="6"/>
  <c r="H50" i="6"/>
  <c r="H49" i="6"/>
  <c r="H48" i="6"/>
  <c r="H46" i="6"/>
  <c r="H44" i="6"/>
  <c r="H43" i="6"/>
  <c r="H42" i="6"/>
  <c r="H41" i="6"/>
  <c r="H40" i="6"/>
  <c r="K51" i="7"/>
  <c r="L51" i="7"/>
  <c r="M51" i="7"/>
  <c r="N51" i="7"/>
  <c r="O51" i="7"/>
  <c r="Q51" i="7"/>
  <c r="R51" i="7"/>
  <c r="S51" i="7"/>
  <c r="T51" i="7"/>
  <c r="U51" i="7"/>
  <c r="V51" i="7"/>
  <c r="W51" i="7"/>
  <c r="X51" i="7"/>
  <c r="Y51" i="7"/>
  <c r="K52" i="7"/>
  <c r="L52" i="7"/>
  <c r="M52" i="7"/>
  <c r="N52" i="7"/>
  <c r="O52" i="7"/>
  <c r="Q52" i="7"/>
  <c r="R52" i="7"/>
  <c r="S52" i="7"/>
  <c r="T52" i="7"/>
  <c r="U52" i="7"/>
  <c r="V52" i="7"/>
  <c r="W52" i="7"/>
  <c r="X52" i="7"/>
  <c r="Y52" i="7"/>
  <c r="K53" i="7"/>
  <c r="L53" i="7"/>
  <c r="M53" i="7"/>
  <c r="N53" i="7"/>
  <c r="O53" i="7"/>
  <c r="Q53" i="7"/>
  <c r="R53" i="7"/>
  <c r="S53" i="7"/>
  <c r="T53" i="7"/>
  <c r="U53" i="7"/>
  <c r="V53" i="7"/>
  <c r="W53" i="7"/>
  <c r="X53" i="7"/>
  <c r="Y53" i="7"/>
  <c r="K54" i="7"/>
  <c r="L54" i="7"/>
  <c r="M54" i="7"/>
  <c r="N54" i="7"/>
  <c r="O54" i="7"/>
  <c r="Q54" i="7"/>
  <c r="R54" i="7"/>
  <c r="S54" i="7"/>
  <c r="T54" i="7"/>
  <c r="U54" i="7"/>
  <c r="V54" i="7"/>
  <c r="W54" i="7"/>
  <c r="X54" i="7"/>
  <c r="Y54" i="7"/>
  <c r="K55" i="7"/>
  <c r="L55" i="7"/>
  <c r="M55" i="7"/>
  <c r="N55" i="7"/>
  <c r="O55" i="7"/>
  <c r="Q55" i="7"/>
  <c r="R55" i="7"/>
  <c r="S55" i="7"/>
  <c r="T55" i="7"/>
  <c r="U55" i="7"/>
  <c r="V55" i="7"/>
  <c r="W55" i="7"/>
  <c r="X55" i="7"/>
  <c r="Y55" i="7"/>
  <c r="K56" i="7"/>
  <c r="L56" i="7"/>
  <c r="M56" i="7"/>
  <c r="N56" i="7"/>
  <c r="O56" i="7"/>
  <c r="Q56" i="7"/>
  <c r="R56" i="7"/>
  <c r="S56" i="7"/>
  <c r="T56" i="7"/>
  <c r="U56" i="7"/>
  <c r="V56" i="7"/>
  <c r="W56" i="7"/>
  <c r="X56" i="7"/>
  <c r="Y56" i="7"/>
  <c r="K57" i="7"/>
  <c r="L57" i="7"/>
  <c r="M57" i="7"/>
  <c r="N57" i="7"/>
  <c r="O57" i="7"/>
  <c r="Q57" i="7"/>
  <c r="R57" i="7"/>
  <c r="S57" i="7"/>
  <c r="T57" i="7"/>
  <c r="U57" i="7"/>
  <c r="V57" i="7"/>
  <c r="W57" i="7"/>
  <c r="X57" i="7"/>
  <c r="Y57" i="7"/>
  <c r="K58" i="7"/>
  <c r="L58" i="7"/>
  <c r="M58" i="7"/>
  <c r="N58" i="7"/>
  <c r="O58" i="7"/>
  <c r="Q58" i="7"/>
  <c r="R58" i="7"/>
  <c r="S58" i="7"/>
  <c r="T58" i="7"/>
  <c r="U58" i="7"/>
  <c r="V58" i="7"/>
  <c r="W58" i="7"/>
  <c r="X58" i="7"/>
  <c r="Y58" i="7"/>
  <c r="K59" i="7"/>
  <c r="L59" i="7"/>
  <c r="M59" i="7"/>
  <c r="N59" i="7"/>
  <c r="O59" i="7"/>
  <c r="Q59" i="7"/>
  <c r="R59" i="7"/>
  <c r="S59" i="7"/>
  <c r="T59" i="7"/>
  <c r="U59" i="7"/>
  <c r="V59" i="7"/>
  <c r="W59" i="7"/>
  <c r="X59" i="7"/>
  <c r="Y59" i="7"/>
  <c r="K60" i="7"/>
  <c r="L60" i="7"/>
  <c r="M60" i="7"/>
  <c r="N60" i="7"/>
  <c r="O60" i="7"/>
  <c r="Q60" i="7"/>
  <c r="R60" i="7"/>
  <c r="S60" i="7"/>
  <c r="T60" i="7"/>
  <c r="U60" i="7"/>
  <c r="V60" i="7"/>
  <c r="W60" i="7"/>
  <c r="X60" i="7"/>
  <c r="Y60" i="7"/>
  <c r="K61" i="7"/>
  <c r="L61" i="7"/>
  <c r="M61" i="7"/>
  <c r="N61" i="7"/>
  <c r="O61" i="7"/>
  <c r="Q61" i="7"/>
  <c r="R61" i="7"/>
  <c r="S61" i="7"/>
  <c r="T61" i="7"/>
  <c r="U61" i="7"/>
  <c r="V61" i="7"/>
  <c r="W61" i="7"/>
  <c r="X61" i="7"/>
  <c r="Y61" i="7"/>
  <c r="K62" i="7"/>
  <c r="L62" i="7"/>
  <c r="M62" i="7"/>
  <c r="N62" i="7"/>
  <c r="O62" i="7"/>
  <c r="Q62" i="7"/>
  <c r="R62" i="7"/>
  <c r="S62" i="7"/>
  <c r="T62" i="7"/>
  <c r="U62" i="7"/>
  <c r="V62" i="7"/>
  <c r="W62" i="7"/>
  <c r="X62" i="7"/>
  <c r="Y62" i="7"/>
  <c r="K63" i="7"/>
  <c r="L63" i="7"/>
  <c r="M63" i="7"/>
  <c r="N63" i="7"/>
  <c r="O63" i="7"/>
  <c r="Q63" i="7"/>
  <c r="R63" i="7"/>
  <c r="S63" i="7"/>
  <c r="T63" i="7"/>
  <c r="U63" i="7"/>
  <c r="V63" i="7"/>
  <c r="W63" i="7"/>
  <c r="X63" i="7"/>
  <c r="Y63" i="7"/>
  <c r="K64" i="7"/>
  <c r="L64" i="7"/>
  <c r="M64" i="7"/>
  <c r="N64" i="7"/>
  <c r="O64" i="7"/>
  <c r="Q64" i="7"/>
  <c r="R64" i="7"/>
  <c r="S64" i="7"/>
  <c r="T64" i="7"/>
  <c r="U64" i="7"/>
  <c r="V64" i="7"/>
  <c r="W64" i="7"/>
  <c r="X64" i="7"/>
  <c r="Y64" i="7"/>
  <c r="H50" i="65"/>
  <c r="I50" i="65"/>
  <c r="J50" i="65"/>
  <c r="K50" i="65"/>
  <c r="L50" i="65"/>
  <c r="N50" i="65"/>
  <c r="O50" i="65"/>
  <c r="P50" i="65"/>
  <c r="Q50" i="65"/>
  <c r="R50" i="65"/>
  <c r="S50" i="65"/>
  <c r="T50" i="65"/>
  <c r="U50" i="65"/>
  <c r="V50" i="65"/>
  <c r="H51" i="65"/>
  <c r="I51" i="65"/>
  <c r="J51" i="65"/>
  <c r="K51" i="65"/>
  <c r="L51" i="65"/>
  <c r="N51" i="65"/>
  <c r="O51" i="65"/>
  <c r="P51" i="65"/>
  <c r="Q51" i="65"/>
  <c r="R51" i="65"/>
  <c r="S51" i="65"/>
  <c r="T51" i="65"/>
  <c r="U51" i="65"/>
  <c r="V51" i="65"/>
  <c r="H52" i="65"/>
  <c r="I52" i="65"/>
  <c r="J52" i="65"/>
  <c r="K52" i="65"/>
  <c r="L52" i="65"/>
  <c r="N52" i="65"/>
  <c r="O52" i="65"/>
  <c r="P52" i="65"/>
  <c r="Q52" i="65"/>
  <c r="R52" i="65"/>
  <c r="S52" i="65"/>
  <c r="T52" i="65"/>
  <c r="U52" i="65"/>
  <c r="V52" i="65"/>
  <c r="H53" i="65"/>
  <c r="I53" i="65"/>
  <c r="J53" i="65"/>
  <c r="K53" i="65"/>
  <c r="L53" i="65"/>
  <c r="N53" i="65"/>
  <c r="O53" i="65"/>
  <c r="P53" i="65"/>
  <c r="Q53" i="65"/>
  <c r="R53" i="65"/>
  <c r="S53" i="65"/>
  <c r="T53" i="65"/>
  <c r="U53" i="65"/>
  <c r="V53" i="65"/>
  <c r="H54" i="65"/>
  <c r="I54" i="65"/>
  <c r="J54" i="65"/>
  <c r="K54" i="65"/>
  <c r="L54" i="65"/>
  <c r="N54" i="65"/>
  <c r="O54" i="65"/>
  <c r="P54" i="65"/>
  <c r="Q54" i="65"/>
  <c r="R54" i="65"/>
  <c r="S54" i="65"/>
  <c r="T54" i="65"/>
  <c r="U54" i="65"/>
  <c r="V54" i="65"/>
  <c r="H55" i="65"/>
  <c r="I55" i="65"/>
  <c r="J55" i="65"/>
  <c r="K55" i="65"/>
  <c r="N55" i="65"/>
  <c r="O55" i="65"/>
  <c r="P55" i="65"/>
  <c r="Q55" i="65"/>
  <c r="R55" i="65"/>
  <c r="S55" i="65"/>
  <c r="T55" i="65"/>
  <c r="U55" i="65"/>
  <c r="V55" i="65"/>
  <c r="H56" i="65"/>
  <c r="I56" i="65"/>
  <c r="J56" i="65"/>
  <c r="K56" i="65"/>
  <c r="L56" i="65"/>
  <c r="M56" i="65"/>
  <c r="N56" i="65"/>
  <c r="O56" i="65"/>
  <c r="P56" i="65"/>
  <c r="Q56" i="65"/>
  <c r="R56" i="65"/>
  <c r="S56" i="65"/>
  <c r="T56" i="65"/>
  <c r="U56" i="65"/>
  <c r="V56" i="65"/>
  <c r="H57" i="65"/>
  <c r="I57" i="65"/>
  <c r="J57" i="65"/>
  <c r="K57" i="65"/>
  <c r="L57" i="65"/>
  <c r="M57" i="65"/>
  <c r="N57" i="65"/>
  <c r="O57" i="65"/>
  <c r="P57" i="65"/>
  <c r="Q57" i="65"/>
  <c r="R57" i="65"/>
  <c r="S57" i="65"/>
  <c r="T57" i="65"/>
  <c r="U57" i="65"/>
  <c r="V57" i="65"/>
  <c r="H58" i="65"/>
  <c r="I58" i="65"/>
  <c r="J58" i="65"/>
  <c r="K58" i="65"/>
  <c r="L58" i="65"/>
  <c r="M58" i="65"/>
  <c r="N58" i="65"/>
  <c r="O58" i="65"/>
  <c r="P58" i="65"/>
  <c r="Q58" i="65"/>
  <c r="R58" i="65"/>
  <c r="S58" i="65"/>
  <c r="T58" i="65"/>
  <c r="U58" i="65"/>
  <c r="V58" i="65"/>
  <c r="H59" i="65"/>
  <c r="I59" i="65"/>
  <c r="J59" i="65"/>
  <c r="K59" i="65"/>
  <c r="L59" i="65"/>
  <c r="M59" i="65"/>
  <c r="N59" i="65"/>
  <c r="O59" i="65"/>
  <c r="P59" i="65"/>
  <c r="Q59" i="65"/>
  <c r="R59" i="65"/>
  <c r="S59" i="65"/>
  <c r="T59" i="65"/>
  <c r="U59" i="65"/>
  <c r="V59" i="65"/>
  <c r="H60" i="65"/>
  <c r="I60" i="65"/>
  <c r="J60" i="65"/>
  <c r="K60" i="65"/>
  <c r="L60" i="65"/>
  <c r="M60" i="65"/>
  <c r="N60" i="65"/>
  <c r="O60" i="65"/>
  <c r="P60" i="65"/>
  <c r="Q60" i="65"/>
  <c r="R60" i="65"/>
  <c r="S60" i="65"/>
  <c r="T60" i="65"/>
  <c r="U60" i="65"/>
  <c r="V60" i="65"/>
  <c r="H61" i="65"/>
  <c r="I61" i="65"/>
  <c r="J61" i="65"/>
  <c r="K61" i="65"/>
  <c r="L61" i="65"/>
  <c r="M61" i="65"/>
  <c r="N61" i="65"/>
  <c r="O61" i="65"/>
  <c r="P61" i="65"/>
  <c r="Q61" i="65"/>
  <c r="R61" i="65"/>
  <c r="S61" i="65"/>
  <c r="T61" i="65"/>
  <c r="U61" i="65"/>
  <c r="V61" i="65"/>
  <c r="H62" i="65"/>
  <c r="I62" i="65"/>
  <c r="J62" i="65"/>
  <c r="K62" i="65"/>
  <c r="L62" i="65"/>
  <c r="M62" i="65"/>
  <c r="N62" i="65"/>
  <c r="O62" i="65"/>
  <c r="P62" i="65"/>
  <c r="Q62" i="65"/>
  <c r="R62" i="65"/>
  <c r="S62" i="65"/>
  <c r="T62" i="65"/>
  <c r="U62" i="65"/>
  <c r="V62" i="65"/>
  <c r="H63" i="65"/>
  <c r="I63" i="65"/>
  <c r="J63" i="65"/>
  <c r="K63" i="65"/>
  <c r="L63" i="65"/>
  <c r="M63" i="65"/>
  <c r="N63" i="65"/>
  <c r="O63" i="65"/>
  <c r="P63" i="65"/>
  <c r="Q63" i="65"/>
  <c r="R63" i="65"/>
  <c r="S63" i="65"/>
  <c r="T63" i="65"/>
  <c r="U63" i="65"/>
  <c r="V63" i="65"/>
  <c r="G63" i="65"/>
  <c r="G62" i="65"/>
  <c r="G61" i="65"/>
  <c r="G60" i="65"/>
  <c r="G59" i="65"/>
  <c r="G58" i="65"/>
  <c r="G57" i="65"/>
  <c r="G56" i="65"/>
  <c r="G55" i="65"/>
  <c r="G54" i="65"/>
  <c r="G53" i="65"/>
  <c r="G52" i="65"/>
  <c r="G51" i="65"/>
  <c r="G50" i="65"/>
  <c r="H24" i="65"/>
  <c r="I24" i="65"/>
  <c r="J24" i="65"/>
  <c r="K24" i="65"/>
  <c r="L24" i="65"/>
  <c r="M24" i="65"/>
  <c r="N24" i="65"/>
  <c r="O24" i="65"/>
  <c r="P24" i="65"/>
  <c r="Q24" i="65"/>
  <c r="R24" i="65"/>
  <c r="R29" i="65" s="1"/>
  <c r="S24" i="65"/>
  <c r="S29" i="65" s="1"/>
  <c r="T24" i="65"/>
  <c r="T29" i="65" s="1"/>
  <c r="U24" i="65"/>
  <c r="V24" i="65"/>
  <c r="G24" i="65"/>
  <c r="H71" i="65"/>
  <c r="H72" i="65" s="1"/>
  <c r="I71" i="65"/>
  <c r="I72" i="65" s="1"/>
  <c r="J71" i="65"/>
  <c r="J72" i="65" s="1"/>
  <c r="K71" i="65"/>
  <c r="K72" i="65" s="1"/>
  <c r="L71" i="65"/>
  <c r="L72" i="65" s="1"/>
  <c r="M71" i="65"/>
  <c r="M72" i="65" s="1"/>
  <c r="N71" i="65"/>
  <c r="N72" i="65" s="1"/>
  <c r="O71" i="65"/>
  <c r="O72" i="65" s="1"/>
  <c r="P71" i="65"/>
  <c r="P72" i="65" s="1"/>
  <c r="Q71" i="65"/>
  <c r="Q72" i="65" s="1"/>
  <c r="R71" i="65"/>
  <c r="R72" i="65" s="1"/>
  <c r="S71" i="65"/>
  <c r="S72" i="65" s="1"/>
  <c r="T71" i="65"/>
  <c r="T72" i="65" s="1"/>
  <c r="U71" i="65"/>
  <c r="U72" i="65" s="1"/>
  <c r="V71" i="65"/>
  <c r="V72" i="65" s="1"/>
  <c r="G71" i="65"/>
  <c r="G72" i="65" s="1"/>
  <c r="AP38" i="4"/>
  <c r="AP39" i="4"/>
  <c r="J25" i="7"/>
  <c r="K73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R180" i="4"/>
  <c r="R181" i="4" s="1"/>
  <c r="S180" i="4"/>
  <c r="S181" i="4" s="1"/>
  <c r="T180" i="4"/>
  <c r="T181" i="4" s="1"/>
  <c r="U180" i="4"/>
  <c r="U181" i="4" s="1"/>
  <c r="Q180" i="4"/>
  <c r="Q181" i="4" s="1"/>
  <c r="P180" i="4"/>
  <c r="P182" i="4" s="1"/>
  <c r="U49" i="7"/>
  <c r="V49" i="7"/>
  <c r="W49" i="7"/>
  <c r="X49" i="7"/>
  <c r="Y49" i="7"/>
  <c r="T49" i="7"/>
  <c r="S49" i="7"/>
  <c r="O49" i="7"/>
  <c r="P49" i="7"/>
  <c r="Q49" i="7"/>
  <c r="R49" i="7"/>
  <c r="N49" i="7"/>
  <c r="M49" i="7"/>
  <c r="K49" i="7"/>
  <c r="L49" i="7"/>
  <c r="J49" i="7"/>
  <c r="U48" i="7"/>
  <c r="V48" i="7"/>
  <c r="W48" i="7"/>
  <c r="X48" i="7"/>
  <c r="Y48" i="7"/>
  <c r="T48" i="7"/>
  <c r="O48" i="7"/>
  <c r="P48" i="7"/>
  <c r="Q48" i="7"/>
  <c r="R48" i="7"/>
  <c r="S48" i="7"/>
  <c r="N48" i="7"/>
  <c r="K48" i="7"/>
  <c r="L48" i="7"/>
  <c r="M48" i="7"/>
  <c r="J48" i="7"/>
  <c r="U47" i="7"/>
  <c r="V47" i="7"/>
  <c r="W47" i="7"/>
  <c r="X47" i="7"/>
  <c r="Y47" i="7"/>
  <c r="T47" i="7"/>
  <c r="O47" i="7"/>
  <c r="P47" i="7"/>
  <c r="Q47" i="7"/>
  <c r="R47" i="7"/>
  <c r="S47" i="7"/>
  <c r="K47" i="7"/>
  <c r="L47" i="7"/>
  <c r="M47" i="7"/>
  <c r="K33" i="7"/>
  <c r="L34" i="7"/>
  <c r="M34" i="7"/>
  <c r="N34" i="7"/>
  <c r="O34" i="7"/>
  <c r="P34" i="7"/>
  <c r="R34" i="7"/>
  <c r="S34" i="7"/>
  <c r="T34" i="7"/>
  <c r="U34" i="7"/>
  <c r="V33" i="7"/>
  <c r="W34" i="7"/>
  <c r="X34" i="7"/>
  <c r="Y34" i="7"/>
  <c r="I72" i="7"/>
  <c r="I73" i="7" s="1"/>
  <c r="J72" i="7"/>
  <c r="J73" i="7" s="1"/>
  <c r="L72" i="7"/>
  <c r="L73" i="7" s="1"/>
  <c r="M72" i="7"/>
  <c r="M73" i="7" s="1"/>
  <c r="N73" i="7"/>
  <c r="O72" i="7"/>
  <c r="O73" i="7" s="1"/>
  <c r="P72" i="7"/>
  <c r="P73" i="7" s="1"/>
  <c r="Q72" i="7"/>
  <c r="Q73" i="7" s="1"/>
  <c r="R72" i="7"/>
  <c r="R73" i="7" s="1"/>
  <c r="S73" i="7"/>
  <c r="T72" i="7"/>
  <c r="T73" i="7" s="1"/>
  <c r="U72" i="7"/>
  <c r="U73" i="7" s="1"/>
  <c r="V72" i="7"/>
  <c r="V73" i="7" s="1"/>
  <c r="W72" i="7"/>
  <c r="W73" i="7" s="1"/>
  <c r="X72" i="7"/>
  <c r="X73" i="7" s="1"/>
  <c r="Y72" i="7"/>
  <c r="Y73" i="7" s="1"/>
  <c r="H72" i="7"/>
  <c r="H73" i="7" s="1"/>
  <c r="O62" i="4"/>
  <c r="O277" i="4" s="1"/>
  <c r="N62" i="4"/>
  <c r="N277" i="4" s="1"/>
  <c r="M62" i="4"/>
  <c r="M277" i="4" s="1"/>
  <c r="L62" i="4"/>
  <c r="L277" i="4" s="1"/>
  <c r="K62" i="4"/>
  <c r="K277" i="4" s="1"/>
  <c r="J62" i="4"/>
  <c r="J277" i="4" s="1"/>
  <c r="W29" i="6" l="1"/>
  <c r="J34" i="7"/>
  <c r="Q34" i="7"/>
  <c r="Q31" i="7" s="1"/>
  <c r="V32" i="6"/>
  <c r="V29" i="6" s="1"/>
  <c r="V30" i="6" s="1"/>
  <c r="V33" i="6" s="1"/>
  <c r="U29" i="6"/>
  <c r="U30" i="6" s="1"/>
  <c r="U33" i="6" s="1"/>
  <c r="T32" i="6"/>
  <c r="T29" i="6" s="1"/>
  <c r="T30" i="6" s="1"/>
  <c r="T33" i="6" s="1"/>
  <c r="S32" i="6"/>
  <c r="S29" i="6" s="1"/>
  <c r="S30" i="6" s="1"/>
  <c r="S33" i="6" s="1"/>
  <c r="O32" i="6"/>
  <c r="O29" i="6" s="1"/>
  <c r="O30" i="6" s="1"/>
  <c r="O33" i="6" s="1"/>
  <c r="Q32" i="7"/>
  <c r="Q35" i="7" s="1"/>
  <c r="N32" i="6"/>
  <c r="N29" i="6" s="1"/>
  <c r="N30" i="6" s="1"/>
  <c r="N33" i="6" s="1"/>
  <c r="P33" i="7"/>
  <c r="P31" i="7" s="1"/>
  <c r="P32" i="7" s="1"/>
  <c r="P35" i="7" s="1"/>
  <c r="P181" i="4"/>
  <c r="O33" i="7"/>
  <c r="O31" i="7" s="1"/>
  <c r="O32" i="7" s="1"/>
  <c r="O35" i="7" s="1"/>
  <c r="L32" i="6"/>
  <c r="L29" i="6" s="1"/>
  <c r="L30" i="6" s="1"/>
  <c r="N33" i="7"/>
  <c r="N31" i="7" s="1"/>
  <c r="N32" i="7" s="1"/>
  <c r="N35" i="7" s="1"/>
  <c r="V34" i="7"/>
  <c r="V31" i="7" s="1"/>
  <c r="V32" i="7" s="1"/>
  <c r="V35" i="7" s="1"/>
  <c r="M33" i="7"/>
  <c r="M31" i="7" s="1"/>
  <c r="M32" i="7" s="1"/>
  <c r="M35" i="7" s="1"/>
  <c r="K31" i="6"/>
  <c r="K29" i="6" s="1"/>
  <c r="K30" i="6" s="1"/>
  <c r="K33" i="6" s="1"/>
  <c r="J29" i="6"/>
  <c r="J30" i="6" s="1"/>
  <c r="J33" i="6" s="1"/>
  <c r="Q31" i="6"/>
  <c r="Q29" i="6" s="1"/>
  <c r="Q30" i="6" s="1"/>
  <c r="Q33" i="6" s="1"/>
  <c r="P31" i="6"/>
  <c r="P29" i="6" s="1"/>
  <c r="P30" i="6" s="1"/>
  <c r="P33" i="6" s="1"/>
  <c r="R31" i="6"/>
  <c r="R29" i="6" s="1"/>
  <c r="R30" i="6" s="1"/>
  <c r="R33" i="6" s="1"/>
  <c r="M32" i="6"/>
  <c r="M29" i="6" s="1"/>
  <c r="L33" i="7"/>
  <c r="L31" i="7" s="1"/>
  <c r="L32" i="7" s="1"/>
  <c r="L35" i="7" s="1"/>
  <c r="Y33" i="7"/>
  <c r="Y31" i="7" s="1"/>
  <c r="Y32" i="7" s="1"/>
  <c r="Y35" i="7" s="1"/>
  <c r="X33" i="7"/>
  <c r="X31" i="7" s="1"/>
  <c r="X32" i="7" s="1"/>
  <c r="X35" i="7" s="1"/>
  <c r="W33" i="7"/>
  <c r="W31" i="7" s="1"/>
  <c r="W32" i="7" s="1"/>
  <c r="W35" i="7" s="1"/>
  <c r="R33" i="7"/>
  <c r="R31" i="7" s="1"/>
  <c r="R32" i="7" s="1"/>
  <c r="R35" i="7" s="1"/>
  <c r="K34" i="7"/>
  <c r="K31" i="7" s="1"/>
  <c r="K32" i="7" s="1"/>
  <c r="K35" i="7" s="1"/>
  <c r="R182" i="4"/>
  <c r="Q182" i="4"/>
  <c r="U182" i="4"/>
  <c r="T182" i="4"/>
  <c r="S182" i="4"/>
  <c r="I31" i="6"/>
  <c r="I29" i="6" s="1"/>
  <c r="I30" i="6" s="1"/>
  <c r="I33" i="6" s="1"/>
  <c r="U33" i="7"/>
  <c r="U31" i="7" s="1"/>
  <c r="U32" i="7" s="1"/>
  <c r="U35" i="7" s="1"/>
  <c r="T33" i="7"/>
  <c r="T31" i="7" s="1"/>
  <c r="T32" i="7" s="1"/>
  <c r="T35" i="7" s="1"/>
  <c r="S33" i="7"/>
  <c r="S31" i="7" s="1"/>
  <c r="S32" i="7" s="1"/>
  <c r="S35" i="7" s="1"/>
  <c r="H29" i="6"/>
  <c r="H30" i="6" s="1"/>
  <c r="H33" i="6" s="1"/>
  <c r="J33" i="7"/>
  <c r="J31" i="7" s="1"/>
  <c r="J32" i="7" s="1"/>
  <c r="J35" i="7" s="1"/>
  <c r="H25" i="7"/>
  <c r="F180" i="4"/>
  <c r="F181" i="4" s="1"/>
  <c r="G180" i="4"/>
  <c r="U154" i="4"/>
  <c r="U150" i="4"/>
  <c r="M150" i="4"/>
  <c r="N150" i="4"/>
  <c r="O150" i="4"/>
  <c r="P150" i="4"/>
  <c r="Q150" i="4"/>
  <c r="R150" i="4"/>
  <c r="S150" i="4"/>
  <c r="T150" i="4"/>
  <c r="L150" i="4"/>
  <c r="CS59" i="4"/>
  <c r="W30" i="6" l="1"/>
  <c r="BH41" i="4" a="1"/>
  <c r="L33" i="6"/>
  <c r="M30" i="6"/>
  <c r="M33" i="6" s="1"/>
  <c r="F182" i="4"/>
  <c r="BH41" i="4" l="1"/>
  <c r="BX101" i="4"/>
  <c r="V137" i="4" s="1"/>
  <c r="W33" i="6"/>
  <c r="BH42" i="4" a="1"/>
  <c r="G59" i="4"/>
  <c r="G277" i="4" s="1"/>
  <c r="H57" i="4"/>
  <c r="H59" i="4" s="1"/>
  <c r="H277" i="4" s="1"/>
  <c r="I59" i="4"/>
  <c r="F55" i="4"/>
  <c r="F59" i="4" s="1"/>
  <c r="F277" i="4" s="1"/>
  <c r="BM44" i="4" l="1"/>
  <c r="BU44" i="4"/>
  <c r="BN44" i="4"/>
  <c r="BV44" i="4"/>
  <c r="BO44" i="4"/>
  <c r="BW44" i="4"/>
  <c r="BP44" i="4"/>
  <c r="BI44" i="4"/>
  <c r="BQ44" i="4"/>
  <c r="BL44" i="4"/>
  <c r="BT44" i="4"/>
  <c r="BJ44" i="4"/>
  <c r="BR44" i="4"/>
  <c r="BK44" i="4"/>
  <c r="BS44" i="4"/>
  <c r="I132" i="4"/>
  <c r="I277" i="4"/>
  <c r="V213" i="4"/>
  <c r="V240" i="4"/>
  <c r="V256" i="4"/>
  <c r="V259" i="4"/>
  <c r="V253" i="4"/>
  <c r="V261" i="4"/>
  <c r="V246" i="4"/>
  <c r="BH42" i="4"/>
  <c r="BH44" i="4" s="1"/>
  <c r="BX102" i="4"/>
  <c r="BX103" i="4" s="1"/>
  <c r="F85" i="4"/>
  <c r="F63" i="4"/>
  <c r="F66" i="4" s="1"/>
  <c r="M180" i="4"/>
  <c r="M182" i="4" s="1"/>
  <c r="N180" i="4"/>
  <c r="N182" i="4" s="1"/>
  <c r="O180" i="4"/>
  <c r="O182" i="4" s="1"/>
  <c r="M248" i="4"/>
  <c r="M249" i="4" s="1"/>
  <c r="N248" i="4"/>
  <c r="N250" i="4" s="1"/>
  <c r="O248" i="4"/>
  <c r="O249" i="4" s="1"/>
  <c r="P248" i="4"/>
  <c r="P249" i="4" s="1"/>
  <c r="Q248" i="4"/>
  <c r="Q249" i="4" s="1"/>
  <c r="R248" i="4"/>
  <c r="R250" i="4" s="1"/>
  <c r="S248" i="4"/>
  <c r="S250" i="4" s="1"/>
  <c r="T248" i="4"/>
  <c r="T250" i="4" s="1"/>
  <c r="U248" i="4"/>
  <c r="U250" i="4" s="1"/>
  <c r="F248" i="4"/>
  <c r="F250" i="4" s="1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F243" i="4"/>
  <c r="F242" i="4"/>
  <c r="G201" i="4"/>
  <c r="H201" i="4"/>
  <c r="H202" i="4" s="1"/>
  <c r="I201" i="4"/>
  <c r="I203" i="4" s="1"/>
  <c r="J201" i="4"/>
  <c r="J203" i="4" s="1"/>
  <c r="K201" i="4"/>
  <c r="L201" i="4"/>
  <c r="L203" i="4" s="1"/>
  <c r="M201" i="4"/>
  <c r="M202" i="4" s="1"/>
  <c r="N201" i="4"/>
  <c r="N202" i="4" s="1"/>
  <c r="O201" i="4"/>
  <c r="P201" i="4"/>
  <c r="P202" i="4" s="1"/>
  <c r="Q201" i="4"/>
  <c r="Q203" i="4" s="1"/>
  <c r="R201" i="4"/>
  <c r="R203" i="4" s="1"/>
  <c r="S201" i="4"/>
  <c r="S202" i="4" s="1"/>
  <c r="T201" i="4"/>
  <c r="T203" i="4" s="1"/>
  <c r="U201" i="4"/>
  <c r="U203" i="4" s="1"/>
  <c r="F201" i="4"/>
  <c r="F203" i="4" s="1"/>
  <c r="G143" i="4"/>
  <c r="G144" i="4" s="1"/>
  <c r="H143" i="4"/>
  <c r="H144" i="4" s="1"/>
  <c r="I143" i="4"/>
  <c r="I145" i="4" s="1"/>
  <c r="J143" i="4"/>
  <c r="J144" i="4" s="1"/>
  <c r="K143" i="4"/>
  <c r="K144" i="4" s="1"/>
  <c r="L143" i="4"/>
  <c r="L145" i="4" s="1"/>
  <c r="M143" i="4"/>
  <c r="M144" i="4" s="1"/>
  <c r="N143" i="4"/>
  <c r="O143" i="4"/>
  <c r="O145" i="4" s="1"/>
  <c r="P143" i="4"/>
  <c r="P144" i="4" s="1"/>
  <c r="Q143" i="4"/>
  <c r="Q145" i="4" s="1"/>
  <c r="R143" i="4"/>
  <c r="S143" i="4"/>
  <c r="S144" i="4" s="1"/>
  <c r="T143" i="4"/>
  <c r="T145" i="4" s="1"/>
  <c r="U143" i="4"/>
  <c r="U144" i="4" s="1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F150" i="4"/>
  <c r="F143" i="4"/>
  <c r="F145" i="4" s="1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AP42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AP41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AP37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AP36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AP33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X39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X38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X37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X36" i="4"/>
  <c r="Y33" i="4"/>
  <c r="Y99" i="4" s="1"/>
  <c r="Z33" i="4"/>
  <c r="Z99" i="4" s="1"/>
  <c r="AA33" i="4"/>
  <c r="AA99" i="4" s="1"/>
  <c r="AB33" i="4"/>
  <c r="AB99" i="4" s="1"/>
  <c r="AC33" i="4"/>
  <c r="AC99" i="4" s="1"/>
  <c r="AD33" i="4"/>
  <c r="AD99" i="4" s="1"/>
  <c r="AE33" i="4"/>
  <c r="AE99" i="4" s="1"/>
  <c r="AF33" i="4"/>
  <c r="AF99" i="4" s="1"/>
  <c r="AG33" i="4"/>
  <c r="AG99" i="4" s="1"/>
  <c r="AH33" i="4"/>
  <c r="AH99" i="4" s="1"/>
  <c r="AI33" i="4"/>
  <c r="AI99" i="4" s="1"/>
  <c r="AJ33" i="4"/>
  <c r="AJ99" i="4" s="1"/>
  <c r="AK33" i="4"/>
  <c r="AK99" i="4" s="1"/>
  <c r="AL33" i="4"/>
  <c r="AL99" i="4" s="1"/>
  <c r="AM33" i="4"/>
  <c r="X33" i="4"/>
  <c r="X99" i="4" s="1"/>
  <c r="H33" i="65"/>
  <c r="I32" i="65"/>
  <c r="K32" i="65"/>
  <c r="L32" i="65"/>
  <c r="M32" i="65"/>
  <c r="N33" i="65"/>
  <c r="R32" i="65"/>
  <c r="R30" i="65" s="1"/>
  <c r="R31" i="65" s="1"/>
  <c r="R34" i="65" s="1"/>
  <c r="S32" i="65"/>
  <c r="T33" i="65"/>
  <c r="R33" i="65"/>
  <c r="S33" i="65"/>
  <c r="G33" i="65"/>
  <c r="Y30" i="4"/>
  <c r="Y97" i="4" s="1"/>
  <c r="Z30" i="4"/>
  <c r="Z97" i="4" s="1"/>
  <c r="AA30" i="4"/>
  <c r="AA97" i="4" s="1"/>
  <c r="AB30" i="4"/>
  <c r="AB97" i="4" s="1"/>
  <c r="AC30" i="4"/>
  <c r="AC97" i="4" s="1"/>
  <c r="AD30" i="4"/>
  <c r="AD97" i="4" s="1"/>
  <c r="AE30" i="4"/>
  <c r="AE97" i="4" s="1"/>
  <c r="AF30" i="4"/>
  <c r="AF97" i="4" s="1"/>
  <c r="AG30" i="4"/>
  <c r="AG97" i="4" s="1"/>
  <c r="AH30" i="4"/>
  <c r="AH97" i="4" s="1"/>
  <c r="AI30" i="4"/>
  <c r="AI97" i="4" s="1"/>
  <c r="AJ30" i="4"/>
  <c r="AJ97" i="4" s="1"/>
  <c r="AK30" i="4"/>
  <c r="AK97" i="4" s="1"/>
  <c r="AL30" i="4"/>
  <c r="AL97" i="4" s="1"/>
  <c r="AM30" i="4"/>
  <c r="AM97" i="4" s="1"/>
  <c r="X30" i="4"/>
  <c r="X97" i="4" s="1"/>
  <c r="Y28" i="4"/>
  <c r="Y96" i="4" s="1"/>
  <c r="Z28" i="4"/>
  <c r="Z96" i="4" s="1"/>
  <c r="AA28" i="4"/>
  <c r="AA96" i="4" s="1"/>
  <c r="AB28" i="4"/>
  <c r="AB96" i="4" s="1"/>
  <c r="AC28" i="4"/>
  <c r="AC96" i="4" s="1"/>
  <c r="AD28" i="4"/>
  <c r="AD96" i="4" s="1"/>
  <c r="AE28" i="4"/>
  <c r="AE96" i="4" s="1"/>
  <c r="AF28" i="4"/>
  <c r="AF96" i="4" s="1"/>
  <c r="AG28" i="4"/>
  <c r="AG96" i="4" s="1"/>
  <c r="AH28" i="4"/>
  <c r="AH96" i="4" s="1"/>
  <c r="AI28" i="4"/>
  <c r="AI96" i="4" s="1"/>
  <c r="AJ28" i="4"/>
  <c r="AJ96" i="4" s="1"/>
  <c r="AK28" i="4"/>
  <c r="AK96" i="4" s="1"/>
  <c r="AL28" i="4"/>
  <c r="AL96" i="4" s="1"/>
  <c r="AM28" i="4"/>
  <c r="AM96" i="4" s="1"/>
  <c r="X28" i="4"/>
  <c r="X96" i="4" s="1"/>
  <c r="Y26" i="4"/>
  <c r="Y92" i="4" s="1"/>
  <c r="Z26" i="4"/>
  <c r="Z92" i="4" s="1"/>
  <c r="AA26" i="4"/>
  <c r="AA92" i="4" s="1"/>
  <c r="AB26" i="4"/>
  <c r="AB92" i="4" s="1"/>
  <c r="AC26" i="4"/>
  <c r="AC92" i="4" s="1"/>
  <c r="AD26" i="4"/>
  <c r="AD92" i="4" s="1"/>
  <c r="AE26" i="4"/>
  <c r="AE92" i="4" s="1"/>
  <c r="AF26" i="4"/>
  <c r="AF92" i="4" s="1"/>
  <c r="AG26" i="4"/>
  <c r="AG92" i="4" s="1"/>
  <c r="AH26" i="4"/>
  <c r="AH92" i="4" s="1"/>
  <c r="AI26" i="4"/>
  <c r="AI92" i="4" s="1"/>
  <c r="AJ26" i="4"/>
  <c r="AJ92" i="4" s="1"/>
  <c r="AK26" i="4"/>
  <c r="AK92" i="4" s="1"/>
  <c r="AL26" i="4"/>
  <c r="AL92" i="4" s="1"/>
  <c r="AM26" i="4"/>
  <c r="AM92" i="4" s="1"/>
  <c r="X26" i="4"/>
  <c r="X92" i="4" s="1"/>
  <c r="Y24" i="4"/>
  <c r="Y93" i="4" s="1"/>
  <c r="Z24" i="4"/>
  <c r="Z93" i="4" s="1"/>
  <c r="AA24" i="4"/>
  <c r="AA93" i="4" s="1"/>
  <c r="AB24" i="4"/>
  <c r="AB93" i="4" s="1"/>
  <c r="AC24" i="4"/>
  <c r="AC93" i="4" s="1"/>
  <c r="AD24" i="4"/>
  <c r="AD93" i="4" s="1"/>
  <c r="AE24" i="4"/>
  <c r="AE93" i="4" s="1"/>
  <c r="AF24" i="4"/>
  <c r="AF93" i="4" s="1"/>
  <c r="AG24" i="4"/>
  <c r="AG93" i="4" s="1"/>
  <c r="AH24" i="4"/>
  <c r="AH93" i="4" s="1"/>
  <c r="AI24" i="4"/>
  <c r="AI93" i="4" s="1"/>
  <c r="AJ24" i="4"/>
  <c r="AJ93" i="4" s="1"/>
  <c r="AK24" i="4"/>
  <c r="AK93" i="4" s="1"/>
  <c r="AL24" i="4"/>
  <c r="AL93" i="4" s="1"/>
  <c r="AM24" i="4"/>
  <c r="AM93" i="4" s="1"/>
  <c r="X24" i="4"/>
  <c r="X93" i="4" s="1"/>
  <c r="CU8" i="4" a="1"/>
  <c r="CV8" i="4" a="1"/>
  <c r="CV8" i="4" s="1"/>
  <c r="CW8" i="4" a="1"/>
  <c r="CW8" i="4" s="1"/>
  <c r="CX8" i="4" a="1"/>
  <c r="CX8" i="4" s="1"/>
  <c r="CY8" i="4" a="1"/>
  <c r="CY8" i="4" s="1"/>
  <c r="CZ8" i="4" a="1"/>
  <c r="CZ8" i="4" s="1"/>
  <c r="DA8" i="4" a="1"/>
  <c r="DA8" i="4" s="1"/>
  <c r="DB8" i="4" a="1"/>
  <c r="DB8" i="4" s="1"/>
  <c r="DC8" i="4" a="1"/>
  <c r="DC8" i="4" s="1"/>
  <c r="DD8" i="4" a="1"/>
  <c r="DD8" i="4" s="1"/>
  <c r="DE8" i="4" a="1"/>
  <c r="DE8" i="4" s="1"/>
  <c r="DF8" i="4" a="1"/>
  <c r="DF8" i="4" s="1"/>
  <c r="DG8" i="4" a="1"/>
  <c r="DG8" i="4" s="1"/>
  <c r="DH8" i="4" a="1"/>
  <c r="DH8" i="4" s="1"/>
  <c r="CB8" i="4" a="1"/>
  <c r="CB8" i="4" s="1"/>
  <c r="CC8" i="4" a="1"/>
  <c r="CC8" i="4" s="1"/>
  <c r="CD8" i="4" a="1"/>
  <c r="CD8" i="4" s="1"/>
  <c r="CE8" i="4" a="1"/>
  <c r="CE8" i="4" s="1"/>
  <c r="CF8" i="4" a="1"/>
  <c r="CF8" i="4" s="1"/>
  <c r="CG8" i="4" a="1"/>
  <c r="CG8" i="4" s="1"/>
  <c r="CH8" i="4" a="1"/>
  <c r="CH8" i="4" s="1"/>
  <c r="CI8" i="4" a="1"/>
  <c r="CI8" i="4" s="1"/>
  <c r="CJ8" i="4" a="1"/>
  <c r="CJ8" i="4" s="1"/>
  <c r="CK8" i="4" a="1"/>
  <c r="CK8" i="4" s="1"/>
  <c r="CL8" i="4" a="1"/>
  <c r="CL8" i="4" s="1"/>
  <c r="CM8" i="4" a="1"/>
  <c r="CM8" i="4" s="1"/>
  <c r="CN8" i="4" a="1"/>
  <c r="CN8" i="4" s="1"/>
  <c r="CO8" i="4" a="1"/>
  <c r="CO8" i="4" s="1"/>
  <c r="CP8" i="4" a="1"/>
  <c r="CP8" i="4" s="1"/>
  <c r="CA8" i="4" a="1"/>
  <c r="CA8" i="4" s="1"/>
  <c r="BI8" i="4" a="1"/>
  <c r="BI8" i="4" s="1"/>
  <c r="BJ8" i="4" a="1"/>
  <c r="BJ8" i="4" s="1"/>
  <c r="BK8" i="4" a="1"/>
  <c r="BK8" i="4" s="1"/>
  <c r="BL8" i="4" a="1"/>
  <c r="BL8" i="4" s="1"/>
  <c r="BM8" i="4" a="1"/>
  <c r="BM8" i="4" s="1"/>
  <c r="BN8" i="4" a="1"/>
  <c r="BN8" i="4" s="1"/>
  <c r="BO8" i="4" a="1"/>
  <c r="BO8" i="4" s="1"/>
  <c r="BP8" i="4" a="1"/>
  <c r="BP8" i="4" s="1"/>
  <c r="BQ8" i="4" a="1"/>
  <c r="BQ8" i="4" s="1"/>
  <c r="BR8" i="4" a="1"/>
  <c r="BR8" i="4" s="1"/>
  <c r="BS8" i="4" a="1"/>
  <c r="BS8" i="4" s="1"/>
  <c r="BT8" i="4" a="1"/>
  <c r="BT8" i="4" s="1"/>
  <c r="BU8" i="4" a="1"/>
  <c r="BU8" i="4" s="1"/>
  <c r="BV8" i="4" a="1"/>
  <c r="BV8" i="4" s="1"/>
  <c r="BW8" i="4" a="1"/>
  <c r="BW8" i="4" s="1"/>
  <c r="BH8" i="4" a="1"/>
  <c r="BH8" i="4" s="1"/>
  <c r="AQ8" i="4" a="1"/>
  <c r="AR8" i="4" a="1"/>
  <c r="AS8" i="4" a="1"/>
  <c r="AT8" i="4" a="1"/>
  <c r="AU8" i="4" a="1"/>
  <c r="AV8" i="4" a="1"/>
  <c r="AW8" i="4" a="1"/>
  <c r="AX8" i="4" a="1"/>
  <c r="AY8" i="4" a="1"/>
  <c r="AZ8" i="4" a="1"/>
  <c r="BA8" i="4" a="1"/>
  <c r="BB8" i="4" a="1"/>
  <c r="BC8" i="4" a="1"/>
  <c r="BD8" i="4" a="1"/>
  <c r="BE8" i="4" a="1"/>
  <c r="AP8" i="4" a="1"/>
  <c r="Y22" i="4"/>
  <c r="Y89" i="4" s="1"/>
  <c r="Z22" i="4"/>
  <c r="Z89" i="4" s="1"/>
  <c r="AA22" i="4"/>
  <c r="AA89" i="4" s="1"/>
  <c r="AB22" i="4"/>
  <c r="AB89" i="4" s="1"/>
  <c r="AC22" i="4"/>
  <c r="AC89" i="4" s="1"/>
  <c r="AD22" i="4"/>
  <c r="AD89" i="4" s="1"/>
  <c r="AE22" i="4"/>
  <c r="AE89" i="4" s="1"/>
  <c r="AF22" i="4"/>
  <c r="AF89" i="4" s="1"/>
  <c r="AG22" i="4"/>
  <c r="AG89" i="4" s="1"/>
  <c r="AH22" i="4"/>
  <c r="AH89" i="4" s="1"/>
  <c r="AI22" i="4"/>
  <c r="AI89" i="4" s="1"/>
  <c r="AJ22" i="4"/>
  <c r="AJ89" i="4" s="1"/>
  <c r="AK22" i="4"/>
  <c r="AK89" i="4" s="1"/>
  <c r="AL22" i="4"/>
  <c r="AL89" i="4" s="1"/>
  <c r="AM22" i="4"/>
  <c r="AM89" i="4" s="1"/>
  <c r="X22" i="4"/>
  <c r="X89" i="4" s="1"/>
  <c r="Y20" i="4"/>
  <c r="Y88" i="4" s="1"/>
  <c r="Z20" i="4"/>
  <c r="Z88" i="4" s="1"/>
  <c r="AA20" i="4"/>
  <c r="AA88" i="4" s="1"/>
  <c r="AB20" i="4"/>
  <c r="AB88" i="4" s="1"/>
  <c r="AC20" i="4"/>
  <c r="AC88" i="4" s="1"/>
  <c r="AD20" i="4"/>
  <c r="AD88" i="4" s="1"/>
  <c r="AE20" i="4"/>
  <c r="AE88" i="4" s="1"/>
  <c r="AF20" i="4"/>
  <c r="AF88" i="4" s="1"/>
  <c r="AG20" i="4"/>
  <c r="AG88" i="4" s="1"/>
  <c r="AH20" i="4"/>
  <c r="AH88" i="4" s="1"/>
  <c r="AI20" i="4"/>
  <c r="AI88" i="4" s="1"/>
  <c r="AJ20" i="4"/>
  <c r="AJ88" i="4" s="1"/>
  <c r="AK20" i="4"/>
  <c r="AK88" i="4" s="1"/>
  <c r="AL20" i="4"/>
  <c r="AL88" i="4" s="1"/>
  <c r="AM20" i="4"/>
  <c r="AM88" i="4" s="1"/>
  <c r="X20" i="4"/>
  <c r="X88" i="4" s="1"/>
  <c r="Y18" i="4"/>
  <c r="Y85" i="4" s="1"/>
  <c r="Z18" i="4"/>
  <c r="Z85" i="4" s="1"/>
  <c r="AA18" i="4"/>
  <c r="AA85" i="4" s="1"/>
  <c r="AB18" i="4"/>
  <c r="AB85" i="4" s="1"/>
  <c r="AC18" i="4"/>
  <c r="AC85" i="4" s="1"/>
  <c r="AD18" i="4"/>
  <c r="AD85" i="4" s="1"/>
  <c r="AE18" i="4"/>
  <c r="AE85" i="4" s="1"/>
  <c r="AF18" i="4"/>
  <c r="AF85" i="4" s="1"/>
  <c r="AG18" i="4"/>
  <c r="AG85" i="4" s="1"/>
  <c r="AH18" i="4"/>
  <c r="AH85" i="4" s="1"/>
  <c r="AI18" i="4"/>
  <c r="AI85" i="4" s="1"/>
  <c r="AJ18" i="4"/>
  <c r="AJ85" i="4" s="1"/>
  <c r="AK18" i="4"/>
  <c r="AK85" i="4" s="1"/>
  <c r="AL18" i="4"/>
  <c r="AL85" i="4" s="1"/>
  <c r="AM18" i="4"/>
  <c r="AM85" i="4" s="1"/>
  <c r="X18" i="4"/>
  <c r="X85" i="4" s="1"/>
  <c r="Y8" i="4" a="1"/>
  <c r="Y77" i="4" s="1"/>
  <c r="Z8" i="4" a="1"/>
  <c r="AA8" i="4" a="1"/>
  <c r="AB8" i="4" a="1"/>
  <c r="AC8" i="4" a="1"/>
  <c r="AD8" i="4" a="1"/>
  <c r="AD80" i="4" s="1"/>
  <c r="AE8" i="4" a="1"/>
  <c r="AF8" i="4" a="1"/>
  <c r="AF75" i="4" s="1"/>
  <c r="AG8" i="4" a="1"/>
  <c r="AG80" i="4" s="1"/>
  <c r="AH8" i="4" a="1"/>
  <c r="AH77" i="4" s="1"/>
  <c r="AI8" i="4" a="1"/>
  <c r="AJ8" i="4" a="1"/>
  <c r="AK8" i="4" a="1"/>
  <c r="AL8" i="4" a="1"/>
  <c r="AM8" i="4" a="1"/>
  <c r="AM8" i="4" s="1"/>
  <c r="AM74" i="4" s="1"/>
  <c r="X8" i="4" a="1"/>
  <c r="H34" i="7"/>
  <c r="G33" i="7"/>
  <c r="R39" i="4"/>
  <c r="S39" i="4"/>
  <c r="T39" i="4"/>
  <c r="U39" i="4"/>
  <c r="Q39" i="4"/>
  <c r="P39" i="4"/>
  <c r="L39" i="4"/>
  <c r="M39" i="4"/>
  <c r="N39" i="4"/>
  <c r="O39" i="4"/>
  <c r="K39" i="4"/>
  <c r="J39" i="4"/>
  <c r="R38" i="4"/>
  <c r="S38" i="4"/>
  <c r="T38" i="4"/>
  <c r="U38" i="4"/>
  <c r="Q38" i="4"/>
  <c r="P38" i="4"/>
  <c r="L38" i="4"/>
  <c r="M38" i="4"/>
  <c r="N38" i="4"/>
  <c r="O38" i="4"/>
  <c r="K38" i="4"/>
  <c r="J38" i="4"/>
  <c r="U37" i="4"/>
  <c r="R37" i="4"/>
  <c r="S37" i="4"/>
  <c r="T37" i="4"/>
  <c r="Q37" i="4"/>
  <c r="P37" i="4"/>
  <c r="L37" i="4"/>
  <c r="M37" i="4"/>
  <c r="N37" i="4"/>
  <c r="O37" i="4"/>
  <c r="K37" i="4"/>
  <c r="J37" i="4"/>
  <c r="R36" i="4"/>
  <c r="S36" i="4"/>
  <c r="T36" i="4"/>
  <c r="U36" i="4"/>
  <c r="Q36" i="4"/>
  <c r="P36" i="4"/>
  <c r="L36" i="4"/>
  <c r="M36" i="4"/>
  <c r="N36" i="4"/>
  <c r="O36" i="4"/>
  <c r="K36" i="4"/>
  <c r="J36" i="4"/>
  <c r="R33" i="4"/>
  <c r="S33" i="4"/>
  <c r="T33" i="4"/>
  <c r="U33" i="4"/>
  <c r="Q33" i="4"/>
  <c r="L33" i="4"/>
  <c r="M33" i="4"/>
  <c r="N33" i="4"/>
  <c r="O33" i="4"/>
  <c r="K33" i="4"/>
  <c r="J33" i="4"/>
  <c r="R30" i="4"/>
  <c r="S30" i="4"/>
  <c r="T30" i="4"/>
  <c r="U30" i="4"/>
  <c r="Q30" i="4"/>
  <c r="P30" i="4"/>
  <c r="L30" i="4"/>
  <c r="M30" i="4"/>
  <c r="N30" i="4"/>
  <c r="O30" i="4"/>
  <c r="K30" i="4"/>
  <c r="J30" i="4"/>
  <c r="R28" i="4"/>
  <c r="S28" i="4"/>
  <c r="T28" i="4"/>
  <c r="U28" i="4"/>
  <c r="Q28" i="4"/>
  <c r="P28" i="4"/>
  <c r="L28" i="4"/>
  <c r="M28" i="4"/>
  <c r="N28" i="4"/>
  <c r="O28" i="4"/>
  <c r="K28" i="4"/>
  <c r="J28" i="4" s="1"/>
  <c r="Q24" i="4"/>
  <c r="R24" i="4"/>
  <c r="S24" i="4"/>
  <c r="T24" i="4"/>
  <c r="U24" i="4"/>
  <c r="P24" i="4"/>
  <c r="J18" i="4"/>
  <c r="J85" i="4" s="1"/>
  <c r="J8" i="4" a="1"/>
  <c r="J8" i="4" s="1"/>
  <c r="AM132" i="4"/>
  <c r="AF132" i="4"/>
  <c r="AG132" i="4"/>
  <c r="AH132" i="4"/>
  <c r="AI132" i="4"/>
  <c r="AJ132" i="4"/>
  <c r="AK132" i="4"/>
  <c r="AL132" i="4"/>
  <c r="X132" i="4"/>
  <c r="Y132" i="4"/>
  <c r="Z132" i="4"/>
  <c r="AA132" i="4"/>
  <c r="AB132" i="4"/>
  <c r="AC132" i="4"/>
  <c r="AD132" i="4"/>
  <c r="AE132" i="4"/>
  <c r="BD44" i="4" l="1"/>
  <c r="BC44" i="4"/>
  <c r="AV44" i="4"/>
  <c r="AX44" i="4"/>
  <c r="BE44" i="4"/>
  <c r="AW44" i="4"/>
  <c r="AT44" i="4"/>
  <c r="BA44" i="4"/>
  <c r="AU44" i="4"/>
  <c r="AZ44" i="4"/>
  <c r="BB44" i="4"/>
  <c r="AY44" i="4"/>
  <c r="AS44" i="4"/>
  <c r="AR44" i="4"/>
  <c r="AP44" i="4"/>
  <c r="CU8" i="4"/>
  <c r="CT8" i="4" s="1"/>
  <c r="CT14" i="4"/>
  <c r="CT13" i="4"/>
  <c r="CT9" i="4"/>
  <c r="CT12" i="4"/>
  <c r="CT11" i="4"/>
  <c r="CT10" i="4"/>
  <c r="F64" i="4"/>
  <c r="S30" i="65"/>
  <c r="S31" i="65" s="1"/>
  <c r="S34" i="65" s="1"/>
  <c r="N32" i="65"/>
  <c r="N30" i="65" s="1"/>
  <c r="AF90" i="4"/>
  <c r="I33" i="65"/>
  <c r="I30" i="65" s="1"/>
  <c r="AH94" i="4"/>
  <c r="AE94" i="4"/>
  <c r="AH90" i="4"/>
  <c r="AK94" i="4"/>
  <c r="I34" i="7"/>
  <c r="I33" i="7"/>
  <c r="O43" i="4"/>
  <c r="L43" i="4"/>
  <c r="M43" i="4"/>
  <c r="N43" i="4"/>
  <c r="K43" i="4"/>
  <c r="J43" i="4"/>
  <c r="G34" i="7"/>
  <c r="F43" i="4" s="1"/>
  <c r="T32" i="65"/>
  <c r="T30" i="65" s="1"/>
  <c r="AD90" i="4"/>
  <c r="AC90" i="4"/>
  <c r="AB90" i="4"/>
  <c r="Z90" i="4"/>
  <c r="M33" i="65"/>
  <c r="M30" i="65" s="1"/>
  <c r="AK90" i="4"/>
  <c r="AC94" i="4"/>
  <c r="L33" i="65"/>
  <c r="L30" i="65" s="1"/>
  <c r="K33" i="65"/>
  <c r="K30" i="65" s="1"/>
  <c r="AM90" i="4"/>
  <c r="AH42" i="4"/>
  <c r="AH102" i="4" s="1"/>
  <c r="AI41" i="4"/>
  <c r="AI101" i="4" s="1"/>
  <c r="AH41" i="4"/>
  <c r="AH101" i="4" s="1"/>
  <c r="AI42" i="4"/>
  <c r="AI102" i="4" s="1"/>
  <c r="H33" i="7"/>
  <c r="H31" i="7" s="1"/>
  <c r="P250" i="4"/>
  <c r="Z94" i="4"/>
  <c r="F83" i="4"/>
  <c r="F84" i="4"/>
  <c r="AG90" i="4"/>
  <c r="AE90" i="4"/>
  <c r="O250" i="4"/>
  <c r="M145" i="4"/>
  <c r="AJ90" i="4"/>
  <c r="O181" i="4"/>
  <c r="N249" i="4"/>
  <c r="N181" i="4"/>
  <c r="N203" i="4"/>
  <c r="AI90" i="4"/>
  <c r="R249" i="4"/>
  <c r="M250" i="4"/>
  <c r="T249" i="4"/>
  <c r="G145" i="4"/>
  <c r="U249" i="4"/>
  <c r="AF80" i="4"/>
  <c r="M181" i="4"/>
  <c r="O144" i="4"/>
  <c r="H145" i="4"/>
  <c r="Q250" i="4"/>
  <c r="S249" i="4"/>
  <c r="F249" i="4"/>
  <c r="AM94" i="4"/>
  <c r="AB94" i="4"/>
  <c r="U145" i="4"/>
  <c r="R202" i="4"/>
  <c r="P145" i="4"/>
  <c r="J202" i="4"/>
  <c r="AM80" i="4"/>
  <c r="F202" i="4"/>
  <c r="AM79" i="4"/>
  <c r="Y78" i="4"/>
  <c r="K145" i="4"/>
  <c r="AM78" i="4"/>
  <c r="AM77" i="4"/>
  <c r="AM76" i="4"/>
  <c r="U202" i="4"/>
  <c r="AM75" i="4"/>
  <c r="AK8" i="4"/>
  <c r="AK74" i="4" s="1"/>
  <c r="AK78" i="4"/>
  <c r="AK77" i="4"/>
  <c r="AK76" i="4"/>
  <c r="AK75" i="4"/>
  <c r="AK79" i="4"/>
  <c r="AK80" i="4"/>
  <c r="BC8" i="4"/>
  <c r="AJ8" i="4"/>
  <c r="AJ74" i="4" s="1"/>
  <c r="AJ77" i="4"/>
  <c r="AJ76" i="4"/>
  <c r="AJ75" i="4"/>
  <c r="AJ78" i="4"/>
  <c r="AJ80" i="4"/>
  <c r="AJ79" i="4"/>
  <c r="BB8" i="4"/>
  <c r="AJ94" i="4"/>
  <c r="BA8" i="4"/>
  <c r="AU8" i="4"/>
  <c r="AB8" i="4"/>
  <c r="AB74" i="4" s="1"/>
  <c r="AB77" i="4"/>
  <c r="AB76" i="4"/>
  <c r="AB75" i="4"/>
  <c r="AB79" i="4"/>
  <c r="AB80" i="4"/>
  <c r="AB78" i="4"/>
  <c r="AI8" i="4"/>
  <c r="AI74" i="4" s="1"/>
  <c r="AI76" i="4"/>
  <c r="AI75" i="4"/>
  <c r="AI80" i="4"/>
  <c r="AI77" i="4"/>
  <c r="AI78" i="4"/>
  <c r="AI79" i="4"/>
  <c r="AA90" i="4"/>
  <c r="AI94" i="4"/>
  <c r="N144" i="4"/>
  <c r="N145" i="4"/>
  <c r="AC8" i="4"/>
  <c r="AC74" i="4" s="1"/>
  <c r="AC78" i="4"/>
  <c r="AC77" i="4"/>
  <c r="AC76" i="4"/>
  <c r="AC75" i="4"/>
  <c r="AC79" i="4"/>
  <c r="AC80" i="4"/>
  <c r="AT8" i="4"/>
  <c r="AA8" i="4"/>
  <c r="AA74" i="4" s="1"/>
  <c r="AA76" i="4"/>
  <c r="AA75" i="4"/>
  <c r="AA79" i="4"/>
  <c r="AA80" i="4"/>
  <c r="AA78" i="4"/>
  <c r="AA77" i="4"/>
  <c r="AS8" i="4"/>
  <c r="AA94" i="4"/>
  <c r="AG8" i="4"/>
  <c r="AG74" i="4" s="1"/>
  <c r="AG79" i="4"/>
  <c r="AG77" i="4"/>
  <c r="AG75" i="4"/>
  <c r="Y8" i="4"/>
  <c r="Y74" i="4" s="1"/>
  <c r="Y79" i="4"/>
  <c r="Y76" i="4"/>
  <c r="Y90" i="4"/>
  <c r="AY8" i="4"/>
  <c r="AQ8" i="4"/>
  <c r="AG94" i="4"/>
  <c r="Y94" i="4"/>
  <c r="Y80" i="4"/>
  <c r="AH79" i="4"/>
  <c r="AH76" i="4"/>
  <c r="Z8" i="4"/>
  <c r="Z74" i="4" s="1"/>
  <c r="Z75" i="4"/>
  <c r="Z80" i="4"/>
  <c r="Z78" i="4"/>
  <c r="Z76" i="4"/>
  <c r="AR8" i="4"/>
  <c r="AP8" i="4"/>
  <c r="AX8" i="4"/>
  <c r="X94" i="4"/>
  <c r="AF94" i="4"/>
  <c r="AH78" i="4"/>
  <c r="AG76" i="4"/>
  <c r="Y75" i="4"/>
  <c r="AH8" i="4"/>
  <c r="AH74" i="4" s="1"/>
  <c r="AH75" i="4"/>
  <c r="AH80" i="4"/>
  <c r="AZ8" i="4"/>
  <c r="X8" i="4"/>
  <c r="X74" i="4" s="1"/>
  <c r="X80" i="4"/>
  <c r="X79" i="4"/>
  <c r="X78" i="4"/>
  <c r="X77" i="4"/>
  <c r="AF8" i="4"/>
  <c r="AF74" i="4" s="1"/>
  <c r="AF79" i="4"/>
  <c r="AF78" i="4"/>
  <c r="AF77" i="4"/>
  <c r="X90" i="4"/>
  <c r="AE8" i="4"/>
  <c r="AE74" i="4" s="1"/>
  <c r="AE80" i="4"/>
  <c r="AE79" i="4"/>
  <c r="AE78" i="4"/>
  <c r="AE77" i="4"/>
  <c r="AE76" i="4"/>
  <c r="AE75" i="4"/>
  <c r="BE8" i="4"/>
  <c r="AW8" i="4"/>
  <c r="Z79" i="4"/>
  <c r="AG78" i="4"/>
  <c r="AF76" i="4"/>
  <c r="X75" i="4"/>
  <c r="AL8" i="4"/>
  <c r="AL74" i="4" s="1"/>
  <c r="AL79" i="4"/>
  <c r="AL78" i="4"/>
  <c r="AL77" i="4"/>
  <c r="AL76" i="4"/>
  <c r="AL75" i="4"/>
  <c r="AL80" i="4"/>
  <c r="AD8" i="4"/>
  <c r="AD74" i="4" s="1"/>
  <c r="AD79" i="4"/>
  <c r="AD78" i="4"/>
  <c r="AD77" i="4"/>
  <c r="AD76" i="4"/>
  <c r="AD75" i="4"/>
  <c r="AL90" i="4"/>
  <c r="BD8" i="4"/>
  <c r="AV8" i="4"/>
  <c r="AL94" i="4"/>
  <c r="AD94" i="4"/>
  <c r="Z77" i="4"/>
  <c r="X76" i="4"/>
  <c r="J145" i="4"/>
  <c r="F144" i="4"/>
  <c r="O202" i="4"/>
  <c r="O203" i="4"/>
  <c r="G203" i="4"/>
  <c r="G202" i="4"/>
  <c r="R144" i="4"/>
  <c r="R145" i="4"/>
  <c r="S203" i="4"/>
  <c r="K202" i="4"/>
  <c r="K203" i="4"/>
  <c r="M203" i="4"/>
  <c r="S145" i="4"/>
  <c r="P203" i="4"/>
  <c r="H203" i="4"/>
  <c r="T202" i="4"/>
  <c r="L202" i="4"/>
  <c r="Q202" i="4"/>
  <c r="I202" i="4"/>
  <c r="T144" i="4"/>
  <c r="L144" i="4"/>
  <c r="Q144" i="4"/>
  <c r="I144" i="4"/>
  <c r="H32" i="65"/>
  <c r="H30" i="65" s="1"/>
  <c r="G32" i="65"/>
  <c r="I31" i="7" l="1"/>
  <c r="S41" i="4" s="1"/>
  <c r="AL41" i="4"/>
  <c r="AL101" i="4" s="1"/>
  <c r="AJ42" i="4"/>
  <c r="AJ102" i="4" s="1"/>
  <c r="AJ41" i="4"/>
  <c r="AJ101" i="4" s="1"/>
  <c r="T43" i="4"/>
  <c r="S43" i="4"/>
  <c r="R43" i="4"/>
  <c r="U43" i="4"/>
  <c r="Q43" i="4"/>
  <c r="P43" i="4"/>
  <c r="AH103" i="4"/>
  <c r="I31" i="65"/>
  <c r="Z41" i="4"/>
  <c r="Z101" i="4" s="1"/>
  <c r="G31" i="7"/>
  <c r="G32" i="7" s="1"/>
  <c r="G35" i="7" s="1"/>
  <c r="K31" i="65"/>
  <c r="AB41" i="4"/>
  <c r="AB101" i="4" s="1"/>
  <c r="M31" i="65"/>
  <c r="AD41" i="4"/>
  <c r="AD101" i="4" s="1"/>
  <c r="AI103" i="4"/>
  <c r="AA41" i="4"/>
  <c r="AA101" i="4" s="1"/>
  <c r="L31" i="65"/>
  <c r="AC41" i="4"/>
  <c r="AC101" i="4" s="1"/>
  <c r="AG41" i="4"/>
  <c r="AG101" i="4" s="1"/>
  <c r="T31" i="65"/>
  <c r="AK41" i="4"/>
  <c r="AK101" i="4" s="1"/>
  <c r="AM41" i="4"/>
  <c r="AM101" i="4" s="1"/>
  <c r="AF41" i="4"/>
  <c r="AF101" i="4" s="1"/>
  <c r="N31" i="65"/>
  <c r="AE41" i="4"/>
  <c r="AE101" i="4" s="1"/>
  <c r="H31" i="65"/>
  <c r="Y41" i="4"/>
  <c r="Y101" i="4" s="1"/>
  <c r="G30" i="65"/>
  <c r="X41" i="4" s="1"/>
  <c r="X101" i="4" s="1"/>
  <c r="H32" i="7"/>
  <c r="O41" i="4"/>
  <c r="K41" i="4"/>
  <c r="J41" i="4"/>
  <c r="L41" i="4"/>
  <c r="M41" i="4"/>
  <c r="N41" i="4"/>
  <c r="AG81" i="4"/>
  <c r="Y81" i="4"/>
  <c r="AM81" i="4"/>
  <c r="AL81" i="4"/>
  <c r="AC81" i="4"/>
  <c r="AD81" i="4"/>
  <c r="X81" i="4"/>
  <c r="AE81" i="4"/>
  <c r="AH81" i="4"/>
  <c r="AA81" i="4"/>
  <c r="AB81" i="4"/>
  <c r="Z81" i="4"/>
  <c r="AJ81" i="4"/>
  <c r="AF81" i="4"/>
  <c r="AI81" i="4"/>
  <c r="AK81" i="4"/>
  <c r="R41" i="4" l="1"/>
  <c r="U41" i="4"/>
  <c r="Q41" i="4"/>
  <c r="I32" i="7"/>
  <c r="P42" i="4" s="1"/>
  <c r="P41" i="4"/>
  <c r="T41" i="4"/>
  <c r="AJ103" i="4"/>
  <c r="AL42" i="4"/>
  <c r="AL102" i="4" s="1"/>
  <c r="I34" i="65"/>
  <c r="Z42" i="4"/>
  <c r="Z102" i="4" s="1"/>
  <c r="K34" i="65"/>
  <c r="AB42" i="4"/>
  <c r="AB102" i="4" s="1"/>
  <c r="AA42" i="4"/>
  <c r="AA102" i="4" s="1"/>
  <c r="M34" i="65"/>
  <c r="AD42" i="4"/>
  <c r="AD102" i="4" s="1"/>
  <c r="AM42" i="4"/>
  <c r="AM102" i="4" s="1"/>
  <c r="N34" i="65"/>
  <c r="AE42" i="4"/>
  <c r="AE102" i="4" s="1"/>
  <c r="AF42" i="4"/>
  <c r="AF102" i="4" s="1"/>
  <c r="T34" i="65"/>
  <c r="AK42" i="4"/>
  <c r="AK102" i="4" s="1"/>
  <c r="AG42" i="4"/>
  <c r="AG102" i="4" s="1"/>
  <c r="Y42" i="4"/>
  <c r="Y102" i="4" s="1"/>
  <c r="H34" i="65"/>
  <c r="L34" i="65"/>
  <c r="AC42" i="4"/>
  <c r="AC102" i="4" s="1"/>
  <c r="G31" i="65"/>
  <c r="O42" i="4"/>
  <c r="O44" i="4" s="1"/>
  <c r="N42" i="4"/>
  <c r="N44" i="4" s="1"/>
  <c r="K42" i="4"/>
  <c r="K44" i="4" s="1"/>
  <c r="J42" i="4"/>
  <c r="J44" i="4" s="1"/>
  <c r="L42" i="4"/>
  <c r="L44" i="4" s="1"/>
  <c r="M42" i="4"/>
  <c r="M44" i="4" s="1"/>
  <c r="H35" i="7"/>
  <c r="K24" i="4"/>
  <c r="L24" i="4"/>
  <c r="M24" i="4"/>
  <c r="N24" i="4"/>
  <c r="O24" i="4"/>
  <c r="J24" i="4"/>
  <c r="K26" i="4"/>
  <c r="L26" i="4"/>
  <c r="M26" i="4"/>
  <c r="N26" i="4"/>
  <c r="O26" i="4"/>
  <c r="J26" i="4"/>
  <c r="Q22" i="4"/>
  <c r="R22" i="4"/>
  <c r="S22" i="4"/>
  <c r="T22" i="4"/>
  <c r="U22" i="4"/>
  <c r="P22" i="4"/>
  <c r="Q20" i="4"/>
  <c r="R20" i="4"/>
  <c r="S20" i="4"/>
  <c r="T20" i="4"/>
  <c r="U20" i="4"/>
  <c r="P20" i="4"/>
  <c r="Q18" i="4"/>
  <c r="R18" i="4"/>
  <c r="S18" i="4"/>
  <c r="T18" i="4"/>
  <c r="U18" i="4"/>
  <c r="P18" i="4"/>
  <c r="P44" i="4" l="1"/>
  <c r="U42" i="4"/>
  <c r="U44" i="4" s="1"/>
  <c r="I35" i="7"/>
  <c r="S42" i="4"/>
  <c r="S44" i="4" s="1"/>
  <c r="T42" i="4"/>
  <c r="T44" i="4" s="1"/>
  <c r="R42" i="4"/>
  <c r="R44" i="4" s="1"/>
  <c r="Q42" i="4"/>
  <c r="Q44" i="4" s="1"/>
  <c r="AL103" i="4"/>
  <c r="AD103" i="4"/>
  <c r="AM103" i="4"/>
  <c r="AK103" i="4"/>
  <c r="AF103" i="4"/>
  <c r="AG103" i="4"/>
  <c r="AC103" i="4"/>
  <c r="AA103" i="4"/>
  <c r="AE103" i="4"/>
  <c r="Y103" i="4"/>
  <c r="Z103" i="4"/>
  <c r="AB103" i="4"/>
  <c r="G34" i="65"/>
  <c r="X42" i="4"/>
  <c r="X102" i="4" s="1"/>
  <c r="K18" i="4"/>
  <c r="L18" i="4"/>
  <c r="M18" i="4"/>
  <c r="N18" i="4"/>
  <c r="O18" i="4"/>
  <c r="CA59" i="4"/>
  <c r="BH59" i="4"/>
  <c r="AP59" i="4"/>
  <c r="K63" i="4"/>
  <c r="K66" i="4" s="1"/>
  <c r="L63" i="4"/>
  <c r="L66" i="4" s="1"/>
  <c r="M63" i="4"/>
  <c r="M66" i="4" s="1"/>
  <c r="N63" i="4"/>
  <c r="N66" i="4" s="1"/>
  <c r="O63" i="4"/>
  <c r="O66" i="4" s="1"/>
  <c r="P63" i="4"/>
  <c r="P66" i="4" s="1"/>
  <c r="Q63" i="4"/>
  <c r="Q66" i="4" s="1"/>
  <c r="R63" i="4"/>
  <c r="S63" i="4"/>
  <c r="T63" i="4"/>
  <c r="T66" i="4" s="1"/>
  <c r="U63" i="4"/>
  <c r="U66" i="4" s="1"/>
  <c r="G63" i="4"/>
  <c r="G66" i="4" s="1"/>
  <c r="H63" i="4"/>
  <c r="H66" i="4" s="1"/>
  <c r="I63" i="4"/>
  <c r="I66" i="4" s="1"/>
  <c r="K22" i="4"/>
  <c r="L22" i="4"/>
  <c r="M22" i="4"/>
  <c r="N22" i="4"/>
  <c r="O22" i="4"/>
  <c r="J22" i="4"/>
  <c r="K20" i="4"/>
  <c r="L20" i="4"/>
  <c r="M20" i="4"/>
  <c r="N20" i="4"/>
  <c r="O20" i="4"/>
  <c r="J20" i="4"/>
  <c r="G20" i="4"/>
  <c r="H20" i="4"/>
  <c r="I20" i="4"/>
  <c r="F20" i="4"/>
  <c r="G18" i="4"/>
  <c r="G83" i="4" s="1"/>
  <c r="H18" i="4"/>
  <c r="H83" i="4" s="1"/>
  <c r="I18" i="4"/>
  <c r="I83" i="4" s="1"/>
  <c r="T8" i="4" a="1"/>
  <c r="S8" i="4" a="1"/>
  <c r="R8" i="4" a="1"/>
  <c r="Q8" i="4" a="1"/>
  <c r="P8" i="4" a="1"/>
  <c r="O8" i="4" a="1"/>
  <c r="N8" i="4" a="1"/>
  <c r="M8" i="4" a="1"/>
  <c r="L8" i="4" a="1"/>
  <c r="K8" i="4" a="1"/>
  <c r="K8" i="4" s="1"/>
  <c r="BH102" i="4" l="1"/>
  <c r="F61" i="4"/>
  <c r="X103" i="4"/>
  <c r="S66" i="4"/>
  <c r="S64" i="4"/>
  <c r="R66" i="4"/>
  <c r="R64" i="4"/>
  <c r="J63" i="4"/>
  <c r="J66" i="4" s="1"/>
  <c r="I85" i="4"/>
  <c r="I84" i="4"/>
  <c r="H84" i="4"/>
  <c r="G84" i="4"/>
  <c r="F88" i="4"/>
  <c r="F87" i="4"/>
  <c r="F86" i="4"/>
  <c r="I86" i="4"/>
  <c r="I87" i="4"/>
  <c r="H86" i="4"/>
  <c r="H87" i="4"/>
  <c r="G87" i="4"/>
  <c r="G86" i="4"/>
  <c r="DD111" i="4"/>
  <c r="DD49" i="4"/>
  <c r="DD109" i="4"/>
  <c r="DD47" i="4"/>
  <c r="DD50" i="4"/>
  <c r="DD112" i="4"/>
  <c r="DD46" i="4"/>
  <c r="DD110" i="4"/>
  <c r="DD48" i="4"/>
  <c r="DD51" i="4"/>
  <c r="DD107" i="4"/>
  <c r="DD108" i="4"/>
  <c r="P93" i="4"/>
  <c r="P102" i="4"/>
  <c r="P270" i="4" s="1"/>
  <c r="P99" i="4"/>
  <c r="P97" i="4"/>
  <c r="P92" i="4"/>
  <c r="P89" i="4"/>
  <c r="P96" i="4"/>
  <c r="P101" i="4"/>
  <c r="P85" i="4"/>
  <c r="P88" i="4"/>
  <c r="AZ132" i="4"/>
  <c r="AZ101" i="4"/>
  <c r="AZ93" i="4"/>
  <c r="AZ96" i="4"/>
  <c r="AZ89" i="4"/>
  <c r="AZ99" i="4"/>
  <c r="AZ92" i="4"/>
  <c r="AZ85" i="4"/>
  <c r="AZ97" i="4"/>
  <c r="AZ88" i="4"/>
  <c r="AZ77" i="4"/>
  <c r="AZ102" i="4"/>
  <c r="AZ78" i="4"/>
  <c r="AZ75" i="4"/>
  <c r="AZ79" i="4"/>
  <c r="AZ76" i="4"/>
  <c r="AZ80" i="4"/>
  <c r="AZ74" i="4"/>
  <c r="AR132" i="4"/>
  <c r="AR101" i="4"/>
  <c r="AR93" i="4"/>
  <c r="AR97" i="4"/>
  <c r="AR99" i="4"/>
  <c r="AR89" i="4"/>
  <c r="AR96" i="4"/>
  <c r="AR85" i="4"/>
  <c r="AR92" i="4"/>
  <c r="AR88" i="4"/>
  <c r="AR102" i="4"/>
  <c r="AR75" i="4"/>
  <c r="AR77" i="4"/>
  <c r="AR78" i="4"/>
  <c r="AR76" i="4"/>
  <c r="AR79" i="4"/>
  <c r="AR80" i="4"/>
  <c r="AR74" i="4"/>
  <c r="BR132" i="4"/>
  <c r="BR101" i="4"/>
  <c r="BR93" i="4"/>
  <c r="BR74" i="4"/>
  <c r="BR75" i="4"/>
  <c r="BR76" i="4"/>
  <c r="BR102" i="4"/>
  <c r="BR77" i="4"/>
  <c r="BR78" i="4"/>
  <c r="BR80" i="4"/>
  <c r="BR92" i="4"/>
  <c r="BR79" i="4"/>
  <c r="CK107" i="4"/>
  <c r="CK110" i="4"/>
  <c r="CK108" i="4"/>
  <c r="CK109" i="4"/>
  <c r="CK111" i="4"/>
  <c r="CK112" i="4"/>
  <c r="CC107" i="4"/>
  <c r="CC110" i="4"/>
  <c r="CC108" i="4"/>
  <c r="CC112" i="4"/>
  <c r="CC111" i="4"/>
  <c r="CC109" i="4"/>
  <c r="DC107" i="4"/>
  <c r="DC110" i="4"/>
  <c r="DC48" i="4"/>
  <c r="DC108" i="4"/>
  <c r="DC112" i="4"/>
  <c r="DC46" i="4"/>
  <c r="DC49" i="4"/>
  <c r="DC111" i="4"/>
  <c r="DC109" i="4"/>
  <c r="DC51" i="4"/>
  <c r="DC50" i="4"/>
  <c r="DC47" i="4"/>
  <c r="CU107" i="4"/>
  <c r="CU110" i="4"/>
  <c r="CU48" i="4"/>
  <c r="CU108" i="4"/>
  <c r="CU47" i="4"/>
  <c r="CU50" i="4"/>
  <c r="CU46" i="4"/>
  <c r="CU49" i="4"/>
  <c r="CU112" i="4"/>
  <c r="CU109" i="4"/>
  <c r="CU111" i="4"/>
  <c r="CU51" i="4"/>
  <c r="G85" i="4"/>
  <c r="G88" i="4"/>
  <c r="AQ132" i="4"/>
  <c r="AQ102" i="4"/>
  <c r="AQ99" i="4"/>
  <c r="AQ97" i="4"/>
  <c r="AQ92" i="4"/>
  <c r="AQ96" i="4"/>
  <c r="AQ88" i="4"/>
  <c r="AQ89" i="4"/>
  <c r="AQ101" i="4"/>
  <c r="AQ85" i="4"/>
  <c r="AQ93" i="4"/>
  <c r="AQ75" i="4"/>
  <c r="AQ76" i="4"/>
  <c r="AQ78" i="4"/>
  <c r="AQ77" i="4"/>
  <c r="AQ79" i="4"/>
  <c r="AQ80" i="4"/>
  <c r="AQ74" i="4"/>
  <c r="BQ132" i="4"/>
  <c r="BQ102" i="4"/>
  <c r="BQ92" i="4"/>
  <c r="BQ101" i="4"/>
  <c r="BQ74" i="4"/>
  <c r="BQ75" i="4"/>
  <c r="BQ76" i="4"/>
  <c r="BQ77" i="4"/>
  <c r="BQ93" i="4"/>
  <c r="BQ78" i="4"/>
  <c r="BQ79" i="4"/>
  <c r="BQ80" i="4"/>
  <c r="CJ109" i="4"/>
  <c r="CJ108" i="4"/>
  <c r="CJ110" i="4"/>
  <c r="CJ111" i="4"/>
  <c r="CJ112" i="4"/>
  <c r="CJ107" i="4"/>
  <c r="CB109" i="4"/>
  <c r="CB107" i="4"/>
  <c r="CB111" i="4"/>
  <c r="CB110" i="4"/>
  <c r="CB108" i="4"/>
  <c r="CB112" i="4"/>
  <c r="DB109" i="4"/>
  <c r="DB47" i="4"/>
  <c r="DB112" i="4"/>
  <c r="DB46" i="4"/>
  <c r="DB49" i="4"/>
  <c r="DB111" i="4"/>
  <c r="DB110" i="4"/>
  <c r="DB51" i="4"/>
  <c r="DB108" i="4"/>
  <c r="DB48" i="4"/>
  <c r="DB107" i="4"/>
  <c r="DB50" i="4"/>
  <c r="CT109" i="4"/>
  <c r="CT47" i="4"/>
  <c r="CT107" i="4"/>
  <c r="CT46" i="4"/>
  <c r="CT49" i="4"/>
  <c r="CT112" i="4"/>
  <c r="CT111" i="4"/>
  <c r="CT51" i="4"/>
  <c r="CT108" i="4"/>
  <c r="CT50" i="4"/>
  <c r="CT110" i="4"/>
  <c r="CT48" i="4"/>
  <c r="N96" i="4"/>
  <c r="N102" i="4"/>
  <c r="N270" i="4" s="1"/>
  <c r="N99" i="4"/>
  <c r="N97" i="4"/>
  <c r="N92" i="4"/>
  <c r="N101" i="4"/>
  <c r="N88" i="4"/>
  <c r="N85" i="4"/>
  <c r="N93" i="4"/>
  <c r="N89" i="4"/>
  <c r="AX132" i="4"/>
  <c r="AX102" i="4"/>
  <c r="AX99" i="4"/>
  <c r="AX97" i="4"/>
  <c r="AX92" i="4"/>
  <c r="AX89" i="4"/>
  <c r="AX93" i="4"/>
  <c r="AX85" i="4"/>
  <c r="AX101" i="4"/>
  <c r="AX88" i="4"/>
  <c r="AX96" i="4"/>
  <c r="AX75" i="4"/>
  <c r="AX78" i="4"/>
  <c r="AX77" i="4"/>
  <c r="AX79" i="4"/>
  <c r="AX76" i="4"/>
  <c r="AX80" i="4"/>
  <c r="AX74" i="4"/>
  <c r="BP132" i="4"/>
  <c r="BP102" i="4"/>
  <c r="BP92" i="4"/>
  <c r="BP101" i="4"/>
  <c r="BP75" i="4"/>
  <c r="BP76" i="4"/>
  <c r="BP77" i="4"/>
  <c r="BP93" i="4"/>
  <c r="BP78" i="4"/>
  <c r="BP79" i="4"/>
  <c r="BP74" i="4"/>
  <c r="BP80" i="4"/>
  <c r="CI108" i="4"/>
  <c r="CI107" i="4"/>
  <c r="CI112" i="4"/>
  <c r="CI110" i="4"/>
  <c r="CI111" i="4"/>
  <c r="CI109" i="4"/>
  <c r="DA108" i="4"/>
  <c r="DA46" i="4"/>
  <c r="DA107" i="4"/>
  <c r="DA112" i="4"/>
  <c r="DA49" i="4"/>
  <c r="DA111" i="4"/>
  <c r="DA110" i="4"/>
  <c r="DA51" i="4"/>
  <c r="DA109" i="4"/>
  <c r="DA48" i="4"/>
  <c r="DA50" i="4"/>
  <c r="DA47" i="4"/>
  <c r="U102" i="4"/>
  <c r="U270" i="4" s="1"/>
  <c r="U99" i="4"/>
  <c r="U97" i="4"/>
  <c r="U92" i="4"/>
  <c r="U89" i="4"/>
  <c r="U85" i="4"/>
  <c r="U96" i="4"/>
  <c r="U93" i="4"/>
  <c r="U88" i="4"/>
  <c r="U101" i="4"/>
  <c r="BE132" i="4"/>
  <c r="BE101" i="4"/>
  <c r="BE96" i="4"/>
  <c r="BE85" i="4"/>
  <c r="BE102" i="4"/>
  <c r="BE97" i="4"/>
  <c r="BE88" i="4"/>
  <c r="BE89" i="4"/>
  <c r="BE93" i="4"/>
  <c r="BE99" i="4"/>
  <c r="BE92" i="4"/>
  <c r="BE76" i="4"/>
  <c r="BE75" i="4"/>
  <c r="BE79" i="4"/>
  <c r="BE78" i="4"/>
  <c r="BE77" i="4"/>
  <c r="BE80" i="4"/>
  <c r="BE74" i="4"/>
  <c r="CP112" i="4"/>
  <c r="CP111" i="4"/>
  <c r="CP110" i="4"/>
  <c r="CP109" i="4"/>
  <c r="CP107" i="4"/>
  <c r="CP108" i="4"/>
  <c r="L96" i="4"/>
  <c r="L101" i="4"/>
  <c r="L102" i="4"/>
  <c r="L270" i="4" s="1"/>
  <c r="L99" i="4"/>
  <c r="L85" i="4"/>
  <c r="L97" i="4"/>
  <c r="L88" i="4"/>
  <c r="L152" i="4" s="1"/>
  <c r="L93" i="4"/>
  <c r="L89" i="4"/>
  <c r="L92" i="4"/>
  <c r="BV132" i="4"/>
  <c r="BV102" i="4"/>
  <c r="BV101" i="4"/>
  <c r="BV92" i="4"/>
  <c r="BV77" i="4"/>
  <c r="BV78" i="4"/>
  <c r="BV79" i="4"/>
  <c r="BV80" i="4"/>
  <c r="BV75" i="4"/>
  <c r="BV93" i="4"/>
  <c r="BV74" i="4"/>
  <c r="BV76" i="4"/>
  <c r="CO107" i="4"/>
  <c r="CO112" i="4"/>
  <c r="CO111" i="4"/>
  <c r="CO110" i="4"/>
  <c r="CO109" i="4"/>
  <c r="CO108" i="4"/>
  <c r="S102" i="4"/>
  <c r="S270" i="4" s="1"/>
  <c r="S99" i="4"/>
  <c r="S101" i="4"/>
  <c r="S88" i="4"/>
  <c r="S93" i="4"/>
  <c r="S85" i="4"/>
  <c r="S96" i="4"/>
  <c r="S92" i="4"/>
  <c r="S89" i="4"/>
  <c r="S97" i="4"/>
  <c r="K102" i="4"/>
  <c r="K270" i="4" s="1"/>
  <c r="K99" i="4"/>
  <c r="K101" i="4"/>
  <c r="K96" i="4"/>
  <c r="K88" i="4"/>
  <c r="K93" i="4"/>
  <c r="K85" i="4"/>
  <c r="K97" i="4"/>
  <c r="K89" i="4"/>
  <c r="K92" i="4"/>
  <c r="BC132" i="4"/>
  <c r="BC93" i="4"/>
  <c r="BC102" i="4"/>
  <c r="BC88" i="4"/>
  <c r="BC89" i="4"/>
  <c r="BC96" i="4"/>
  <c r="BC99" i="4"/>
  <c r="BC97" i="4"/>
  <c r="BC85" i="4"/>
  <c r="BC101" i="4"/>
  <c r="BC80" i="4"/>
  <c r="BC92" i="4"/>
  <c r="BC77" i="4"/>
  <c r="BC79" i="4"/>
  <c r="BC76" i="4"/>
  <c r="BC75" i="4"/>
  <c r="BC78" i="4"/>
  <c r="BC74" i="4"/>
  <c r="AU132" i="4"/>
  <c r="AU102" i="4"/>
  <c r="AU99" i="4"/>
  <c r="AU101" i="4"/>
  <c r="AU93" i="4"/>
  <c r="AU92" i="4"/>
  <c r="AU97" i="4"/>
  <c r="AU88" i="4"/>
  <c r="AU89" i="4"/>
  <c r="AU85" i="4"/>
  <c r="AU96" i="4"/>
  <c r="AU78" i="4"/>
  <c r="AU76" i="4"/>
  <c r="AU75" i="4"/>
  <c r="AU80" i="4"/>
  <c r="AU79" i="4"/>
  <c r="AU77" i="4"/>
  <c r="AU74" i="4"/>
  <c r="BU132" i="4"/>
  <c r="BU93" i="4"/>
  <c r="BU78" i="4"/>
  <c r="BU79" i="4"/>
  <c r="BU101" i="4"/>
  <c r="BU80" i="4"/>
  <c r="BU74" i="4"/>
  <c r="BU102" i="4"/>
  <c r="BU92" i="4"/>
  <c r="BU76" i="4"/>
  <c r="BU77" i="4"/>
  <c r="BU75" i="4"/>
  <c r="BM132" i="4"/>
  <c r="BM102" i="4"/>
  <c r="BM101" i="4"/>
  <c r="BM93" i="4"/>
  <c r="BM92" i="4"/>
  <c r="CN107" i="4"/>
  <c r="CN111" i="4"/>
  <c r="CN112" i="4"/>
  <c r="CN110" i="4"/>
  <c r="CN109" i="4"/>
  <c r="CN108" i="4"/>
  <c r="CF107" i="4"/>
  <c r="CF111" i="4"/>
  <c r="CF112" i="4"/>
  <c r="CF110" i="4"/>
  <c r="CF109" i="4"/>
  <c r="CF108" i="4"/>
  <c r="DF51" i="4"/>
  <c r="DF111" i="4"/>
  <c r="DF107" i="4"/>
  <c r="DF50" i="4"/>
  <c r="DF47" i="4"/>
  <c r="DF112" i="4"/>
  <c r="DF49" i="4"/>
  <c r="DF48" i="4"/>
  <c r="DF108" i="4"/>
  <c r="DF109" i="4"/>
  <c r="DF110" i="4"/>
  <c r="DF46" i="4"/>
  <c r="CX107" i="4"/>
  <c r="CX51" i="4"/>
  <c r="CX111" i="4"/>
  <c r="CX109" i="4"/>
  <c r="CX48" i="4"/>
  <c r="CX108" i="4"/>
  <c r="CX50" i="4"/>
  <c r="CX47" i="4"/>
  <c r="CX110" i="4"/>
  <c r="CX49" i="4"/>
  <c r="CX112" i="4"/>
  <c r="CX46" i="4"/>
  <c r="Q102" i="4"/>
  <c r="Q270" i="4" s="1"/>
  <c r="Q99" i="4"/>
  <c r="Q101" i="4"/>
  <c r="Q85" i="4"/>
  <c r="Q96" i="4"/>
  <c r="Q92" i="4"/>
  <c r="Q89" i="4"/>
  <c r="Q97" i="4"/>
  <c r="Q88" i="4"/>
  <c r="Q93" i="4"/>
  <c r="I88" i="4"/>
  <c r="BA132" i="4"/>
  <c r="BA93" i="4"/>
  <c r="BA102" i="4"/>
  <c r="BA99" i="4"/>
  <c r="BA97" i="4"/>
  <c r="BA92" i="4"/>
  <c r="BA89" i="4"/>
  <c r="BA96" i="4"/>
  <c r="BA101" i="4"/>
  <c r="BA85" i="4"/>
  <c r="BA88" i="4"/>
  <c r="BA78" i="4"/>
  <c r="BA77" i="4"/>
  <c r="BA76" i="4"/>
  <c r="BA75" i="4"/>
  <c r="BA80" i="4"/>
  <c r="BA79" i="4"/>
  <c r="BA74" i="4"/>
  <c r="AS132" i="4"/>
  <c r="AS101" i="4"/>
  <c r="AS93" i="4"/>
  <c r="AS97" i="4"/>
  <c r="AS92" i="4"/>
  <c r="AS89" i="4"/>
  <c r="AS88" i="4"/>
  <c r="AS99" i="4"/>
  <c r="AS96" i="4"/>
  <c r="AS85" i="4"/>
  <c r="AS102" i="4"/>
  <c r="AS80" i="4"/>
  <c r="AS77" i="4"/>
  <c r="AS79" i="4"/>
  <c r="AS78" i="4"/>
  <c r="AS76" i="4"/>
  <c r="AS75" i="4"/>
  <c r="AS74" i="4"/>
  <c r="BS132" i="4"/>
  <c r="BS93" i="4"/>
  <c r="BS102" i="4"/>
  <c r="BS92" i="4"/>
  <c r="BS80" i="4"/>
  <c r="BS101" i="4"/>
  <c r="BS74" i="4"/>
  <c r="BS75" i="4"/>
  <c r="BS76" i="4"/>
  <c r="BS77" i="4"/>
  <c r="BS78" i="4"/>
  <c r="BS79" i="4"/>
  <c r="BK132" i="4"/>
  <c r="BK101" i="4"/>
  <c r="BK93" i="4"/>
  <c r="BK92" i="4"/>
  <c r="BK102" i="4"/>
  <c r="CL107" i="4"/>
  <c r="CL111" i="4"/>
  <c r="CL109" i="4"/>
  <c r="CL110" i="4"/>
  <c r="CL108" i="4"/>
  <c r="CL112" i="4"/>
  <c r="CD111" i="4"/>
  <c r="CD107" i="4"/>
  <c r="CD109" i="4"/>
  <c r="CD112" i="4"/>
  <c r="CD110" i="4"/>
  <c r="CD108" i="4"/>
  <c r="CV111" i="4"/>
  <c r="CV49" i="4"/>
  <c r="CV109" i="4"/>
  <c r="CV47" i="4"/>
  <c r="CV50" i="4"/>
  <c r="CV107" i="4"/>
  <c r="CV46" i="4"/>
  <c r="CV108" i="4"/>
  <c r="CV110" i="4"/>
  <c r="CV48" i="4"/>
  <c r="CV112" i="4"/>
  <c r="CV51" i="4"/>
  <c r="H88" i="4"/>
  <c r="H85" i="4"/>
  <c r="BJ132" i="4"/>
  <c r="BJ101" i="4"/>
  <c r="BJ93" i="4"/>
  <c r="BJ92" i="4"/>
  <c r="BJ102" i="4"/>
  <c r="O101" i="4"/>
  <c r="O96" i="4"/>
  <c r="O93" i="4"/>
  <c r="O89" i="4"/>
  <c r="O99" i="4"/>
  <c r="O97" i="4"/>
  <c r="O102" i="4"/>
  <c r="O270" i="4" s="1"/>
  <c r="O85" i="4"/>
  <c r="O92" i="4"/>
  <c r="O88" i="4"/>
  <c r="AY132" i="4"/>
  <c r="AY102" i="4"/>
  <c r="AY99" i="4"/>
  <c r="AY97" i="4"/>
  <c r="AY92" i="4"/>
  <c r="AY101" i="4"/>
  <c r="AY96" i="4"/>
  <c r="AY88" i="4"/>
  <c r="AY93" i="4"/>
  <c r="AY85" i="4"/>
  <c r="AY89" i="4"/>
  <c r="AY75" i="4"/>
  <c r="AY76" i="4"/>
  <c r="AY77" i="4"/>
  <c r="AY80" i="4"/>
  <c r="AY78" i="4"/>
  <c r="AY79" i="4"/>
  <c r="AY74" i="4"/>
  <c r="BI132" i="4"/>
  <c r="BI102" i="4"/>
  <c r="BI92" i="4"/>
  <c r="BI101" i="4"/>
  <c r="BI93" i="4"/>
  <c r="AP132" i="4"/>
  <c r="AP102" i="4"/>
  <c r="AP99" i="4"/>
  <c r="AP97" i="4"/>
  <c r="AP92" i="4"/>
  <c r="AP89" i="4"/>
  <c r="AP101" i="4"/>
  <c r="AP96" i="4"/>
  <c r="AP85" i="4"/>
  <c r="F148" i="4" s="1"/>
  <c r="AP93" i="4"/>
  <c r="AP88" i="4"/>
  <c r="AP79" i="4"/>
  <c r="AP75" i="4"/>
  <c r="AP80" i="4"/>
  <c r="AP78" i="4"/>
  <c r="AP77" i="4"/>
  <c r="AP76" i="4"/>
  <c r="AP74" i="4"/>
  <c r="BH132" i="4"/>
  <c r="BH92" i="4"/>
  <c r="BH101" i="4"/>
  <c r="BH103" i="4" s="1"/>
  <c r="BH93" i="4"/>
  <c r="CA107" i="4"/>
  <c r="CA109" i="4"/>
  <c r="CA108" i="4"/>
  <c r="CA112" i="4"/>
  <c r="CA111" i="4"/>
  <c r="CA110" i="4"/>
  <c r="CS108" i="4"/>
  <c r="CS51" i="4"/>
  <c r="CS107" i="4"/>
  <c r="CS49" i="4"/>
  <c r="CS112" i="4"/>
  <c r="CS48" i="4"/>
  <c r="CS111" i="4"/>
  <c r="CS47" i="4"/>
  <c r="CS110" i="4"/>
  <c r="CS46" i="4"/>
  <c r="CS109" i="4"/>
  <c r="CS50" i="4"/>
  <c r="M102" i="4"/>
  <c r="M270" i="4" s="1"/>
  <c r="M99" i="4"/>
  <c r="M97" i="4"/>
  <c r="M92" i="4"/>
  <c r="M89" i="4"/>
  <c r="M96" i="4"/>
  <c r="M101" i="4"/>
  <c r="M85" i="4"/>
  <c r="M88" i="4"/>
  <c r="M93" i="4"/>
  <c r="AW132" i="4"/>
  <c r="AW101" i="4"/>
  <c r="AW102" i="4"/>
  <c r="AW99" i="4"/>
  <c r="AW96" i="4"/>
  <c r="AW85" i="4"/>
  <c r="AW93" i="4"/>
  <c r="AW92" i="4"/>
  <c r="AW88" i="4"/>
  <c r="AW97" i="4"/>
  <c r="AW80" i="4"/>
  <c r="AW89" i="4"/>
  <c r="AW76" i="4"/>
  <c r="AW75" i="4"/>
  <c r="AW78" i="4"/>
  <c r="AW77" i="4"/>
  <c r="AW79" i="4"/>
  <c r="AW74" i="4"/>
  <c r="BW132" i="4"/>
  <c r="BW101" i="4"/>
  <c r="BW76" i="4"/>
  <c r="BW92" i="4"/>
  <c r="BW77" i="4"/>
  <c r="BW78" i="4"/>
  <c r="BW79" i="4"/>
  <c r="BW80" i="4"/>
  <c r="BW93" i="4"/>
  <c r="BW102" i="4"/>
  <c r="BW75" i="4"/>
  <c r="BW74" i="4"/>
  <c r="BO132" i="4"/>
  <c r="BO101" i="4"/>
  <c r="BO102" i="4"/>
  <c r="BO76" i="4"/>
  <c r="BO77" i="4"/>
  <c r="BO93" i="4"/>
  <c r="BO78" i="4"/>
  <c r="BO79" i="4"/>
  <c r="BO92" i="4"/>
  <c r="BO80" i="4"/>
  <c r="BO74" i="4"/>
  <c r="BO75" i="4"/>
  <c r="CH107" i="4"/>
  <c r="CH112" i="4"/>
  <c r="CH111" i="4"/>
  <c r="CH110" i="4"/>
  <c r="CH109" i="4"/>
  <c r="CH108" i="4"/>
  <c r="DH107" i="4"/>
  <c r="DH109" i="4"/>
  <c r="DH51" i="4"/>
  <c r="DH108" i="4"/>
  <c r="DH48" i="4"/>
  <c r="DH50" i="4"/>
  <c r="DH47" i="4"/>
  <c r="DH46" i="4"/>
  <c r="DH110" i="4"/>
  <c r="DH112" i="4"/>
  <c r="DH49" i="4"/>
  <c r="DH111" i="4"/>
  <c r="CZ111" i="4"/>
  <c r="CZ46" i="4"/>
  <c r="CZ110" i="4"/>
  <c r="CZ51" i="4"/>
  <c r="CZ109" i="4"/>
  <c r="CZ48" i="4"/>
  <c r="CZ108" i="4"/>
  <c r="CZ107" i="4"/>
  <c r="CZ50" i="4"/>
  <c r="CZ47" i="4"/>
  <c r="CZ112" i="4"/>
  <c r="CZ49" i="4"/>
  <c r="T96" i="4"/>
  <c r="T101" i="4"/>
  <c r="T85" i="4"/>
  <c r="T93" i="4"/>
  <c r="T88" i="4"/>
  <c r="T152" i="4" s="1"/>
  <c r="T99" i="4"/>
  <c r="T92" i="4"/>
  <c r="T89" i="4"/>
  <c r="T97" i="4"/>
  <c r="T102" i="4"/>
  <c r="T270" i="4" s="1"/>
  <c r="BD132" i="4"/>
  <c r="BD102" i="4"/>
  <c r="BD99" i="4"/>
  <c r="BD101" i="4"/>
  <c r="BD96" i="4"/>
  <c r="BD88" i="4"/>
  <c r="BD97" i="4"/>
  <c r="BD89" i="4"/>
  <c r="BD93" i="4"/>
  <c r="BD92" i="4"/>
  <c r="BD85" i="4"/>
  <c r="BD77" i="4"/>
  <c r="BD78" i="4"/>
  <c r="BD76" i="4"/>
  <c r="BD75" i="4"/>
  <c r="BD80" i="4"/>
  <c r="BD79" i="4"/>
  <c r="BD74" i="4"/>
  <c r="AV132" i="4"/>
  <c r="AV102" i="4"/>
  <c r="AV99" i="4"/>
  <c r="AV101" i="4"/>
  <c r="AV96" i="4"/>
  <c r="AV88" i="4"/>
  <c r="AV85" i="4"/>
  <c r="AV92" i="4"/>
  <c r="AV97" i="4"/>
  <c r="AV93" i="4"/>
  <c r="AV89" i="4"/>
  <c r="AV79" i="4"/>
  <c r="AV75" i="4"/>
  <c r="AV80" i="4"/>
  <c r="AV77" i="4"/>
  <c r="AV78" i="4"/>
  <c r="AV76" i="4"/>
  <c r="AV74" i="4"/>
  <c r="BN132" i="4"/>
  <c r="BN102" i="4"/>
  <c r="BN101" i="4"/>
  <c r="BN93" i="4"/>
  <c r="BN92" i="4"/>
  <c r="CG112" i="4"/>
  <c r="CG107" i="4"/>
  <c r="CG111" i="4"/>
  <c r="CG110" i="4"/>
  <c r="CG108" i="4"/>
  <c r="CG109" i="4"/>
  <c r="DG108" i="4"/>
  <c r="DG48" i="4"/>
  <c r="DG107" i="4"/>
  <c r="DG50" i="4"/>
  <c r="DG47" i="4"/>
  <c r="DG46" i="4"/>
  <c r="DG51" i="4"/>
  <c r="DG112" i="4"/>
  <c r="DG49" i="4"/>
  <c r="DG109" i="4"/>
  <c r="DG110" i="4"/>
  <c r="DG111" i="4"/>
  <c r="CY107" i="4"/>
  <c r="CY112" i="4"/>
  <c r="CY110" i="4"/>
  <c r="CY51" i="4"/>
  <c r="CY109" i="4"/>
  <c r="CY48" i="4"/>
  <c r="CY108" i="4"/>
  <c r="CY50" i="4"/>
  <c r="CY47" i="4"/>
  <c r="CY111" i="4"/>
  <c r="CY49" i="4"/>
  <c r="CY46" i="4"/>
  <c r="R96" i="4"/>
  <c r="R85" i="4"/>
  <c r="R148" i="4" s="1"/>
  <c r="R93" i="4"/>
  <c r="R88" i="4"/>
  <c r="R92" i="4"/>
  <c r="R99" i="4"/>
  <c r="R89" i="4"/>
  <c r="R101" i="4"/>
  <c r="R97" i="4"/>
  <c r="R102" i="4"/>
  <c r="R270" i="4" s="1"/>
  <c r="J96" i="4"/>
  <c r="J102" i="4"/>
  <c r="J270" i="4" s="1"/>
  <c r="J99" i="4"/>
  <c r="J101" i="4"/>
  <c r="J93" i="4"/>
  <c r="J88" i="4"/>
  <c r="J92" i="4"/>
  <c r="J89" i="4"/>
  <c r="J97" i="4"/>
  <c r="BB132" i="4"/>
  <c r="BB102" i="4"/>
  <c r="BB99" i="4"/>
  <c r="BB101" i="4"/>
  <c r="BB85" i="4"/>
  <c r="BB89" i="4"/>
  <c r="BB96" i="4"/>
  <c r="BB93" i="4"/>
  <c r="BB92" i="4"/>
  <c r="BB97" i="4"/>
  <c r="BB88" i="4"/>
  <c r="BB80" i="4"/>
  <c r="BB78" i="4"/>
  <c r="BB79" i="4"/>
  <c r="BB76" i="4"/>
  <c r="BB75" i="4"/>
  <c r="BB77" i="4"/>
  <c r="BB74" i="4"/>
  <c r="AT132" i="4"/>
  <c r="AT102" i="4"/>
  <c r="AT99" i="4"/>
  <c r="AT101" i="4"/>
  <c r="AT85" i="4"/>
  <c r="J148" i="4" s="1"/>
  <c r="AT97" i="4"/>
  <c r="AT88" i="4"/>
  <c r="AT89" i="4"/>
  <c r="AT93" i="4"/>
  <c r="AT92" i="4"/>
  <c r="AT96" i="4"/>
  <c r="AT78" i="4"/>
  <c r="AT75" i="4"/>
  <c r="AT79" i="4"/>
  <c r="AT80" i="4"/>
  <c r="AT77" i="4"/>
  <c r="AT76" i="4"/>
  <c r="AT74" i="4"/>
  <c r="BT132" i="4"/>
  <c r="BT102" i="4"/>
  <c r="BT101" i="4"/>
  <c r="BT79" i="4"/>
  <c r="BT80" i="4"/>
  <c r="BT74" i="4"/>
  <c r="BT75" i="4"/>
  <c r="BT92" i="4"/>
  <c r="BT76" i="4"/>
  <c r="BT78" i="4"/>
  <c r="BT93" i="4"/>
  <c r="BT77" i="4"/>
  <c r="BL132" i="4"/>
  <c r="BL102" i="4"/>
  <c r="BL101" i="4"/>
  <c r="BL93" i="4"/>
  <c r="BL92" i="4"/>
  <c r="CM112" i="4"/>
  <c r="CM110" i="4"/>
  <c r="CM111" i="4"/>
  <c r="CM109" i="4"/>
  <c r="CM108" i="4"/>
  <c r="CM107" i="4"/>
  <c r="CE112" i="4"/>
  <c r="CE110" i="4"/>
  <c r="CE107" i="4"/>
  <c r="CE111" i="4"/>
  <c r="CE109" i="4"/>
  <c r="CE108" i="4"/>
  <c r="DE112" i="4"/>
  <c r="DE50" i="4"/>
  <c r="DE110" i="4"/>
  <c r="DE47" i="4"/>
  <c r="DE49" i="4"/>
  <c r="DE111" i="4"/>
  <c r="DE46" i="4"/>
  <c r="DE51" i="4"/>
  <c r="DE48" i="4"/>
  <c r="DE107" i="4"/>
  <c r="DE108" i="4"/>
  <c r="DE109" i="4"/>
  <c r="CW112" i="4"/>
  <c r="CW50" i="4"/>
  <c r="CW110" i="4"/>
  <c r="CW108" i="4"/>
  <c r="CW47" i="4"/>
  <c r="CW107" i="4"/>
  <c r="CW49" i="4"/>
  <c r="CW51" i="4"/>
  <c r="CW48" i="4"/>
  <c r="CW109" i="4"/>
  <c r="CW111" i="4"/>
  <c r="CW46" i="4"/>
  <c r="L8" i="4"/>
  <c r="L76" i="4"/>
  <c r="T8" i="4"/>
  <c r="T74" i="4" s="1"/>
  <c r="T79" i="4"/>
  <c r="T78" i="4"/>
  <c r="T75" i="4"/>
  <c r="T80" i="4"/>
  <c r="T77" i="4"/>
  <c r="T76" i="4"/>
  <c r="R8" i="4"/>
  <c r="R74" i="4" s="1"/>
  <c r="R75" i="4"/>
  <c r="R78" i="4"/>
  <c r="R80" i="4"/>
  <c r="R77" i="4"/>
  <c r="R79" i="4"/>
  <c r="R76" i="4"/>
  <c r="M8" i="4"/>
  <c r="M74" i="4" s="1"/>
  <c r="M75" i="4"/>
  <c r="M80" i="4"/>
  <c r="M77" i="4"/>
  <c r="M79" i="4"/>
  <c r="M76" i="4"/>
  <c r="M78" i="4"/>
  <c r="U74" i="4"/>
  <c r="U76" i="4"/>
  <c r="U80" i="4"/>
  <c r="U78" i="4"/>
  <c r="U79" i="4"/>
  <c r="U75" i="4"/>
  <c r="U77" i="4"/>
  <c r="Q8" i="4"/>
  <c r="Q74" i="4" s="1"/>
  <c r="Q78" i="4"/>
  <c r="Q75" i="4"/>
  <c r="Q80" i="4"/>
  <c r="Q77" i="4"/>
  <c r="Q79" i="4"/>
  <c r="Q76" i="4"/>
  <c r="N8" i="4"/>
  <c r="N74" i="4" s="1"/>
  <c r="N78" i="4"/>
  <c r="N80" i="4"/>
  <c r="N77" i="4"/>
  <c r="N79" i="4"/>
  <c r="N75" i="4"/>
  <c r="N76" i="4"/>
  <c r="O8" i="4"/>
  <c r="O74" i="4" s="1"/>
  <c r="O75" i="4"/>
  <c r="O80" i="4"/>
  <c r="O77" i="4"/>
  <c r="O79" i="4"/>
  <c r="O78" i="4"/>
  <c r="O76" i="4"/>
  <c r="S8" i="4"/>
  <c r="S74" i="4" s="1"/>
  <c r="S76" i="4"/>
  <c r="S78" i="4"/>
  <c r="S75" i="4"/>
  <c r="S80" i="4"/>
  <c r="S77" i="4"/>
  <c r="S79" i="4"/>
  <c r="P8" i="4"/>
  <c r="P74" i="4" s="1"/>
  <c r="P79" i="4"/>
  <c r="P77" i="4"/>
  <c r="P76" i="4"/>
  <c r="P75" i="4"/>
  <c r="P80" i="4"/>
  <c r="P78" i="4"/>
  <c r="H132" i="4"/>
  <c r="G132" i="4"/>
  <c r="F132" i="4"/>
  <c r="N132" i="4"/>
  <c r="P64" i="4"/>
  <c r="P132" i="4"/>
  <c r="T132" i="4"/>
  <c r="L132" i="4"/>
  <c r="S132" i="4"/>
  <c r="K132" i="4"/>
  <c r="M64" i="4"/>
  <c r="M132" i="4"/>
  <c r="R132" i="4"/>
  <c r="J132" i="4"/>
  <c r="O64" i="4"/>
  <c r="O132" i="4"/>
  <c r="U64" i="4"/>
  <c r="U132" i="4"/>
  <c r="Q64" i="4"/>
  <c r="Q132" i="4"/>
  <c r="T64" i="4"/>
  <c r="N64" i="4"/>
  <c r="T148" i="4" l="1"/>
  <c r="J152" i="4"/>
  <c r="I152" i="4"/>
  <c r="O152" i="4"/>
  <c r="H152" i="4"/>
  <c r="S148" i="4"/>
  <c r="G152" i="4"/>
  <c r="G157" i="4" s="1"/>
  <c r="I148" i="4"/>
  <c r="I156" i="4" s="1"/>
  <c r="U152" i="4"/>
  <c r="R152" i="4"/>
  <c r="O148" i="4"/>
  <c r="S152" i="4"/>
  <c r="F152" i="4"/>
  <c r="J186" i="4"/>
  <c r="Q148" i="4"/>
  <c r="Q156" i="4" s="1"/>
  <c r="K148" i="4"/>
  <c r="K156" i="4" s="1"/>
  <c r="L148" i="4"/>
  <c r="P152" i="4"/>
  <c r="U148" i="4"/>
  <c r="N148" i="4"/>
  <c r="H148" i="4"/>
  <c r="H156" i="4" s="1"/>
  <c r="K152" i="4"/>
  <c r="K157" i="4" s="1"/>
  <c r="N152" i="4"/>
  <c r="P148" i="4"/>
  <c r="P156" i="4" s="1"/>
  <c r="Q152" i="4"/>
  <c r="M152" i="4"/>
  <c r="M148" i="4"/>
  <c r="G148" i="4"/>
  <c r="G156" i="4" s="1"/>
  <c r="J218" i="4"/>
  <c r="P199" i="4"/>
  <c r="Q103" i="4"/>
  <c r="R140" i="4"/>
  <c r="R141" i="4" s="1"/>
  <c r="Q140" i="4"/>
  <c r="P103" i="4"/>
  <c r="O140" i="4"/>
  <c r="O141" i="4" s="1"/>
  <c r="N90" i="4"/>
  <c r="T183" i="4"/>
  <c r="T184" i="4" s="1"/>
  <c r="CF132" i="4"/>
  <c r="CM132" i="4"/>
  <c r="CA132" i="4"/>
  <c r="CB132" i="4"/>
  <c r="CH132" i="4"/>
  <c r="CO132" i="4"/>
  <c r="CP132" i="4"/>
  <c r="CE132" i="4"/>
  <c r="CN132" i="4"/>
  <c r="CI132" i="4"/>
  <c r="CJ132" i="4"/>
  <c r="CC132" i="4"/>
  <c r="CL132" i="4"/>
  <c r="CG132" i="4"/>
  <c r="T231" i="4"/>
  <c r="K90" i="4"/>
  <c r="CK132" i="4"/>
  <c r="CD132" i="4"/>
  <c r="T90" i="4"/>
  <c r="Q90" i="4"/>
  <c r="S90" i="4"/>
  <c r="P183" i="4"/>
  <c r="P184" i="4" s="1"/>
  <c r="Q215" i="4"/>
  <c r="P90" i="4"/>
  <c r="T230" i="4"/>
  <c r="S183" i="4"/>
  <c r="S184" i="4" s="1"/>
  <c r="BW103" i="4"/>
  <c r="Q183" i="4"/>
  <c r="Q184" i="4" s="1"/>
  <c r="F90" i="4"/>
  <c r="M90" i="4"/>
  <c r="U183" i="4"/>
  <c r="U184" i="4" s="1"/>
  <c r="R183" i="4"/>
  <c r="R184" i="4" s="1"/>
  <c r="O236" i="4"/>
  <c r="O261" i="4" s="1"/>
  <c r="R90" i="4"/>
  <c r="U90" i="4"/>
  <c r="I90" i="4"/>
  <c r="L90" i="4"/>
  <c r="J90" i="4"/>
  <c r="G90" i="4"/>
  <c r="O90" i="4"/>
  <c r="H90" i="4"/>
  <c r="F157" i="4"/>
  <c r="M212" i="4"/>
  <c r="AR103" i="4"/>
  <c r="BQ94" i="4"/>
  <c r="O210" i="4"/>
  <c r="F156" i="4"/>
  <c r="M199" i="4"/>
  <c r="R231" i="4"/>
  <c r="R157" i="4"/>
  <c r="AY94" i="4"/>
  <c r="T189" i="4"/>
  <c r="T195" i="4" s="1"/>
  <c r="M232" i="4"/>
  <c r="T218" i="4"/>
  <c r="O234" i="4"/>
  <c r="H157" i="4"/>
  <c r="N183" i="4"/>
  <c r="N184" i="4" s="1"/>
  <c r="T233" i="4"/>
  <c r="T199" i="4"/>
  <c r="AY103" i="4"/>
  <c r="AU94" i="4"/>
  <c r="P236" i="4"/>
  <c r="P261" i="4" s="1"/>
  <c r="M231" i="4"/>
  <c r="AP103" i="4"/>
  <c r="O235" i="4"/>
  <c r="I212" i="4"/>
  <c r="R103" i="4"/>
  <c r="Q224" i="4"/>
  <c r="P218" i="4"/>
  <c r="AZ94" i="4"/>
  <c r="BE103" i="4"/>
  <c r="N218" i="4"/>
  <c r="R233" i="4"/>
  <c r="J199" i="4"/>
  <c r="L212" i="4"/>
  <c r="T234" i="4"/>
  <c r="M233" i="4"/>
  <c r="S234" i="4"/>
  <c r="T224" i="4"/>
  <c r="L210" i="4"/>
  <c r="U236" i="4"/>
  <c r="U261" i="4" s="1"/>
  <c r="U205" i="4"/>
  <c r="N224" i="4"/>
  <c r="N231" i="4"/>
  <c r="P230" i="4"/>
  <c r="P205" i="4"/>
  <c r="AV94" i="4"/>
  <c r="M234" i="4"/>
  <c r="M103" i="4"/>
  <c r="O230" i="4"/>
  <c r="K199" i="4"/>
  <c r="S157" i="4"/>
  <c r="U215" i="4"/>
  <c r="U199" i="4"/>
  <c r="G218" i="4"/>
  <c r="G224" i="4"/>
  <c r="O215" i="4"/>
  <c r="Q210" i="4"/>
  <c r="N230" i="4"/>
  <c r="L103" i="4"/>
  <c r="BT94" i="4"/>
  <c r="R232" i="4"/>
  <c r="J210" i="4"/>
  <c r="Q235" i="4"/>
  <c r="S224" i="4"/>
  <c r="S232" i="4"/>
  <c r="L157" i="4"/>
  <c r="AX103" i="4"/>
  <c r="J103" i="4"/>
  <c r="M157" i="4"/>
  <c r="T157" i="4"/>
  <c r="I224" i="4"/>
  <c r="Q199" i="4"/>
  <c r="S218" i="4"/>
  <c r="BC94" i="4"/>
  <c r="L224" i="4"/>
  <c r="AV103" i="4"/>
  <c r="O183" i="4"/>
  <c r="O184" i="4" s="1"/>
  <c r="BD90" i="4"/>
  <c r="AW90" i="4"/>
  <c r="T236" i="4"/>
  <c r="T261" i="4" s="1"/>
  <c r="T103" i="4"/>
  <c r="M183" i="4"/>
  <c r="M184" i="4" s="1"/>
  <c r="AS103" i="4"/>
  <c r="H218" i="4"/>
  <c r="M140" i="4"/>
  <c r="M141" i="4" s="1"/>
  <c r="I215" i="4"/>
  <c r="R224" i="4"/>
  <c r="R212" i="4"/>
  <c r="U218" i="4"/>
  <c r="AW103" i="4"/>
  <c r="I218" i="4"/>
  <c r="AU90" i="4"/>
  <c r="P210" i="4"/>
  <c r="BC103" i="4"/>
  <c r="T232" i="4"/>
  <c r="BB94" i="4"/>
  <c r="Q230" i="4"/>
  <c r="AT90" i="4"/>
  <c r="U234" i="4"/>
  <c r="P232" i="4"/>
  <c r="R218" i="4"/>
  <c r="R235" i="4"/>
  <c r="O157" i="4"/>
  <c r="BS94" i="4"/>
  <c r="Q236" i="4"/>
  <c r="Q261" i="4" s="1"/>
  <c r="K224" i="4"/>
  <c r="S235" i="4"/>
  <c r="K205" i="4"/>
  <c r="S205" i="4"/>
  <c r="S199" i="4"/>
  <c r="BV94" i="4"/>
  <c r="L205" i="4"/>
  <c r="U235" i="4"/>
  <c r="U189" i="4"/>
  <c r="U195" i="4" s="1"/>
  <c r="N236" i="4"/>
  <c r="N261" i="4" s="1"/>
  <c r="N199" i="4"/>
  <c r="O212" i="4"/>
  <c r="P212" i="4"/>
  <c r="BR94" i="4"/>
  <c r="P235" i="4"/>
  <c r="AY90" i="4"/>
  <c r="T212" i="4"/>
  <c r="R234" i="4"/>
  <c r="J157" i="4"/>
  <c r="R205" i="4"/>
  <c r="R210" i="4"/>
  <c r="L218" i="4"/>
  <c r="BN94" i="4"/>
  <c r="AV90" i="4"/>
  <c r="T235" i="4"/>
  <c r="M210" i="4"/>
  <c r="O186" i="4"/>
  <c r="O192" i="4" s="1"/>
  <c r="AS94" i="4"/>
  <c r="Q231" i="4"/>
  <c r="S212" i="4"/>
  <c r="BM94" i="4"/>
  <c r="S233" i="4"/>
  <c r="U231" i="4"/>
  <c r="U210" i="4"/>
  <c r="N212" i="4"/>
  <c r="N215" i="4"/>
  <c r="N232" i="4"/>
  <c r="N103" i="4"/>
  <c r="P224" i="4"/>
  <c r="P231" i="4"/>
  <c r="J205" i="4"/>
  <c r="U233" i="4"/>
  <c r="AZ90" i="4"/>
  <c r="U140" i="4"/>
  <c r="U141" i="4" s="1"/>
  <c r="J212" i="4"/>
  <c r="R236" i="4"/>
  <c r="R261" i="4" s="1"/>
  <c r="M236" i="4"/>
  <c r="M261" i="4" s="1"/>
  <c r="O233" i="4"/>
  <c r="BJ103" i="4"/>
  <c r="Q232" i="4"/>
  <c r="BU103" i="4"/>
  <c r="T215" i="4"/>
  <c r="L199" i="4"/>
  <c r="U224" i="4"/>
  <c r="U232" i="4"/>
  <c r="N235" i="4"/>
  <c r="N210" i="4"/>
  <c r="O218" i="4"/>
  <c r="H224" i="4"/>
  <c r="P234" i="4"/>
  <c r="Q212" i="4"/>
  <c r="Q218" i="4"/>
  <c r="O199" i="4"/>
  <c r="J224" i="4"/>
  <c r="S231" i="4"/>
  <c r="M224" i="4"/>
  <c r="N205" i="4"/>
  <c r="L215" i="4"/>
  <c r="T205" i="4"/>
  <c r="T210" i="4"/>
  <c r="M218" i="4"/>
  <c r="U212" i="4"/>
  <c r="M230" i="4"/>
  <c r="O232" i="4"/>
  <c r="Q233" i="4"/>
  <c r="Q157" i="4"/>
  <c r="S215" i="4"/>
  <c r="S236" i="4"/>
  <c r="S261" i="4" s="1"/>
  <c r="S210" i="4"/>
  <c r="BE94" i="4"/>
  <c r="N233" i="4"/>
  <c r="P215" i="4"/>
  <c r="AZ103" i="4"/>
  <c r="BA90" i="4"/>
  <c r="K212" i="4"/>
  <c r="K103" i="4"/>
  <c r="P157" i="4"/>
  <c r="J215" i="4"/>
  <c r="R215" i="4"/>
  <c r="R230" i="4"/>
  <c r="R199" i="4"/>
  <c r="M215" i="4"/>
  <c r="BO103" i="4"/>
  <c r="M235" i="4"/>
  <c r="M205" i="4"/>
  <c r="F224" i="4"/>
  <c r="O231" i="4"/>
  <c r="O205" i="4"/>
  <c r="BK94" i="4"/>
  <c r="Q234" i="4"/>
  <c r="Q205" i="4"/>
  <c r="K218" i="4"/>
  <c r="K215" i="4"/>
  <c r="S230" i="4"/>
  <c r="K210" i="4"/>
  <c r="U230" i="4"/>
  <c r="N234" i="4"/>
  <c r="G212" i="4"/>
  <c r="G215" i="4"/>
  <c r="O224" i="4"/>
  <c r="H212" i="4"/>
  <c r="H215" i="4"/>
  <c r="P233" i="4"/>
  <c r="M156" i="4"/>
  <c r="F212" i="4"/>
  <c r="K186" i="4"/>
  <c r="K94" i="4"/>
  <c r="BC81" i="4"/>
  <c r="BT103" i="4"/>
  <c r="R156" i="4"/>
  <c r="BW81" i="4"/>
  <c r="BQ81" i="4"/>
  <c r="BD94" i="4"/>
  <c r="BO94" i="4"/>
  <c r="AT103" i="4"/>
  <c r="J94" i="4"/>
  <c r="J189" i="4"/>
  <c r="AU103" i="4"/>
  <c r="BV103" i="4"/>
  <c r="L189" i="4"/>
  <c r="L156" i="4"/>
  <c r="AX90" i="4"/>
  <c r="AT81" i="4"/>
  <c r="BW94" i="4"/>
  <c r="U156" i="4"/>
  <c r="J156" i="4"/>
  <c r="BA81" i="4"/>
  <c r="Q186" i="4"/>
  <c r="Q192" i="4" s="1"/>
  <c r="Q94" i="4"/>
  <c r="N94" i="4"/>
  <c r="N186" i="4"/>
  <c r="N192" i="4" s="1"/>
  <c r="AV81" i="4"/>
  <c r="U103" i="4"/>
  <c r="BD103" i="4"/>
  <c r="F218" i="4"/>
  <c r="AP90" i="4"/>
  <c r="BB90" i="4"/>
  <c r="T156" i="4"/>
  <c r="BS103" i="4"/>
  <c r="S103" i="4"/>
  <c r="BA94" i="4"/>
  <c r="BE90" i="4"/>
  <c r="N189" i="4"/>
  <c r="N195" i="4" s="1"/>
  <c r="AT94" i="4"/>
  <c r="BO81" i="4"/>
  <c r="AW81" i="4"/>
  <c r="BI94" i="4"/>
  <c r="N156" i="4"/>
  <c r="AQ81" i="4"/>
  <c r="BT81" i="4"/>
  <c r="BD81" i="4"/>
  <c r="BH94" i="4"/>
  <c r="AP81" i="4"/>
  <c r="AP94" i="4"/>
  <c r="BI103" i="4"/>
  <c r="AY81" i="4"/>
  <c r="BJ94" i="4"/>
  <c r="AS81" i="4"/>
  <c r="AS90" i="4"/>
  <c r="BM103" i="4"/>
  <c r="BU81" i="4"/>
  <c r="S156" i="4"/>
  <c r="L186" i="4"/>
  <c r="L94" i="4"/>
  <c r="BE81" i="4"/>
  <c r="U186" i="4"/>
  <c r="U192" i="4" s="1"/>
  <c r="U94" i="4"/>
  <c r="BP81" i="4"/>
  <c r="BP94" i="4"/>
  <c r="AX94" i="4"/>
  <c r="N157" i="4"/>
  <c r="AQ94" i="4"/>
  <c r="BR103" i="4"/>
  <c r="AR94" i="4"/>
  <c r="AZ81" i="4"/>
  <c r="P186" i="4"/>
  <c r="P192" i="4" s="1"/>
  <c r="P94" i="4"/>
  <c r="F215" i="4"/>
  <c r="R94" i="4"/>
  <c r="R189" i="4"/>
  <c r="R195" i="4" s="1"/>
  <c r="O94" i="4"/>
  <c r="O189" i="4"/>
  <c r="O195" i="4" s="1"/>
  <c r="AU81" i="4"/>
  <c r="U157" i="4"/>
  <c r="BR81" i="4"/>
  <c r="AR81" i="4"/>
  <c r="P189" i="4"/>
  <c r="P195" i="4" s="1"/>
  <c r="BU94" i="4"/>
  <c r="BL94" i="4"/>
  <c r="O156" i="4"/>
  <c r="Q189" i="4"/>
  <c r="Q195" i="4" s="1"/>
  <c r="K189" i="4"/>
  <c r="S186" i="4"/>
  <c r="S192" i="4" s="1"/>
  <c r="S94" i="4"/>
  <c r="M186" i="4"/>
  <c r="M192" i="4" s="1"/>
  <c r="O103" i="4"/>
  <c r="BK103" i="4"/>
  <c r="BQ103" i="4"/>
  <c r="P140" i="4"/>
  <c r="P141" i="4" s="1"/>
  <c r="S140" i="4"/>
  <c r="S141" i="4" s="1"/>
  <c r="N140" i="4"/>
  <c r="N141" i="4" s="1"/>
  <c r="BL103" i="4"/>
  <c r="BB81" i="4"/>
  <c r="BB103" i="4"/>
  <c r="BN103" i="4"/>
  <c r="T140" i="4"/>
  <c r="T141" i="4" s="1"/>
  <c r="R186" i="4"/>
  <c r="R192" i="4" s="1"/>
  <c r="T94" i="4"/>
  <c r="T186" i="4"/>
  <c r="T192" i="4" s="1"/>
  <c r="AW94" i="4"/>
  <c r="M94" i="4"/>
  <c r="M189" i="4"/>
  <c r="M195" i="4" s="1"/>
  <c r="BS81" i="4"/>
  <c r="BA103" i="4"/>
  <c r="I157" i="4"/>
  <c r="BC90" i="4"/>
  <c r="S189" i="4"/>
  <c r="S195" i="4" s="1"/>
  <c r="BV81" i="4"/>
  <c r="BP103" i="4"/>
  <c r="AX81" i="4"/>
  <c r="AQ90" i="4"/>
  <c r="AQ103" i="4"/>
  <c r="AR90" i="4"/>
  <c r="S81" i="4"/>
  <c r="O81" i="4"/>
  <c r="N81" i="4"/>
  <c r="P81" i="4"/>
  <c r="R81" i="4"/>
  <c r="T81" i="4"/>
  <c r="Q81" i="4"/>
  <c r="U81" i="4"/>
  <c r="M81" i="4"/>
  <c r="W89" i="59"/>
  <c r="Q141" i="4" l="1"/>
  <c r="Z140" i="4"/>
  <c r="P255" i="4"/>
  <c r="U255" i="4"/>
  <c r="T255" i="4"/>
  <c r="S255" i="4"/>
  <c r="R255" i="4"/>
  <c r="Q255" i="4"/>
  <c r="N255" i="4"/>
  <c r="O255" i="4"/>
  <c r="M255" i="4"/>
  <c r="O158" i="4"/>
  <c r="F158" i="4"/>
  <c r="I158" i="4"/>
  <c r="M158" i="4"/>
  <c r="J158" i="4"/>
  <c r="S158" i="4"/>
  <c r="L158" i="4"/>
  <c r="K158" i="4"/>
  <c r="G158" i="4"/>
  <c r="P158" i="4"/>
  <c r="H158" i="4"/>
  <c r="R158" i="4"/>
  <c r="N158" i="4"/>
  <c r="Q158" i="4"/>
  <c r="U158" i="4"/>
  <c r="T158" i="4"/>
  <c r="Q258" i="4"/>
  <c r="O258" i="4"/>
  <c r="M258" i="4"/>
  <c r="S258" i="4"/>
  <c r="T258" i="4"/>
  <c r="N258" i="4"/>
  <c r="P258" i="4"/>
  <c r="U258" i="4"/>
  <c r="R258" i="4"/>
  <c r="I169" i="4" l="1"/>
  <c r="I174" i="4"/>
  <c r="H169" i="4"/>
  <c r="H174" i="4"/>
  <c r="G169" i="4"/>
  <c r="G174" i="4"/>
  <c r="F169" i="4"/>
  <c r="F170" i="4" s="1"/>
  <c r="F174" i="4"/>
  <c r="F175" i="4" s="1"/>
  <c r="F165" i="4"/>
  <c r="Q159" i="4"/>
  <c r="Q169" i="4"/>
  <c r="Q174" i="4"/>
  <c r="R159" i="4"/>
  <c r="R169" i="4"/>
  <c r="R174" i="4"/>
  <c r="U159" i="4"/>
  <c r="U174" i="4"/>
  <c r="V167" i="4"/>
  <c r="U169" i="4"/>
  <c r="P159" i="4"/>
  <c r="P169" i="4"/>
  <c r="P174" i="4"/>
  <c r="T159" i="4"/>
  <c r="T169" i="4"/>
  <c r="T174" i="4"/>
  <c r="S159" i="4"/>
  <c r="S169" i="4"/>
  <c r="S174" i="4"/>
  <c r="N159" i="4"/>
  <c r="N174" i="4"/>
  <c r="N169" i="4"/>
  <c r="M174" i="4"/>
  <c r="M169" i="4"/>
  <c r="O159" i="4"/>
  <c r="O174" i="4"/>
  <c r="O169" i="4"/>
  <c r="J159" i="4"/>
  <c r="J174" i="4"/>
  <c r="J169" i="4"/>
  <c r="L159" i="4"/>
  <c r="L174" i="4"/>
  <c r="L169" i="4"/>
  <c r="K159" i="4"/>
  <c r="K169" i="4"/>
  <c r="K174" i="4"/>
  <c r="F159" i="4"/>
  <c r="F160" i="4" s="1"/>
  <c r="G159" i="4"/>
  <c r="H159" i="4"/>
  <c r="O163" i="4"/>
  <c r="M163" i="4"/>
  <c r="M159" i="4"/>
  <c r="I163" i="4"/>
  <c r="I159" i="4"/>
  <c r="F163" i="4"/>
  <c r="L163" i="4"/>
  <c r="S163" i="4"/>
  <c r="J163" i="4"/>
  <c r="K163" i="4"/>
  <c r="N163" i="4"/>
  <c r="R163" i="4"/>
  <c r="H163" i="4"/>
  <c r="T163" i="4"/>
  <c r="P163" i="4"/>
  <c r="U163" i="4"/>
  <c r="G163" i="4"/>
  <c r="Q163" i="4"/>
  <c r="F51" i="61"/>
  <c r="H51" i="61"/>
  <c r="F52" i="61"/>
  <c r="H52" i="61" s="1"/>
  <c r="H54" i="61" s="1"/>
  <c r="H55" i="61" s="1"/>
  <c r="F53" i="61"/>
  <c r="H53" i="61"/>
  <c r="F43" i="61"/>
  <c r="H43" i="61" s="1"/>
  <c r="F36" i="61"/>
  <c r="H36" i="61" s="1"/>
  <c r="F35" i="61"/>
  <c r="H35" i="61" s="1"/>
  <c r="F27" i="61"/>
  <c r="H27" i="61" s="1"/>
  <c r="L27" i="61"/>
  <c r="L28" i="61"/>
  <c r="F28" i="61"/>
  <c r="H28" i="61" s="1"/>
  <c r="G160" i="4" l="1"/>
  <c r="H160" i="4" s="1"/>
  <c r="I160" i="4" s="1"/>
  <c r="J160" i="4" s="1"/>
  <c r="K160" i="4" s="1"/>
  <c r="L160" i="4" s="1"/>
  <c r="M160" i="4" s="1"/>
  <c r="N160" i="4" s="1"/>
  <c r="O160" i="4" s="1"/>
  <c r="P160" i="4" s="1"/>
  <c r="Q160" i="4" s="1"/>
  <c r="R160" i="4" s="1"/>
  <c r="S160" i="4" s="1"/>
  <c r="T160" i="4" s="1"/>
  <c r="U160" i="4" s="1"/>
  <c r="V160" i="4" s="1"/>
  <c r="F172" i="4"/>
  <c r="G170" i="4"/>
  <c r="F177" i="4"/>
  <c r="G175" i="4"/>
  <c r="F167" i="4"/>
  <c r="G165" i="4"/>
  <c r="M28" i="61"/>
  <c r="Q29" i="61" s="1"/>
  <c r="F34" i="61" s="1"/>
  <c r="H34" i="61" s="1"/>
  <c r="F44" i="61"/>
  <c r="H44" i="61" s="1"/>
  <c r="H46" i="61" s="1"/>
  <c r="H47" i="61" s="1"/>
  <c r="H30" i="61"/>
  <c r="H31" i="61" s="1"/>
  <c r="G172" i="4" l="1"/>
  <c r="H170" i="4"/>
  <c r="H165" i="4"/>
  <c r="G167" i="4"/>
  <c r="H175" i="4"/>
  <c r="G177" i="4"/>
  <c r="R29" i="61"/>
  <c r="H38" i="61"/>
  <c r="H39" i="61" s="1"/>
  <c r="H58" i="61" s="1"/>
  <c r="I175" i="4" l="1"/>
  <c r="H177" i="4"/>
  <c r="I165" i="4"/>
  <c r="H167" i="4"/>
  <c r="I170" i="4"/>
  <c r="H172" i="4"/>
  <c r="H48" i="61"/>
  <c r="I167" i="4" l="1"/>
  <c r="J165" i="4"/>
  <c r="I172" i="4"/>
  <c r="J170" i="4"/>
  <c r="I177" i="4"/>
  <c r="J175" i="4"/>
  <c r="I64" i="4"/>
  <c r="K64" i="4"/>
  <c r="L64" i="4"/>
  <c r="H64" i="4"/>
  <c r="J177" i="4" l="1"/>
  <c r="K175" i="4"/>
  <c r="K170" i="4"/>
  <c r="J172" i="4"/>
  <c r="J167" i="4"/>
  <c r="K165" i="4"/>
  <c r="J64" i="4"/>
  <c r="J74" i="4"/>
  <c r="L170" i="4" l="1"/>
  <c r="K172" i="4"/>
  <c r="L175" i="4"/>
  <c r="K177" i="4"/>
  <c r="K167" i="4"/>
  <c r="L165" i="4"/>
  <c r="H150" i="4"/>
  <c r="I150" i="4"/>
  <c r="J150" i="4"/>
  <c r="K150" i="4"/>
  <c r="G150" i="4"/>
  <c r="M165" i="4" l="1"/>
  <c r="L167" i="4"/>
  <c r="M175" i="4"/>
  <c r="L177" i="4"/>
  <c r="M170" i="4"/>
  <c r="L172" i="4"/>
  <c r="G64" i="4"/>
  <c r="M177" i="4" l="1"/>
  <c r="N175" i="4"/>
  <c r="N170" i="4"/>
  <c r="M172" i="4"/>
  <c r="N165" i="4"/>
  <c r="M167" i="4"/>
  <c r="H180" i="4"/>
  <c r="H181" i="4" s="1"/>
  <c r="I180" i="4"/>
  <c r="I181" i="4" s="1"/>
  <c r="J180" i="4"/>
  <c r="J181" i="4" s="1"/>
  <c r="K180" i="4"/>
  <c r="K182" i="4" s="1"/>
  <c r="L180" i="4"/>
  <c r="L181" i="4" s="1"/>
  <c r="G182" i="4"/>
  <c r="H248" i="4"/>
  <c r="H250" i="4" s="1"/>
  <c r="I248" i="4"/>
  <c r="I250" i="4" s="1"/>
  <c r="J248" i="4"/>
  <c r="J250" i="4" s="1"/>
  <c r="K248" i="4"/>
  <c r="K250" i="4" s="1"/>
  <c r="L248" i="4"/>
  <c r="L249" i="4" s="1"/>
  <c r="G248" i="4"/>
  <c r="G250" i="4" s="1"/>
  <c r="O165" i="4" l="1"/>
  <c r="N167" i="4"/>
  <c r="O170" i="4"/>
  <c r="N172" i="4"/>
  <c r="O175" i="4"/>
  <c r="N177" i="4"/>
  <c r="G181" i="4"/>
  <c r="K181" i="4"/>
  <c r="L182" i="4"/>
  <c r="J182" i="4"/>
  <c r="I182" i="4"/>
  <c r="H182" i="4"/>
  <c r="L250" i="4"/>
  <c r="K249" i="4"/>
  <c r="J249" i="4"/>
  <c r="G249" i="4"/>
  <c r="I249" i="4"/>
  <c r="H249" i="4"/>
  <c r="O177" i="4" l="1"/>
  <c r="P175" i="4"/>
  <c r="P170" i="4"/>
  <c r="O172" i="4"/>
  <c r="P165" i="4"/>
  <c r="O167" i="4"/>
  <c r="G33" i="4"/>
  <c r="G99" i="4" s="1"/>
  <c r="G199" i="4" s="1"/>
  <c r="H33" i="4"/>
  <c r="H99" i="4" s="1"/>
  <c r="H199" i="4" s="1"/>
  <c r="I33" i="4"/>
  <c r="I99" i="4" s="1"/>
  <c r="I199" i="4" s="1"/>
  <c r="G36" i="4" a="1"/>
  <c r="G36" i="4" s="1"/>
  <c r="H36" i="4" a="1"/>
  <c r="H36" i="4" s="1"/>
  <c r="I36" i="4" a="1"/>
  <c r="I36" i="4" s="1"/>
  <c r="G24" i="4"/>
  <c r="G93" i="4" s="1"/>
  <c r="H24" i="4"/>
  <c r="H93" i="4" s="1"/>
  <c r="H189" i="4" s="1"/>
  <c r="I24" i="4"/>
  <c r="I93" i="4" s="1"/>
  <c r="I189" i="4" s="1"/>
  <c r="G26" i="4"/>
  <c r="G92" i="4" s="1"/>
  <c r="G186" i="4" s="1"/>
  <c r="H26" i="4"/>
  <c r="H92" i="4" s="1"/>
  <c r="I26" i="4"/>
  <c r="I92" i="4" s="1"/>
  <c r="G22" i="4"/>
  <c r="G89" i="4" s="1"/>
  <c r="G183" i="4" s="1"/>
  <c r="G184" i="4" s="1"/>
  <c r="H22" i="4"/>
  <c r="H89" i="4" s="1"/>
  <c r="I22" i="4"/>
  <c r="I89" i="4" s="1"/>
  <c r="Q165" i="4" l="1"/>
  <c r="P167" i="4"/>
  <c r="Q170" i="4"/>
  <c r="P172" i="4"/>
  <c r="Q175" i="4"/>
  <c r="P177" i="4"/>
  <c r="G94" i="4"/>
  <c r="G189" i="4"/>
  <c r="H186" i="4"/>
  <c r="H94" i="4"/>
  <c r="I94" i="4"/>
  <c r="I186" i="4"/>
  <c r="BH74" i="4"/>
  <c r="F230" i="4" s="1"/>
  <c r="BH80" i="4"/>
  <c r="F236" i="4" s="1"/>
  <c r="BH79" i="4"/>
  <c r="F235" i="4" s="1"/>
  <c r="BH78" i="4"/>
  <c r="F234" i="4" s="1"/>
  <c r="BH77" i="4"/>
  <c r="F233" i="4" s="1"/>
  <c r="BH76" i="4"/>
  <c r="F232" i="4" s="1"/>
  <c r="BH75" i="4"/>
  <c r="F231" i="4" s="1"/>
  <c r="R175" i="4" l="1"/>
  <c r="Q177" i="4"/>
  <c r="R170" i="4"/>
  <c r="Q172" i="4"/>
  <c r="Q167" i="4"/>
  <c r="R165" i="4"/>
  <c r="F255" i="4"/>
  <c r="F258" i="4"/>
  <c r="BH81" i="4"/>
  <c r="S170" i="4" l="1"/>
  <c r="R172" i="4"/>
  <c r="R167" i="4"/>
  <c r="S165" i="4"/>
  <c r="S175" i="4"/>
  <c r="R177" i="4"/>
  <c r="K113" i="4"/>
  <c r="K114" i="4"/>
  <c r="K108" i="4"/>
  <c r="CV117" i="4" s="1"/>
  <c r="K109" i="4"/>
  <c r="K110" i="4"/>
  <c r="K111" i="4"/>
  <c r="K112" i="4"/>
  <c r="K107" i="4"/>
  <c r="F36" i="4" a="1"/>
  <c r="F36" i="4" s="1"/>
  <c r="G28" i="4"/>
  <c r="H28" i="4"/>
  <c r="H96" i="4" s="1"/>
  <c r="H210" i="4" s="1"/>
  <c r="I28" i="4"/>
  <c r="I96" i="4" s="1"/>
  <c r="I210" i="4" s="1"/>
  <c r="G30" i="4"/>
  <c r="G97" i="4" s="1"/>
  <c r="G205" i="4" s="1"/>
  <c r="H30" i="4"/>
  <c r="H97" i="4" s="1"/>
  <c r="H205" i="4" s="1"/>
  <c r="I30" i="4"/>
  <c r="I97" i="4" s="1"/>
  <c r="I205" i="4" s="1"/>
  <c r="F33" i="4"/>
  <c r="F99" i="4" s="1"/>
  <c r="F199" i="4" s="1"/>
  <c r="F30" i="4"/>
  <c r="F97" i="4" s="1"/>
  <c r="F205" i="4" s="1"/>
  <c r="F28" i="4"/>
  <c r="F96" i="4" s="1"/>
  <c r="F210" i="4" s="1"/>
  <c r="F26" i="4"/>
  <c r="F24" i="4"/>
  <c r="F93" i="4" s="1"/>
  <c r="F22" i="4"/>
  <c r="G39" i="7"/>
  <c r="G60" i="6"/>
  <c r="G61" i="6" s="1"/>
  <c r="G62" i="6" s="1"/>
  <c r="G28" i="6"/>
  <c r="G37" i="6" s="1"/>
  <c r="S177" i="4" l="1"/>
  <c r="T175" i="4"/>
  <c r="T165" i="4"/>
  <c r="S167" i="4"/>
  <c r="S172" i="4"/>
  <c r="T170" i="4"/>
  <c r="V196" i="4"/>
  <c r="V228" i="4" s="1"/>
  <c r="V193" i="4"/>
  <c r="V194" i="4" s="1"/>
  <c r="F189" i="4"/>
  <c r="F195" i="4" s="1"/>
  <c r="F196" i="4" s="1"/>
  <c r="G96" i="4"/>
  <c r="G210" i="4" s="1"/>
  <c r="CB121" i="4"/>
  <c r="CJ121" i="4"/>
  <c r="CT121" i="4"/>
  <c r="CT128" i="4" s="1"/>
  <c r="DB121" i="4"/>
  <c r="DB128" i="4" s="1"/>
  <c r="CC122" i="4"/>
  <c r="CK122" i="4"/>
  <c r="CU122" i="4"/>
  <c r="CU129" i="4" s="1"/>
  <c r="DC122" i="4"/>
  <c r="DC129" i="4" s="1"/>
  <c r="CE121" i="4"/>
  <c r="CM121" i="4"/>
  <c r="CW121" i="4"/>
  <c r="CW128" i="4" s="1"/>
  <c r="DE121" i="4"/>
  <c r="DE128" i="4" s="1"/>
  <c r="CF122" i="4"/>
  <c r="CN122" i="4"/>
  <c r="CX122" i="4"/>
  <c r="CX129" i="4" s="1"/>
  <c r="DF122" i="4"/>
  <c r="DF129" i="4" s="1"/>
  <c r="CC121" i="4"/>
  <c r="CN121" i="4"/>
  <c r="CZ121" i="4"/>
  <c r="CZ128" i="4" s="1"/>
  <c r="CD122" i="4"/>
  <c r="CO122" i="4"/>
  <c r="DA122" i="4"/>
  <c r="DA129" i="4" s="1"/>
  <c r="CF121" i="4"/>
  <c r="CP121" i="4"/>
  <c r="DC121" i="4"/>
  <c r="DC128" i="4" s="1"/>
  <c r="CG122" i="4"/>
  <c r="CS122" i="4"/>
  <c r="CS129" i="4" s="1"/>
  <c r="DD122" i="4"/>
  <c r="DD129" i="4" s="1"/>
  <c r="CO121" i="4"/>
  <c r="DF121" i="4"/>
  <c r="DF128" i="4" s="1"/>
  <c r="CL122" i="4"/>
  <c r="DB122" i="4"/>
  <c r="DB129" i="4" s="1"/>
  <c r="CA122" i="4"/>
  <c r="CS121" i="4"/>
  <c r="CS128" i="4" s="1"/>
  <c r="DG121" i="4"/>
  <c r="DG128" i="4" s="1"/>
  <c r="CM122" i="4"/>
  <c r="DE122" i="4"/>
  <c r="DE129" i="4" s="1"/>
  <c r="CA121" i="4"/>
  <c r="CI121" i="4"/>
  <c r="CD121" i="4"/>
  <c r="CU121" i="4"/>
  <c r="CU128" i="4" s="1"/>
  <c r="DH121" i="4"/>
  <c r="DH128" i="4" s="1"/>
  <c r="CP122" i="4"/>
  <c r="DG122" i="4"/>
  <c r="DG129" i="4" s="1"/>
  <c r="CG121" i="4"/>
  <c r="CV121" i="4"/>
  <c r="CV128" i="4" s="1"/>
  <c r="CB122" i="4"/>
  <c r="CT122" i="4"/>
  <c r="CT129" i="4" s="1"/>
  <c r="DH122" i="4"/>
  <c r="DH129" i="4" s="1"/>
  <c r="CH121" i="4"/>
  <c r="CX121" i="4"/>
  <c r="CX128" i="4" s="1"/>
  <c r="CE122" i="4"/>
  <c r="CV122" i="4"/>
  <c r="CV129" i="4" s="1"/>
  <c r="CK121" i="4"/>
  <c r="CW122" i="4"/>
  <c r="CW129" i="4" s="1"/>
  <c r="CJ122" i="4"/>
  <c r="CL121" i="4"/>
  <c r="CY122" i="4"/>
  <c r="CY129" i="4" s="1"/>
  <c r="CY121" i="4"/>
  <c r="CY128" i="4" s="1"/>
  <c r="CZ122" i="4"/>
  <c r="CZ129" i="4" s="1"/>
  <c r="DA121" i="4"/>
  <c r="DA128" i="4" s="1"/>
  <c r="DD121" i="4"/>
  <c r="DD128" i="4" s="1"/>
  <c r="CI122" i="4"/>
  <c r="CH122" i="4"/>
  <c r="CH119" i="4"/>
  <c r="CP119" i="4"/>
  <c r="CZ119" i="4"/>
  <c r="CZ126" i="4" s="1"/>
  <c r="DH119" i="4"/>
  <c r="DH126" i="4" s="1"/>
  <c r="CC119" i="4"/>
  <c r="CK119" i="4"/>
  <c r="CU119" i="4"/>
  <c r="CU126" i="4" s="1"/>
  <c r="DC119" i="4"/>
  <c r="DC126" i="4" s="1"/>
  <c r="CL119" i="4"/>
  <c r="CX119" i="4"/>
  <c r="CX126" i="4" s="1"/>
  <c r="CA119" i="4"/>
  <c r="CD119" i="4"/>
  <c r="CN119" i="4"/>
  <c r="DA119" i="4"/>
  <c r="DA126" i="4" s="1"/>
  <c r="CE119" i="4"/>
  <c r="CO119" i="4"/>
  <c r="CB119" i="4"/>
  <c r="CV119" i="4"/>
  <c r="CV126" i="4" s="1"/>
  <c r="CF119" i="4"/>
  <c r="CW119" i="4"/>
  <c r="CW126" i="4" s="1"/>
  <c r="CM119" i="4"/>
  <c r="CG119" i="4"/>
  <c r="CY119" i="4"/>
  <c r="CY126" i="4" s="1"/>
  <c r="CI119" i="4"/>
  <c r="DB119" i="4"/>
  <c r="DB126" i="4" s="1"/>
  <c r="CJ119" i="4"/>
  <c r="DD119" i="4"/>
  <c r="DD126" i="4" s="1"/>
  <c r="DE119" i="4"/>
  <c r="DE126" i="4" s="1"/>
  <c r="CS119" i="4"/>
  <c r="CS126" i="4" s="1"/>
  <c r="CT119" i="4"/>
  <c r="CT126" i="4" s="1"/>
  <c r="DF119" i="4"/>
  <c r="DF126" i="4" s="1"/>
  <c r="DG119" i="4"/>
  <c r="DG126" i="4" s="1"/>
  <c r="CG118" i="4"/>
  <c r="CG125" i="4" s="1"/>
  <c r="CO118" i="4"/>
  <c r="CO125" i="4" s="1"/>
  <c r="CY118" i="4"/>
  <c r="CY125" i="4" s="1"/>
  <c r="DG118" i="4"/>
  <c r="DG125" i="4" s="1"/>
  <c r="CB118" i="4"/>
  <c r="CB125" i="4" s="1"/>
  <c r="CJ118" i="4"/>
  <c r="CJ125" i="4" s="1"/>
  <c r="CT118" i="4"/>
  <c r="CT125" i="4" s="1"/>
  <c r="DB118" i="4"/>
  <c r="DB125" i="4" s="1"/>
  <c r="CK118" i="4"/>
  <c r="CK125" i="4" s="1"/>
  <c r="CW118" i="4"/>
  <c r="CW125" i="4" s="1"/>
  <c r="DH118" i="4"/>
  <c r="DH125" i="4" s="1"/>
  <c r="CC118" i="4"/>
  <c r="CC125" i="4" s="1"/>
  <c r="CM118" i="4"/>
  <c r="CM125" i="4" s="1"/>
  <c r="CZ118" i="4"/>
  <c r="CZ125" i="4" s="1"/>
  <c r="CD118" i="4"/>
  <c r="CD125" i="4" s="1"/>
  <c r="CN118" i="4"/>
  <c r="CN125" i="4" s="1"/>
  <c r="DA118" i="4"/>
  <c r="DA125" i="4" s="1"/>
  <c r="CS118" i="4"/>
  <c r="CS125" i="4" s="1"/>
  <c r="CU118" i="4"/>
  <c r="CU125" i="4" s="1"/>
  <c r="CI118" i="4"/>
  <c r="CI125" i="4" s="1"/>
  <c r="CE118" i="4"/>
  <c r="CE125" i="4" s="1"/>
  <c r="CV118" i="4"/>
  <c r="CV125" i="4" s="1"/>
  <c r="CF118" i="4"/>
  <c r="CF125" i="4" s="1"/>
  <c r="CX118" i="4"/>
  <c r="CX125" i="4" s="1"/>
  <c r="CA118" i="4"/>
  <c r="CA125" i="4" s="1"/>
  <c r="CH118" i="4"/>
  <c r="CH125" i="4" s="1"/>
  <c r="DC118" i="4"/>
  <c r="DC125" i="4" s="1"/>
  <c r="DD118" i="4"/>
  <c r="DD125" i="4" s="1"/>
  <c r="CL118" i="4"/>
  <c r="CL125" i="4" s="1"/>
  <c r="CP118" i="4"/>
  <c r="CP125" i="4" s="1"/>
  <c r="DE118" i="4"/>
  <c r="DE125" i="4" s="1"/>
  <c r="DF118" i="4"/>
  <c r="DF125" i="4" s="1"/>
  <c r="F92" i="4"/>
  <c r="F186" i="4" s="1"/>
  <c r="CF117" i="4"/>
  <c r="CF124" i="4" s="1"/>
  <c r="CN117" i="4"/>
  <c r="CN124" i="4" s="1"/>
  <c r="CX117" i="4"/>
  <c r="CX124" i="4" s="1"/>
  <c r="DF117" i="4"/>
  <c r="DF124" i="4" s="1"/>
  <c r="CI117" i="4"/>
  <c r="CI124" i="4" s="1"/>
  <c r="CS117" i="4"/>
  <c r="CS124" i="4" s="1"/>
  <c r="DA117" i="4"/>
  <c r="DA124" i="4" s="1"/>
  <c r="CJ117" i="4"/>
  <c r="CJ124" i="4" s="1"/>
  <c r="CV124" i="4"/>
  <c r="DG117" i="4"/>
  <c r="DG124" i="4" s="1"/>
  <c r="CB117" i="4"/>
  <c r="CB124" i="4" s="1"/>
  <c r="CL117" i="4"/>
  <c r="CL124" i="4" s="1"/>
  <c r="CY117" i="4"/>
  <c r="CY124" i="4" s="1"/>
  <c r="CC117" i="4"/>
  <c r="CC124" i="4" s="1"/>
  <c r="CM117" i="4"/>
  <c r="CM124" i="4" s="1"/>
  <c r="CZ117" i="4"/>
  <c r="CZ124" i="4" s="1"/>
  <c r="CO117" i="4"/>
  <c r="CO124" i="4" s="1"/>
  <c r="DE117" i="4"/>
  <c r="DE124" i="4" s="1"/>
  <c r="CP117" i="4"/>
  <c r="DH117" i="4"/>
  <c r="DH124" i="4" s="1"/>
  <c r="CT117" i="4"/>
  <c r="CD117" i="4"/>
  <c r="CD124" i="4" s="1"/>
  <c r="CU117" i="4"/>
  <c r="CE117" i="4"/>
  <c r="CW117" i="4"/>
  <c r="CW124" i="4" s="1"/>
  <c r="CA117" i="4"/>
  <c r="DB117" i="4"/>
  <c r="DB124" i="4" s="1"/>
  <c r="CH117" i="4"/>
  <c r="CH124" i="4" s="1"/>
  <c r="CK117" i="4"/>
  <c r="CK124" i="4" s="1"/>
  <c r="DC117" i="4"/>
  <c r="DC124" i="4" s="1"/>
  <c r="DD117" i="4"/>
  <c r="DD124" i="4" s="1"/>
  <c r="CG117" i="4"/>
  <c r="CG124" i="4" s="1"/>
  <c r="F89" i="4"/>
  <c r="F183" i="4" s="1"/>
  <c r="F184" i="4" s="1"/>
  <c r="CI120" i="4"/>
  <c r="CS120" i="4"/>
  <c r="CS127" i="4" s="1"/>
  <c r="DA120" i="4"/>
  <c r="DA127" i="4" s="1"/>
  <c r="CD120" i="4"/>
  <c r="CL120" i="4"/>
  <c r="CV120" i="4"/>
  <c r="CV127" i="4" s="1"/>
  <c r="DD120" i="4"/>
  <c r="DD127" i="4" s="1"/>
  <c r="CB120" i="4"/>
  <c r="CM120" i="4"/>
  <c r="CY120" i="4"/>
  <c r="CY127" i="4" s="1"/>
  <c r="CE120" i="4"/>
  <c r="CO120" i="4"/>
  <c r="DB120" i="4"/>
  <c r="DB127" i="4" s="1"/>
  <c r="CC120" i="4"/>
  <c r="CT120" i="4"/>
  <c r="CT127" i="4" s="1"/>
  <c r="DG120" i="4"/>
  <c r="DG127" i="4" s="1"/>
  <c r="CF120" i="4"/>
  <c r="CU120" i="4"/>
  <c r="CU127" i="4" s="1"/>
  <c r="DH120" i="4"/>
  <c r="DH127" i="4" s="1"/>
  <c r="CK120" i="4"/>
  <c r="CG120" i="4"/>
  <c r="CW120" i="4"/>
  <c r="CW127" i="4" s="1"/>
  <c r="CA120" i="4"/>
  <c r="CH120" i="4"/>
  <c r="CX120" i="4"/>
  <c r="CX127" i="4" s="1"/>
  <c r="CJ120" i="4"/>
  <c r="CZ120" i="4"/>
  <c r="CZ127" i="4" s="1"/>
  <c r="DC120" i="4"/>
  <c r="DC127" i="4" s="1"/>
  <c r="DE120" i="4"/>
  <c r="DE127" i="4" s="1"/>
  <c r="DF120" i="4"/>
  <c r="DF127" i="4" s="1"/>
  <c r="CN120" i="4"/>
  <c r="CP120" i="4"/>
  <c r="T196" i="4"/>
  <c r="T197" i="4" s="1"/>
  <c r="M196" i="4"/>
  <c r="M197" i="4" s="1"/>
  <c r="U196" i="4"/>
  <c r="U197" i="4" s="1"/>
  <c r="N196" i="4"/>
  <c r="N197" i="4" s="1"/>
  <c r="O196" i="4"/>
  <c r="O197" i="4" s="1"/>
  <c r="P196" i="4"/>
  <c r="P197" i="4" s="1"/>
  <c r="Q196" i="4"/>
  <c r="Q197" i="4" s="1"/>
  <c r="R196" i="4"/>
  <c r="R197" i="4" s="1"/>
  <c r="S196" i="4"/>
  <c r="S197" i="4" s="1"/>
  <c r="R193" i="4"/>
  <c r="R194" i="4" s="1"/>
  <c r="T193" i="4"/>
  <c r="T194" i="4" s="1"/>
  <c r="Q193" i="4"/>
  <c r="S193" i="4"/>
  <c r="S194" i="4" s="1"/>
  <c r="P193" i="4"/>
  <c r="P194" i="4" s="1"/>
  <c r="U193" i="4"/>
  <c r="U194" i="4" s="1"/>
  <c r="O193" i="4"/>
  <c r="O194" i="4" s="1"/>
  <c r="N193" i="4"/>
  <c r="N226" i="4" s="1"/>
  <c r="M193" i="4"/>
  <c r="M194" i="4" s="1"/>
  <c r="G35" i="6"/>
  <c r="I39" i="4"/>
  <c r="G39" i="4"/>
  <c r="H39" i="4"/>
  <c r="F39" i="4"/>
  <c r="G72" i="7"/>
  <c r="G36" i="7"/>
  <c r="G38" i="7"/>
  <c r="G31" i="6"/>
  <c r="G36" i="6"/>
  <c r="G37" i="7"/>
  <c r="G34" i="6"/>
  <c r="G32" i="6"/>
  <c r="U170" i="4" l="1"/>
  <c r="U172" i="4" s="1"/>
  <c r="T172" i="4"/>
  <c r="U165" i="4"/>
  <c r="U167" i="4" s="1"/>
  <c r="T167" i="4"/>
  <c r="U175" i="4"/>
  <c r="U177" i="4" s="1"/>
  <c r="T177" i="4"/>
  <c r="J221" i="4"/>
  <c r="J239" i="4" s="1"/>
  <c r="V226" i="4"/>
  <c r="V197" i="4"/>
  <c r="Q226" i="4"/>
  <c r="CE124" i="4"/>
  <c r="J137" i="4"/>
  <c r="CU124" i="4"/>
  <c r="F197" i="4"/>
  <c r="CT124" i="4"/>
  <c r="CA124" i="4"/>
  <c r="G38" i="6"/>
  <c r="T226" i="4"/>
  <c r="P226" i="4"/>
  <c r="U228" i="4"/>
  <c r="Q228" i="4"/>
  <c r="CL127" i="4"/>
  <c r="Q221" i="4"/>
  <c r="Q239" i="4" s="1"/>
  <c r="CH129" i="4"/>
  <c r="M225" i="4"/>
  <c r="M228" i="4"/>
  <c r="N194" i="4"/>
  <c r="CE127" i="4"/>
  <c r="CN129" i="4"/>
  <c r="S225" i="4"/>
  <c r="CK129" i="4"/>
  <c r="P225" i="4"/>
  <c r="S226" i="4"/>
  <c r="O226" i="4"/>
  <c r="T228" i="4"/>
  <c r="P228" i="4"/>
  <c r="CB129" i="4"/>
  <c r="G225" i="4"/>
  <c r="Q194" i="4"/>
  <c r="CJ127" i="4"/>
  <c r="O221" i="4"/>
  <c r="O239" i="4" s="1"/>
  <c r="CO129" i="4"/>
  <c r="T225" i="4"/>
  <c r="CF129" i="4"/>
  <c r="K225" i="4"/>
  <c r="CC129" i="4"/>
  <c r="H225" i="4"/>
  <c r="CD127" i="4"/>
  <c r="I221" i="4"/>
  <c r="I239" i="4" s="1"/>
  <c r="CF127" i="4"/>
  <c r="K221" i="4"/>
  <c r="K239" i="4" s="1"/>
  <c r="CM127" i="4"/>
  <c r="R221" i="4"/>
  <c r="R239" i="4" s="1"/>
  <c r="CI127" i="4"/>
  <c r="N221" i="4"/>
  <c r="N239" i="4" s="1"/>
  <c r="CE129" i="4"/>
  <c r="J225" i="4"/>
  <c r="CM129" i="4"/>
  <c r="R225" i="4"/>
  <c r="CD129" i="4"/>
  <c r="I225" i="4"/>
  <c r="R226" i="4"/>
  <c r="S228" i="4"/>
  <c r="O228" i="4"/>
  <c r="CO127" i="4"/>
  <c r="T221" i="4"/>
  <c r="T239" i="4" s="1"/>
  <c r="CP127" i="4"/>
  <c r="U221" i="4"/>
  <c r="U239" i="4" s="1"/>
  <c r="CH127" i="4"/>
  <c r="M221" i="4"/>
  <c r="M239" i="4" s="1"/>
  <c r="CB127" i="4"/>
  <c r="G221" i="4"/>
  <c r="G239" i="4" s="1"/>
  <c r="CP129" i="4"/>
  <c r="U225" i="4"/>
  <c r="CG127" i="4"/>
  <c r="L221" i="4"/>
  <c r="L239" i="4" s="1"/>
  <c r="CK127" i="4"/>
  <c r="P221" i="4"/>
  <c r="P239" i="4" s="1"/>
  <c r="CI129" i="4"/>
  <c r="N225" i="4"/>
  <c r="CN127" i="4"/>
  <c r="S221" i="4"/>
  <c r="S239" i="4" s="1"/>
  <c r="CA127" i="4"/>
  <c r="F221" i="4"/>
  <c r="F239" i="4" s="1"/>
  <c r="CG129" i="4"/>
  <c r="L225" i="4"/>
  <c r="U226" i="4"/>
  <c r="R228" i="4"/>
  <c r="F228" i="4"/>
  <c r="CJ129" i="4"/>
  <c r="O225" i="4"/>
  <c r="CL129" i="4"/>
  <c r="Q225" i="4"/>
  <c r="CC127" i="4"/>
  <c r="H221" i="4"/>
  <c r="H239" i="4" s="1"/>
  <c r="CA129" i="4"/>
  <c r="F225" i="4"/>
  <c r="M226" i="4"/>
  <c r="N228" i="4"/>
  <c r="CD128" i="4"/>
  <c r="CG126" i="4"/>
  <c r="CK128" i="4"/>
  <c r="CI128" i="4"/>
  <c r="CA128" i="4"/>
  <c r="CP124" i="4"/>
  <c r="U137" i="4"/>
  <c r="U219" i="4" s="1"/>
  <c r="CM126" i="4"/>
  <c r="CN126" i="4"/>
  <c r="CC126" i="4"/>
  <c r="CG128" i="4"/>
  <c r="CO128" i="4"/>
  <c r="CI126" i="4"/>
  <c r="CD126" i="4"/>
  <c r="CO126" i="4"/>
  <c r="CF126" i="4"/>
  <c r="CA126" i="4"/>
  <c r="CF128" i="4"/>
  <c r="CK126" i="4"/>
  <c r="CJ126" i="4"/>
  <c r="CP126" i="4"/>
  <c r="CH128" i="4"/>
  <c r="CN128" i="4"/>
  <c r="CM128" i="4"/>
  <c r="CJ128" i="4"/>
  <c r="CP128" i="4"/>
  <c r="CE126" i="4"/>
  <c r="F94" i="4"/>
  <c r="CB126" i="4"/>
  <c r="G271" i="4" s="1"/>
  <c r="CL126" i="4"/>
  <c r="CH126" i="4"/>
  <c r="CL128" i="4"/>
  <c r="CC128" i="4"/>
  <c r="CE128" i="4"/>
  <c r="CB128" i="4"/>
  <c r="DA132" i="4"/>
  <c r="DC132" i="4"/>
  <c r="CV132" i="4"/>
  <c r="DB132" i="4"/>
  <c r="CS132" i="4"/>
  <c r="DE132" i="4"/>
  <c r="DH132" i="4"/>
  <c r="DG132" i="4"/>
  <c r="DF132" i="4"/>
  <c r="DD132" i="4"/>
  <c r="CZ132" i="4"/>
  <c r="T133" i="4"/>
  <c r="Q133" i="4"/>
  <c r="R133" i="4"/>
  <c r="S133" i="4"/>
  <c r="P133" i="4"/>
  <c r="U133" i="4"/>
  <c r="M133" i="4"/>
  <c r="N133" i="4"/>
  <c r="O133" i="4"/>
  <c r="H43" i="4"/>
  <c r="I43" i="4"/>
  <c r="G43" i="4"/>
  <c r="CY132" i="4"/>
  <c r="CU132" i="4"/>
  <c r="CX132" i="4"/>
  <c r="CW132" i="4"/>
  <c r="BL78" i="4"/>
  <c r="J234" i="4" s="1"/>
  <c r="BL75" i="4"/>
  <c r="J231" i="4" s="1"/>
  <c r="BN77" i="4"/>
  <c r="L233" i="4" s="1"/>
  <c r="BL80" i="4"/>
  <c r="J236" i="4" s="1"/>
  <c r="J261" i="4" s="1"/>
  <c r="BM77" i="4"/>
  <c r="K233" i="4" s="1"/>
  <c r="BJ74" i="4"/>
  <c r="H230" i="4" s="1"/>
  <c r="BJ77" i="4"/>
  <c r="H233" i="4" s="1"/>
  <c r="BK78" i="4"/>
  <c r="I234" i="4" s="1"/>
  <c r="BN74" i="4"/>
  <c r="L230" i="4" s="1"/>
  <c r="BM76" i="4"/>
  <c r="K232" i="4" s="1"/>
  <c r="BN79" i="4"/>
  <c r="L235" i="4" s="1"/>
  <c r="BN80" i="4"/>
  <c r="L236" i="4" s="1"/>
  <c r="L261" i="4" s="1"/>
  <c r="BJ76" i="4"/>
  <c r="H232" i="4" s="1"/>
  <c r="BM75" i="4"/>
  <c r="K231" i="4" s="1"/>
  <c r="BJ79" i="4"/>
  <c r="H235" i="4" s="1"/>
  <c r="BN76" i="4"/>
  <c r="L232" i="4" s="1"/>
  <c r="BM78" i="4"/>
  <c r="K234" i="4" s="1"/>
  <c r="BM80" i="4"/>
  <c r="K236" i="4" s="1"/>
  <c r="BJ78" i="4"/>
  <c r="H234" i="4" s="1"/>
  <c r="BL76" i="4"/>
  <c r="J232" i="4" s="1"/>
  <c r="BK74" i="4"/>
  <c r="I230" i="4" s="1"/>
  <c r="BK79" i="4"/>
  <c r="I235" i="4" s="1"/>
  <c r="BN75" i="4"/>
  <c r="L231" i="4" s="1"/>
  <c r="BK75" i="4"/>
  <c r="I231" i="4" s="1"/>
  <c r="BM79" i="4"/>
  <c r="K235" i="4" s="1"/>
  <c r="BK80" i="4"/>
  <c r="I236" i="4" s="1"/>
  <c r="BK77" i="4"/>
  <c r="I233" i="4" s="1"/>
  <c r="BL74" i="4"/>
  <c r="J230" i="4" s="1"/>
  <c r="BL79" i="4"/>
  <c r="J235" i="4" s="1"/>
  <c r="BK76" i="4"/>
  <c r="I232" i="4" s="1"/>
  <c r="BN78" i="4"/>
  <c r="L234" i="4" s="1"/>
  <c r="BM74" i="4"/>
  <c r="K230" i="4" s="1"/>
  <c r="BJ75" i="4"/>
  <c r="H231" i="4" s="1"/>
  <c r="BL77" i="4"/>
  <c r="J233" i="4" s="1"/>
  <c r="BJ80" i="4"/>
  <c r="H236" i="4" s="1"/>
  <c r="J192" i="4"/>
  <c r="K183" i="4"/>
  <c r="K184" i="4" s="1"/>
  <c r="L192" i="4"/>
  <c r="K192" i="4"/>
  <c r="H192" i="4"/>
  <c r="L183" i="4"/>
  <c r="L184" i="4" s="1"/>
  <c r="J183" i="4"/>
  <c r="J184" i="4" s="1"/>
  <c r="I192" i="4"/>
  <c r="H183" i="4"/>
  <c r="H184" i="4" s="1"/>
  <c r="I183" i="4"/>
  <c r="I184" i="4" s="1"/>
  <c r="G73" i="7"/>
  <c r="F8" i="4" s="1" a="1"/>
  <c r="F8" i="4" s="1"/>
  <c r="G40" i="7"/>
  <c r="G29" i="6"/>
  <c r="G30" i="6" s="1"/>
  <c r="G33" i="6" s="1"/>
  <c r="H271" i="4" l="1"/>
  <c r="I271" i="4"/>
  <c r="F271" i="4"/>
  <c r="K261" i="4"/>
  <c r="K252" i="4"/>
  <c r="Z228" i="4"/>
  <c r="T271" i="4"/>
  <c r="T272" i="4" s="1"/>
  <c r="J216" i="4"/>
  <c r="J213" i="4"/>
  <c r="L271" i="4"/>
  <c r="L272" i="4" s="1"/>
  <c r="O271" i="4"/>
  <c r="O272" i="4" s="1"/>
  <c r="R271" i="4"/>
  <c r="R272" i="4" s="1"/>
  <c r="P271" i="4"/>
  <c r="P272" i="4" s="1"/>
  <c r="S271" i="4"/>
  <c r="S272" i="4" s="1"/>
  <c r="Q271" i="4"/>
  <c r="Q272" i="4" s="1"/>
  <c r="N271" i="4"/>
  <c r="N272" i="4" s="1"/>
  <c r="K271" i="4"/>
  <c r="K272" i="4" s="1"/>
  <c r="M271" i="4"/>
  <c r="M272" i="4" s="1"/>
  <c r="U271" i="4"/>
  <c r="U272" i="4" s="1"/>
  <c r="U273" i="4" s="1"/>
  <c r="U274" i="4" s="1"/>
  <c r="U275" i="4" s="1"/>
  <c r="U276" i="4" s="1"/>
  <c r="U278" i="4" s="1"/>
  <c r="J271" i="4"/>
  <c r="J272" i="4" s="1"/>
  <c r="J273" i="4" s="1"/>
  <c r="J274" i="4" s="1"/>
  <c r="J275" i="4" s="1"/>
  <c r="J276" i="4" s="1"/>
  <c r="J278" i="4" s="1"/>
  <c r="J219" i="4"/>
  <c r="J222" i="4"/>
  <c r="U222" i="4"/>
  <c r="U213" i="4"/>
  <c r="U216" i="4"/>
  <c r="K245" i="4"/>
  <c r="I258" i="4"/>
  <c r="J252" i="4"/>
  <c r="J253" i="4" s="1"/>
  <c r="I255" i="4"/>
  <c r="U252" i="4"/>
  <c r="U253" i="4" s="1"/>
  <c r="U245" i="4"/>
  <c r="U246" i="4" s="1"/>
  <c r="T245" i="4"/>
  <c r="T252" i="4"/>
  <c r="S245" i="4"/>
  <c r="S252" i="4"/>
  <c r="R245" i="4"/>
  <c r="R252" i="4"/>
  <c r="P252" i="4"/>
  <c r="P245" i="4"/>
  <c r="Q245" i="4"/>
  <c r="Q252" i="4"/>
  <c r="O245" i="4"/>
  <c r="O252" i="4"/>
  <c r="N252" i="4"/>
  <c r="N245" i="4"/>
  <c r="M252" i="4"/>
  <c r="M245" i="4"/>
  <c r="L245" i="4"/>
  <c r="F252" i="4"/>
  <c r="F245" i="4"/>
  <c r="U256" i="4"/>
  <c r="CL156" i="4"/>
  <c r="CK156" i="4"/>
  <c r="L195" i="4"/>
  <c r="T137" i="4"/>
  <c r="T219" i="4" s="1"/>
  <c r="CN156" i="4"/>
  <c r="CM156" i="4"/>
  <c r="CO156" i="4"/>
  <c r="R137" i="4"/>
  <c r="R219" i="4" s="1"/>
  <c r="I193" i="4"/>
  <c r="N137" i="4"/>
  <c r="N219" i="4" s="1"/>
  <c r="K193" i="4"/>
  <c r="Q137" i="4"/>
  <c r="Q219" i="4" s="1"/>
  <c r="L193" i="4"/>
  <c r="F192" i="4"/>
  <c r="H193" i="4"/>
  <c r="CP156" i="4"/>
  <c r="S137" i="4"/>
  <c r="S219" i="4" s="1"/>
  <c r="M137" i="4"/>
  <c r="M219" i="4" s="1"/>
  <c r="J193" i="4"/>
  <c r="J226" i="4" s="1"/>
  <c r="P137" i="4"/>
  <c r="O137" i="4"/>
  <c r="O219" i="4" s="1"/>
  <c r="CT132" i="4"/>
  <c r="DE156" i="4"/>
  <c r="DG156" i="4"/>
  <c r="DD156" i="4"/>
  <c r="DF156" i="4"/>
  <c r="DH156" i="4"/>
  <c r="I8" i="4" a="1"/>
  <c r="I8" i="4" s="1"/>
  <c r="H8" i="4" a="1"/>
  <c r="H8" i="4" s="1"/>
  <c r="K74" i="4"/>
  <c r="L74" i="4"/>
  <c r="G8" i="4" a="1"/>
  <c r="G8" i="4" s="1"/>
  <c r="CS156" i="4"/>
  <c r="CY156" i="4"/>
  <c r="CV156" i="4"/>
  <c r="J195" i="4"/>
  <c r="K195" i="4"/>
  <c r="H195" i="4"/>
  <c r="I195" i="4"/>
  <c r="BN81" i="4"/>
  <c r="BL81" i="4"/>
  <c r="BK81" i="4"/>
  <c r="BJ81" i="4"/>
  <c r="BM81" i="4"/>
  <c r="DB156" i="4"/>
  <c r="CZ156" i="4"/>
  <c r="P273" i="4" l="1"/>
  <c r="P274" i="4" s="1"/>
  <c r="P275" i="4" s="1"/>
  <c r="P276" i="4" s="1"/>
  <c r="P278" i="4" s="1"/>
  <c r="R273" i="4"/>
  <c r="R274" i="4" s="1"/>
  <c r="R275" i="4" s="1"/>
  <c r="R276" i="4" s="1"/>
  <c r="R278" i="4" s="1"/>
  <c r="N273" i="4"/>
  <c r="N274" i="4" s="1"/>
  <c r="N275" i="4" s="1"/>
  <c r="N276" i="4" s="1"/>
  <c r="N278" i="4" s="1"/>
  <c r="Q273" i="4"/>
  <c r="Q274" i="4" s="1"/>
  <c r="Q275" i="4" s="1"/>
  <c r="Q276" i="4" s="1"/>
  <c r="Q278" i="4" s="1"/>
  <c r="T273" i="4"/>
  <c r="T274" i="4" s="1"/>
  <c r="T275" i="4" s="1"/>
  <c r="T276" i="4" s="1"/>
  <c r="T278" i="4" s="1"/>
  <c r="O273" i="4"/>
  <c r="O274" i="4" s="1"/>
  <c r="O275" i="4" s="1"/>
  <c r="O276" i="4" s="1"/>
  <c r="O278" i="4" s="1"/>
  <c r="M273" i="4"/>
  <c r="M274" i="4" s="1"/>
  <c r="M275" i="4" s="1"/>
  <c r="M276" i="4" s="1"/>
  <c r="M278" i="4" s="1"/>
  <c r="S273" i="4"/>
  <c r="S274" i="4" s="1"/>
  <c r="S275" i="4" s="1"/>
  <c r="S276" i="4" s="1"/>
  <c r="S278" i="4" s="1"/>
  <c r="M222" i="4"/>
  <c r="N222" i="4"/>
  <c r="R222" i="4"/>
  <c r="Q222" i="4"/>
  <c r="O222" i="4"/>
  <c r="P216" i="4"/>
  <c r="P219" i="4"/>
  <c r="U240" i="4"/>
  <c r="U268" i="4" s="1"/>
  <c r="T222" i="4"/>
  <c r="S222" i="4"/>
  <c r="P222" i="4"/>
  <c r="O213" i="4"/>
  <c r="O216" i="4"/>
  <c r="T213" i="4"/>
  <c r="T216" i="4"/>
  <c r="Q213" i="4"/>
  <c r="Q216" i="4"/>
  <c r="N213" i="4"/>
  <c r="N216" i="4"/>
  <c r="M213" i="4"/>
  <c r="M216" i="4"/>
  <c r="S213" i="4"/>
  <c r="S216" i="4"/>
  <c r="R213" i="4"/>
  <c r="R216" i="4"/>
  <c r="P246" i="4"/>
  <c r="P213" i="4"/>
  <c r="R246" i="4"/>
  <c r="T246" i="4"/>
  <c r="S246" i="4"/>
  <c r="Q246" i="4"/>
  <c r="O246" i="4"/>
  <c r="N246" i="4"/>
  <c r="M246" i="4"/>
  <c r="O256" i="4"/>
  <c r="O253" i="4"/>
  <c r="O259" i="4"/>
  <c r="M256" i="4"/>
  <c r="M259" i="4"/>
  <c r="M253" i="4"/>
  <c r="P256" i="4"/>
  <c r="P253" i="4"/>
  <c r="P259" i="4"/>
  <c r="Q253" i="4"/>
  <c r="Q259" i="4"/>
  <c r="Q256" i="4"/>
  <c r="T253" i="4"/>
  <c r="T256" i="4"/>
  <c r="T259" i="4"/>
  <c r="N253" i="4"/>
  <c r="N256" i="4"/>
  <c r="N259" i="4"/>
  <c r="S256" i="4"/>
  <c r="S253" i="4"/>
  <c r="S259" i="4"/>
  <c r="R256" i="4"/>
  <c r="R253" i="4"/>
  <c r="R259" i="4"/>
  <c r="H194" i="4"/>
  <c r="H226" i="4"/>
  <c r="L194" i="4"/>
  <c r="L226" i="4"/>
  <c r="I194" i="4"/>
  <c r="I226" i="4"/>
  <c r="J194" i="4"/>
  <c r="K194" i="4"/>
  <c r="K226" i="4"/>
  <c r="F193" i="4"/>
  <c r="CT156" i="4"/>
  <c r="K196" i="4"/>
  <c r="K228" i="4" s="1"/>
  <c r="I196" i="4"/>
  <c r="L196" i="4"/>
  <c r="L228" i="4" s="1"/>
  <c r="J196" i="4"/>
  <c r="J228" i="4" s="1"/>
  <c r="H196" i="4"/>
  <c r="H228" i="4" s="1"/>
  <c r="G41" i="4" a="1"/>
  <c r="L75" i="4"/>
  <c r="K75" i="4"/>
  <c r="K79" i="4"/>
  <c r="L79" i="4"/>
  <c r="K78" i="4"/>
  <c r="L77" i="4"/>
  <c r="K76" i="4"/>
  <c r="L78" i="4"/>
  <c r="I41" i="4" a="1"/>
  <c r="K77" i="4"/>
  <c r="H41" i="4" a="1"/>
  <c r="L80" i="4"/>
  <c r="L140" i="4" s="1"/>
  <c r="L141" i="4" s="1"/>
  <c r="K80" i="4"/>
  <c r="K140" i="4" s="1"/>
  <c r="L252" i="4"/>
  <c r="H255" i="4"/>
  <c r="J255" i="4"/>
  <c r="J256" i="4" s="1"/>
  <c r="L255" i="4"/>
  <c r="K255" i="4"/>
  <c r="DC156" i="4"/>
  <c r="CU156" i="4"/>
  <c r="F79" i="4"/>
  <c r="F80" i="4"/>
  <c r="F75" i="4"/>
  <c r="F76" i="4"/>
  <c r="F77" i="4"/>
  <c r="F78" i="4"/>
  <c r="CX156" i="4"/>
  <c r="CW156" i="4"/>
  <c r="DA156" i="4"/>
  <c r="H258" i="4"/>
  <c r="J258" i="4"/>
  <c r="K258" i="4"/>
  <c r="L258" i="4"/>
  <c r="J245" i="4"/>
  <c r="F41" i="4" a="1"/>
  <c r="CB156" i="4"/>
  <c r="CE156" i="4"/>
  <c r="CG156" i="4"/>
  <c r="H245" i="4"/>
  <c r="I245" i="4"/>
  <c r="CD156" i="4"/>
  <c r="CI156" i="4"/>
  <c r="CF156" i="4"/>
  <c r="CJ156" i="4"/>
  <c r="CH156" i="4"/>
  <c r="CC156" i="4"/>
  <c r="J79" i="4"/>
  <c r="J78" i="4"/>
  <c r="J75" i="4"/>
  <c r="J80" i="4"/>
  <c r="J140" i="4" s="1"/>
  <c r="J141" i="4" s="1"/>
  <c r="J76" i="4"/>
  <c r="J77" i="4"/>
  <c r="H79" i="4"/>
  <c r="H78" i="4"/>
  <c r="H75" i="4"/>
  <c r="H80" i="4"/>
  <c r="H140" i="4" s="1"/>
  <c r="H141" i="4" s="1"/>
  <c r="H76" i="4"/>
  <c r="H77" i="4"/>
  <c r="I79" i="4"/>
  <c r="I78" i="4"/>
  <c r="I75" i="4"/>
  <c r="I80" i="4"/>
  <c r="I140" i="4" s="1"/>
  <c r="I141" i="4" s="1"/>
  <c r="I76" i="4"/>
  <c r="I77" i="4"/>
  <c r="G79" i="4"/>
  <c r="G76" i="4"/>
  <c r="G78" i="4"/>
  <c r="G75" i="4"/>
  <c r="G77" i="4"/>
  <c r="G80" i="4"/>
  <c r="G140" i="4" s="1"/>
  <c r="G141" i="4" s="1"/>
  <c r="H74" i="4"/>
  <c r="I74" i="4"/>
  <c r="F74" i="4"/>
  <c r="G74" i="4"/>
  <c r="R279" i="4" l="1"/>
  <c r="Y226" i="4"/>
  <c r="K141" i="4"/>
  <c r="Y140" i="4"/>
  <c r="Y228" i="4"/>
  <c r="I228" i="4"/>
  <c r="P240" i="4"/>
  <c r="P268" i="4" s="1"/>
  <c r="S240" i="4"/>
  <c r="S268" i="4" s="1"/>
  <c r="T240" i="4"/>
  <c r="T268" i="4" s="1"/>
  <c r="R240" i="4"/>
  <c r="R268" i="4" s="1"/>
  <c r="Q240" i="4"/>
  <c r="N240" i="4"/>
  <c r="N268" i="4" s="1"/>
  <c r="M240" i="4"/>
  <c r="M268" i="4" s="1"/>
  <c r="O240" i="4"/>
  <c r="O268" i="4" s="1"/>
  <c r="F226" i="4"/>
  <c r="F140" i="4"/>
  <c r="F141" i="4" s="1"/>
  <c r="G41" i="4"/>
  <c r="G101" i="4" s="1"/>
  <c r="G137" i="4" s="1"/>
  <c r="G102" i="4"/>
  <c r="G270" i="4" s="1"/>
  <c r="G272" i="4" s="1"/>
  <c r="F41" i="4"/>
  <c r="F101" i="4" s="1"/>
  <c r="F137" i="4" s="1"/>
  <c r="F261" i="4" s="1"/>
  <c r="F102" i="4"/>
  <c r="F270" i="4" s="1"/>
  <c r="F272" i="4" s="1"/>
  <c r="H41" i="4"/>
  <c r="H101" i="4" s="1"/>
  <c r="H137" i="4" s="1"/>
  <c r="H102" i="4"/>
  <c r="H270" i="4" s="1"/>
  <c r="H272" i="4" s="1"/>
  <c r="K197" i="4"/>
  <c r="H197" i="4"/>
  <c r="L197" i="4"/>
  <c r="I197" i="4"/>
  <c r="I41" i="4"/>
  <c r="I101" i="4" s="1"/>
  <c r="I102" i="4"/>
  <c r="I270" i="4" s="1"/>
  <c r="I272" i="4" s="1"/>
  <c r="J197" i="4"/>
  <c r="F133" i="4"/>
  <c r="F194" i="4"/>
  <c r="L81" i="4"/>
  <c r="K81" i="4"/>
  <c r="K133" i="4"/>
  <c r="J133" i="4"/>
  <c r="L133" i="4"/>
  <c r="H133" i="4"/>
  <c r="I133" i="4"/>
  <c r="F81" i="4"/>
  <c r="I81" i="4"/>
  <c r="H81" i="4"/>
  <c r="J81" i="4"/>
  <c r="G81" i="4"/>
  <c r="Q268" i="4" l="1"/>
  <c r="Z240" i="4"/>
  <c r="F273" i="4"/>
  <c r="F274" i="4" s="1"/>
  <c r="F275" i="4" s="1"/>
  <c r="F276" i="4" s="1"/>
  <c r="F278" i="4" s="1"/>
  <c r="G273" i="4"/>
  <c r="G274" i="4" s="1"/>
  <c r="G275" i="4" s="1"/>
  <c r="G276" i="4" s="1"/>
  <c r="G278" i="4" s="1"/>
  <c r="H273" i="4"/>
  <c r="H274" i="4" s="1"/>
  <c r="H275" i="4" s="1"/>
  <c r="H276" i="4" s="1"/>
  <c r="H278" i="4" s="1"/>
  <c r="G219" i="4"/>
  <c r="G222" i="4"/>
  <c r="H219" i="4"/>
  <c r="H222" i="4"/>
  <c r="F216" i="4"/>
  <c r="F219" i="4"/>
  <c r="F222" i="4"/>
  <c r="G213" i="4"/>
  <c r="G216" i="4"/>
  <c r="H213" i="4"/>
  <c r="H216" i="4"/>
  <c r="F213" i="4"/>
  <c r="F256" i="4"/>
  <c r="F246" i="4"/>
  <c r="H103" i="4"/>
  <c r="I103" i="4"/>
  <c r="G103" i="4"/>
  <c r="F103" i="4"/>
  <c r="F253" i="4"/>
  <c r="F259" i="4"/>
  <c r="I137" i="4"/>
  <c r="I273" i="4" s="1"/>
  <c r="I274" i="4" s="1"/>
  <c r="I275" i="4" s="1"/>
  <c r="I276" i="4" s="1"/>
  <c r="I278" i="4" s="1"/>
  <c r="L137" i="4"/>
  <c r="L273" i="4" s="1"/>
  <c r="L274" i="4" s="1"/>
  <c r="L275" i="4" s="1"/>
  <c r="L276" i="4" s="1"/>
  <c r="L278" i="4" s="1"/>
  <c r="K137" i="4"/>
  <c r="K273" i="4" s="1"/>
  <c r="K274" i="4" s="1"/>
  <c r="K275" i="4" s="1"/>
  <c r="K276" i="4" s="1"/>
  <c r="K278" i="4" s="1"/>
  <c r="K279" i="4" s="1"/>
  <c r="G279" i="4" l="1"/>
  <c r="F240" i="4"/>
  <c r="F268" i="4" s="1"/>
  <c r="L219" i="4"/>
  <c r="L222" i="4"/>
  <c r="I219" i="4"/>
  <c r="I222" i="4"/>
  <c r="H240" i="4"/>
  <c r="K216" i="4"/>
  <c r="K219" i="4"/>
  <c r="K222" i="4"/>
  <c r="I259" i="4"/>
  <c r="I216" i="4"/>
  <c r="L213" i="4"/>
  <c r="L216" i="4"/>
  <c r="I213" i="4"/>
  <c r="I240" i="4" s="1"/>
  <c r="K213" i="4"/>
  <c r="K240" i="4" s="1"/>
  <c r="L246" i="4"/>
  <c r="J240" i="4"/>
  <c r="J259" i="4"/>
  <c r="J246" i="4"/>
  <c r="K259" i="4"/>
  <c r="L253" i="4"/>
  <c r="K246" i="4"/>
  <c r="I253" i="4"/>
  <c r="I256" i="4"/>
  <c r="I246" i="4"/>
  <c r="L256" i="4"/>
  <c r="L259" i="4"/>
  <c r="H259" i="4"/>
  <c r="K256" i="4"/>
  <c r="K253" i="4"/>
  <c r="H246" i="4"/>
  <c r="H253" i="4"/>
  <c r="H256" i="4"/>
  <c r="L240" i="4" l="1"/>
  <c r="L268" i="4" s="1"/>
  <c r="J268" i="4"/>
  <c r="H35" i="21"/>
  <c r="I268" i="4"/>
  <c r="H268" i="4"/>
  <c r="K268" i="4"/>
  <c r="Y240" i="4" l="1"/>
  <c r="BI80" i="4"/>
  <c r="G236" i="4" s="1"/>
  <c r="G261" i="4" s="1"/>
  <c r="G195" i="4"/>
  <c r="BI78" i="4"/>
  <c r="G234" i="4" s="1"/>
  <c r="BI76" i="4"/>
  <c r="G232" i="4" s="1"/>
  <c r="BI74" i="4"/>
  <c r="G230" i="4" s="1"/>
  <c r="BI75" i="4"/>
  <c r="G231" i="4" s="1"/>
  <c r="G240" i="4"/>
  <c r="BI79" i="4"/>
  <c r="G235" i="4" s="1"/>
  <c r="BI77" i="4"/>
  <c r="G233" i="4" s="1"/>
  <c r="G196" i="4" l="1"/>
  <c r="BI81" i="4"/>
  <c r="G258" i="4"/>
  <c r="G259" i="4" s="1"/>
  <c r="G255" i="4"/>
  <c r="G256" i="4" s="1"/>
  <c r="G192" i="4"/>
  <c r="G197" i="4" l="1"/>
  <c r="G228" i="4"/>
  <c r="G193" i="4"/>
  <c r="G252" i="4"/>
  <c r="G253" i="4" s="1"/>
  <c r="G245" i="4"/>
  <c r="G246" i="4" s="1"/>
  <c r="G226" i="4" l="1"/>
  <c r="G133" i="4"/>
  <c r="G194" i="4"/>
  <c r="G26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Devas IPASON</author>
  </authors>
  <commentList>
    <comment ref="K19" authorId="0" shapeId="0" xr:uid="{BF3F6D25-9675-42D7-9A5E-2FF1EC89743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L19" authorId="0" shapeId="0" xr:uid="{0DD442EB-0AAB-494F-8C10-408DBF791D0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M19" authorId="0" shapeId="0" xr:uid="{AA7BD93E-AE1B-40C0-A715-62395A93039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N19" authorId="0" shapeId="0" xr:uid="{A3081C96-6B1B-4635-A087-1302D0B6DC1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O19" authorId="0" shapeId="0" xr:uid="{E83E6F6B-ED8C-44E6-9EED-B289AF5B4FB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P19" authorId="0" shapeId="0" xr:uid="{6D6B4971-F16C-4F29-8ED4-70BFEDB795B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Q19" authorId="0" shapeId="0" xr:uid="{D499883B-5D94-475F-8BFA-2555B63B519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19" authorId="0" shapeId="0" xr:uid="{085EBBE1-F12A-4A2B-B7B5-1AFCA155BF7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S19" authorId="0" shapeId="0" xr:uid="{0E1C5D4D-2614-4D72-BF75-971A76F14AA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S89" authorId="1" shapeId="0" xr:uid="{045D68AE-5976-424D-9EAC-6A8638AA1429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T89" authorId="1" shapeId="0" xr:uid="{BE57582B-20C3-43FF-83EE-57C144591613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tc={54892A5B-1205-491C-9707-63163724BF1F}</author>
  </authors>
  <commentList>
    <comment ref="H18" authorId="0" shapeId="0" xr:uid="{85C3140E-FF6B-4906-AB0E-3A93FA6B2A7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0.1787 %WT</t>
        </r>
      </text>
    </comment>
    <comment ref="T18" authorId="1" shapeId="0" xr:uid="{54892A5B-1205-491C-9707-63163724BF1F}">
      <text>
        <t>[Threaded comment]
Your version of Excel allows you to read this threaded comment; however, any edits to it will get removed if the file is opened in a newer version of Excel. Learn more: https://go.microsoft.com/fwlink/?linkid=870924
Comment:
    ASTM D2622 0.1560</t>
      </text>
    </comment>
    <comment ref="V18" authorId="0" shapeId="0" xr:uid="{2149F349-96B7-4AC6-B8AA-180DA665EF2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ASTM D4294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TOP RHRD-Nikom C.</author>
    <author>Devas IPASON</author>
  </authors>
  <commentList>
    <comment ref="N20" authorId="0" shapeId="0" xr:uid="{676A7371-0E14-48A5-ABF0-2F5417A53DA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O20" authorId="0" shapeId="0" xr:uid="{FB52E7E8-8F42-41F5-A4BD-F8A7882AD85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P20" authorId="0" shapeId="0" xr:uid="{99AA5A8B-284B-4B59-AA73-E106B10A475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Q20" authorId="0" shapeId="0" xr:uid="{B6E04B65-D132-4D3B-BA4C-BA2395846D6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20" authorId="0" shapeId="0" xr:uid="{A22255DE-734C-41F2-9397-44C7DD58478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S20" authorId="0" shapeId="0" xr:uid="{7395FE18-4CE8-4E02-A42F-BFF7B6C45DF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T20" authorId="0" shapeId="0" xr:uid="{33280A29-B5BB-47D9-868C-764AE9C59FC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U20" authorId="0" shapeId="0" xr:uid="{7F828880-5BC9-4BBA-B15F-3641F0E9CAF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V20" authorId="0" shapeId="0" xr:uid="{D9EA2FB3-35F9-4CBE-BE5C-95E16B71715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G25" authorId="1" shapeId="0" xr:uid="{53879634-EDF7-4228-8EDF-1F40BE5E431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7" authorId="1" shapeId="0" xr:uid="{AEEC022E-9205-4457-B0BD-133D11C14C4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I27" authorId="1" shapeId="0" xr:uid="{E98461C8-5E9E-4C80-9F37-FBB488DA44D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84.52</t>
        </r>
      </text>
    </comment>
    <comment ref="G28" authorId="1" shapeId="0" xr:uid="{596C666E-52A8-4ED4-A60B-BDB0023193E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  <comment ref="I28" authorId="1" shapeId="0" xr:uid="{3C115DE6-AAC0-46B4-A959-19BA718C263A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10.34</t>
        </r>
      </text>
    </comment>
    <comment ref="V90" authorId="2" shapeId="0" xr:uid="{C6EB038D-E6D3-4245-B346-634B778C7252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W90" authorId="2" shapeId="0" xr:uid="{A6739C9D-75AB-4C3F-B020-C8A2637726E5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EOSL-C-AA-Kesorn</author>
  </authors>
  <commentList>
    <comment ref="B39" authorId="0" shapeId="0" xr:uid="{0B9BB682-F4DC-433E-BCF9-6F67AB152E68}">
      <text>
        <r>
          <rPr>
            <b/>
            <sz val="9"/>
            <color indexed="81"/>
            <rFont val="Tahoma"/>
            <family val="2"/>
          </rPr>
          <t>Full report  in LIMS</t>
        </r>
      </text>
    </comment>
    <comment ref="B62" authorId="0" shapeId="0" xr:uid="{8A320CD8-026E-4703-813D-243F4EABDD39}">
      <text>
        <r>
          <rPr>
            <b/>
            <sz val="9"/>
            <color indexed="81"/>
            <rFont val="Tahoma"/>
            <family val="2"/>
          </rPr>
          <t>Full report  in LIMS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EOSL-C-AA-Kesorn</author>
  </authors>
  <commentList>
    <comment ref="B39" authorId="0" shapeId="0" xr:uid="{3BC698D4-B2DD-48D1-A14D-ECC397A4F1B5}">
      <text>
        <r>
          <rPr>
            <b/>
            <sz val="9"/>
            <color indexed="81"/>
            <rFont val="Tahoma"/>
            <family val="2"/>
          </rPr>
          <t>Full report  in LIMS</t>
        </r>
      </text>
    </comment>
    <comment ref="B62" authorId="0" shapeId="0" xr:uid="{BFC5B403-E770-4724-898E-B0844AE1339E}">
      <text>
        <r>
          <rPr>
            <b/>
            <sz val="9"/>
            <color indexed="81"/>
            <rFont val="Tahoma"/>
            <family val="2"/>
          </rPr>
          <t>Full report  in LIMS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EOSL-C-AA-Kesorn</author>
  </authors>
  <commentList>
    <comment ref="B39" authorId="0" shapeId="0" xr:uid="{641DAB56-BF34-4BD4-BFE7-26CF3D5DB387}">
      <text>
        <r>
          <rPr>
            <b/>
            <sz val="9"/>
            <color indexed="81"/>
            <rFont val="Tahoma"/>
            <family val="2"/>
          </rPr>
          <t>Full report  in LIMS</t>
        </r>
      </text>
    </comment>
    <comment ref="B62" authorId="0" shapeId="0" xr:uid="{655F7F1A-A4F0-4354-A32E-A43B04B89A62}">
      <text>
        <r>
          <rPr>
            <b/>
            <sz val="9"/>
            <color indexed="81"/>
            <rFont val="Tahoma"/>
            <family val="2"/>
          </rPr>
          <t>Full report  in LIMS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EOSL-C-AA-Kesorn</author>
  </authors>
  <commentList>
    <comment ref="B37" authorId="0" shapeId="0" xr:uid="{602D686B-0CB5-4088-8C47-72B74A70224B}">
      <text>
        <r>
          <rPr>
            <b/>
            <sz val="9"/>
            <color indexed="81"/>
            <rFont val="Tahoma"/>
            <family val="2"/>
          </rPr>
          <t>Full report  in LIMS</t>
        </r>
      </text>
    </comment>
    <comment ref="B55" authorId="0" shapeId="0" xr:uid="{34FCBAC5-5F44-4B73-83C1-7147359102BF}">
      <text>
        <r>
          <rPr>
            <b/>
            <sz val="9"/>
            <color indexed="81"/>
            <rFont val="Tahoma"/>
            <family val="2"/>
          </rPr>
          <t>Full report  in LIMS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RHRD-Nikom C.</author>
  </authors>
  <commentList>
    <comment ref="DI6" authorId="0" shapeId="0" xr:uid="{15F14F19-B080-493B-96A7-94F789D184A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CS58" authorId="0" shapeId="0" xr:uid="{16B9DB19-F253-4E6A-90AB-483F34EEDB08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CT58" authorId="0" shapeId="0" xr:uid="{F92DA4EE-8DBC-4DA4-965F-75259295B19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</t>
        </r>
      </text>
    </comment>
    <comment ref="CU58" authorId="0" shapeId="0" xr:uid="{F268C3DA-BA26-4F27-B01C-DD8EB04542E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CV58" authorId="0" shapeId="0" xr:uid="{97662447-DCB4-41D2-8E07-9B3AD90DCF1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F161" authorId="0" shapeId="0" xr:uid="{9BDE1916-0ACC-47D6-9708-592BEAA7D34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Dry Basis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<sst xmlns="http://schemas.openxmlformats.org/spreadsheetml/2006/main" count="3761" uniqueCount="885">
  <si>
    <t>LTO</t>
  </si>
  <si>
    <t>High Gas</t>
  </si>
  <si>
    <t>Low Gas</t>
  </si>
  <si>
    <t>Ni</t>
  </si>
  <si>
    <t>V</t>
  </si>
  <si>
    <t>RHCU Pilot Plant Laboratory Worksheet</t>
  </si>
  <si>
    <t>Batch Name :</t>
  </si>
  <si>
    <t>SR ABQ3358 ACCEPTANCE TEST</t>
  </si>
  <si>
    <t>Date :</t>
  </si>
  <si>
    <t>Note :</t>
  </si>
  <si>
    <t>MEBU ACCEPTANCE TEST</t>
  </si>
  <si>
    <t>Properties</t>
  </si>
  <si>
    <t>Method</t>
  </si>
  <si>
    <t>Unit</t>
  </si>
  <si>
    <t>SR ABQ3358</t>
  </si>
  <si>
    <t>HPS</t>
  </si>
  <si>
    <t>Ratio</t>
  </si>
  <si>
    <t>-</t>
  </si>
  <si>
    <t>%wt.</t>
  </si>
  <si>
    <t>Weight</t>
  </si>
  <si>
    <t>kg</t>
  </si>
  <si>
    <t>Density</t>
  </si>
  <si>
    <t>ASTM D4052</t>
  </si>
  <si>
    <t>kg/L</t>
  </si>
  <si>
    <r>
      <t xml:space="preserve">Relative Density@25/25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</si>
  <si>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t>ASTM D70</t>
  </si>
  <si>
    <r>
      <t xml:space="preserve">Viscosity @ -20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</si>
  <si>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t>ASTM D445</t>
  </si>
  <si>
    <t>cSt.</t>
  </si>
  <si>
    <r>
      <t xml:space="preserve">Viscosity @ 40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</si>
  <si>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r>
      <t xml:space="preserve">Viscosity @ 70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</si>
  <si>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r>
      <t xml:space="preserve">Viscosity @ 100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</si>
  <si>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r>
      <t xml:space="preserve">Viscosity @ 150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</si>
  <si>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t>V50</t>
  </si>
  <si>
    <t>Sulfur</t>
  </si>
  <si>
    <t>ASTM D4294</t>
  </si>
  <si>
    <t>%wt</t>
  </si>
  <si>
    <t>ASTM D2622</t>
  </si>
  <si>
    <t>PPMw</t>
  </si>
  <si>
    <t>Total Nitrogen</t>
  </si>
  <si>
    <t>ASTM D4629</t>
  </si>
  <si>
    <t>ASTM D5762</t>
  </si>
  <si>
    <t>CHN</t>
  </si>
  <si>
    <t>ASTM D5291</t>
  </si>
  <si>
    <t>Carbon</t>
  </si>
  <si>
    <t>Hydrogen</t>
  </si>
  <si>
    <t>Nitrogen</t>
  </si>
  <si>
    <t>ICP</t>
  </si>
  <si>
    <t>ASTM D7691
UOP 389</t>
  </si>
  <si>
    <t>Nickle (Ni)</t>
  </si>
  <si>
    <t>Vanadium (V)</t>
  </si>
  <si>
    <t>Sodium (Na)</t>
  </si>
  <si>
    <t>Calcium (Ca)</t>
  </si>
  <si>
    <t>Iron (Fe)</t>
  </si>
  <si>
    <t>Conversion</t>
  </si>
  <si>
    <t>%</t>
  </si>
  <si>
    <t>Ni+V</t>
  </si>
  <si>
    <t>Simdist</t>
  </si>
  <si>
    <t>ASTM D2887
ASTM D7169</t>
  </si>
  <si>
    <t>deg.C</t>
  </si>
  <si>
    <t>IBP</t>
  </si>
  <si>
    <t>FBP</t>
  </si>
  <si>
    <t>SARA</t>
  </si>
  <si>
    <t>IP469</t>
  </si>
  <si>
    <t>Saturates</t>
  </si>
  <si>
    <t>Aromatics</t>
  </si>
  <si>
    <t>Resins</t>
  </si>
  <si>
    <t>Asphaltenes</t>
  </si>
  <si>
    <t>Flocculation</t>
  </si>
  <si>
    <t>ASTM D6703
ASTM D7112</t>
  </si>
  <si>
    <t>Pa</t>
  </si>
  <si>
    <t>Po</t>
  </si>
  <si>
    <t>P</t>
  </si>
  <si>
    <t>FRmax</t>
  </si>
  <si>
    <t>SBN</t>
  </si>
  <si>
    <t>IN</t>
  </si>
  <si>
    <t>C5 Insoluble</t>
  </si>
  <si>
    <t>ASTM D4055</t>
  </si>
  <si>
    <t>C7 Insoluble</t>
  </si>
  <si>
    <t>ASTM D3279</t>
  </si>
  <si>
    <t>CCR</t>
  </si>
  <si>
    <t>ASTM D4530</t>
  </si>
  <si>
    <t>Total Sediment</t>
  </si>
  <si>
    <t>ASTM D4870</t>
  </si>
  <si>
    <t>ASTM D7833</t>
  </si>
  <si>
    <r>
      <t>H</t>
    </r>
    <r>
      <rPr>
        <vertAlign val="subscript"/>
        <sz val="12"/>
        <rFont val="Century Gothic"/>
        <family val="2"/>
      </rPr>
      <t>2</t>
    </r>
    <r>
      <rPr>
        <sz val="12"/>
        <rFont val="Century Gothic"/>
        <family val="2"/>
      </rPr>
      <t>S</t>
    </r>
  </si>
  <si>
    <r>
      <t>C</t>
    </r>
    <r>
      <rPr>
        <vertAlign val="subscript"/>
        <sz val="12"/>
        <rFont val="Century Gothic"/>
        <family val="2"/>
      </rPr>
      <t>1</t>
    </r>
  </si>
  <si>
    <r>
      <t>C</t>
    </r>
    <r>
      <rPr>
        <vertAlign val="subscript"/>
        <sz val="12"/>
        <rFont val="Century Gothic"/>
        <family val="2"/>
      </rPr>
      <t>2</t>
    </r>
  </si>
  <si>
    <r>
      <t>C</t>
    </r>
    <r>
      <rPr>
        <vertAlign val="subscript"/>
        <sz val="12"/>
        <rFont val="Century Gothic"/>
        <family val="2"/>
      </rPr>
      <t>3</t>
    </r>
  </si>
  <si>
    <r>
      <t>C</t>
    </r>
    <r>
      <rPr>
        <vertAlign val="subscript"/>
        <sz val="12"/>
        <rFont val="Century Gothic"/>
        <family val="2"/>
      </rPr>
      <t>5</t>
    </r>
  </si>
  <si>
    <t>CO</t>
  </si>
  <si>
    <r>
      <t>CO</t>
    </r>
    <r>
      <rPr>
        <vertAlign val="subscript"/>
        <sz val="12"/>
        <rFont val="Century Gothic"/>
        <family val="2"/>
      </rPr>
      <t>2</t>
    </r>
  </si>
  <si>
    <t>SIMDIST</t>
  </si>
  <si>
    <t>FEED</t>
  </si>
  <si>
    <t>ABQ3358</t>
  </si>
  <si>
    <t>MCRT, wt%</t>
  </si>
  <si>
    <t>Ni, ppm</t>
  </si>
  <si>
    <t>V, ppm</t>
  </si>
  <si>
    <t>Fe, ppm</t>
  </si>
  <si>
    <t>C3</t>
  </si>
  <si>
    <t>500-560</t>
  </si>
  <si>
    <t>IBP-90</t>
  </si>
  <si>
    <t>90-160</t>
  </si>
  <si>
    <t>160-250</t>
  </si>
  <si>
    <t>250-360</t>
  </si>
  <si>
    <t>360-500</t>
  </si>
  <si>
    <t>C</t>
  </si>
  <si>
    <t>H</t>
  </si>
  <si>
    <t>H/C</t>
  </si>
  <si>
    <t>H2S, wt%</t>
  </si>
  <si>
    <t>NH3, wt%</t>
  </si>
  <si>
    <t>500-560, wt%</t>
  </si>
  <si>
    <t>560 plus, wt%</t>
  </si>
  <si>
    <t>90-160, wt%</t>
  </si>
  <si>
    <t>160-250, wt%</t>
  </si>
  <si>
    <t>250-360, wt%</t>
  </si>
  <si>
    <t>360-500, wt%</t>
  </si>
  <si>
    <t>C5 Asphaltene, wt%</t>
  </si>
  <si>
    <t>C7 Asphaltene, wt%</t>
  </si>
  <si>
    <t>CH4, wt%</t>
  </si>
  <si>
    <t>C2H6, wt%</t>
  </si>
  <si>
    <t>C3H8, wt%</t>
  </si>
  <si>
    <t>C4H10, wt%</t>
  </si>
  <si>
    <t>C5H12, wt%</t>
  </si>
  <si>
    <t>C6H14 plus, wt%</t>
  </si>
  <si>
    <t>90-160, g/h</t>
  </si>
  <si>
    <t>IBP-90, g/h</t>
  </si>
  <si>
    <t>160-250, g/h</t>
  </si>
  <si>
    <t>250-360, g/h</t>
  </si>
  <si>
    <t>Ni, g/h</t>
  </si>
  <si>
    <t>V, g/h</t>
  </si>
  <si>
    <t>Fe, g/h</t>
  </si>
  <si>
    <t>C5 Asphaltene, g/h</t>
  </si>
  <si>
    <t>C7 Asphaltene, g/h</t>
  </si>
  <si>
    <t>MCRT, g/h</t>
  </si>
  <si>
    <t>H2S</t>
  </si>
  <si>
    <t>NH3</t>
  </si>
  <si>
    <t>C1 carbon, g/h</t>
  </si>
  <si>
    <t>C2 carbon, g/h</t>
  </si>
  <si>
    <t>C3 carbon, g/h</t>
  </si>
  <si>
    <t>C4 carbon, g/h</t>
  </si>
  <si>
    <t>C5 carbon, g/h</t>
  </si>
  <si>
    <t>Yield</t>
  </si>
  <si>
    <t>IBP-90,  wt%</t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</si>
  <si>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wt%</t>
    </r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</si>
  <si>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wt%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</si>
  <si>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wt</t>
    </r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</si>
  <si>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g/h</t>
    </r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</si>
  <si>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g/h</t>
    </r>
  </si>
  <si>
    <t>CRACKING EXPERIMENT</t>
  </si>
  <si>
    <t>CHNS</t>
  </si>
  <si>
    <r>
      <t>C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</si>
  <si>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H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</si>
  <si>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N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</si>
  <si>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S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</si>
  <si>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H</t>
    </r>
    <r>
      <rPr>
        <b/>
        <vertAlign val="subscript"/>
        <sz val="12"/>
        <color theme="4" tint="-0.499984740745262"/>
        <rFont val="Century Gothic"/>
        <family val="2"/>
      </rPr>
      <t>N</t>
    </r>
    <r>
      <rPr>
        <b/>
        <sz val="12"/>
        <color theme="4" tint="-0.499984740745262"/>
        <rFont val="Century Gothic"/>
        <family val="2"/>
      </rPr>
      <t>/C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</si>
  <si>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t>N</t>
  </si>
  <si>
    <t>S</t>
  </si>
  <si>
    <t>&lt;560 = 14.1%</t>
  </si>
  <si>
    <t>CUT POINTS</t>
  </si>
  <si>
    <t>560+</t>
  </si>
  <si>
    <t>TOTAL</t>
  </si>
  <si>
    <t>CATALYST AGING</t>
  </si>
  <si>
    <t>HDM Conversion</t>
  </si>
  <si>
    <t>%mol</t>
  </si>
  <si>
    <r>
      <t>N</t>
    </r>
    <r>
      <rPr>
        <vertAlign val="subscript"/>
        <sz val="12"/>
        <rFont val="Century Gothic"/>
        <family val="2"/>
      </rPr>
      <t>2</t>
    </r>
  </si>
  <si>
    <t>Total</t>
  </si>
  <si>
    <t>Total g/h</t>
  </si>
  <si>
    <t>360-500, g/h</t>
  </si>
  <si>
    <t>500-560, g/h</t>
  </si>
  <si>
    <t>S, g/h</t>
  </si>
  <si>
    <t>N, g/h</t>
  </si>
  <si>
    <t>N, wt% (ASTM D5762)</t>
  </si>
  <si>
    <t>S, wt% (ASTM D4294)</t>
  </si>
  <si>
    <t>C, wt% (ASTM D5291)</t>
  </si>
  <si>
    <t>H, wt% (ASTM D5291)</t>
  </si>
  <si>
    <t>N, wt% (ASTM D5291)</t>
  </si>
  <si>
    <t>S, wt%  (ASTM D4294)</t>
  </si>
  <si>
    <t>CH4, g/h</t>
  </si>
  <si>
    <t>C2H6, g/h</t>
  </si>
  <si>
    <t>C3H8, g/h</t>
  </si>
  <si>
    <t>C4H10, g/h</t>
  </si>
  <si>
    <t>C5H12, g/h</t>
  </si>
  <si>
    <t>H2S, g/h</t>
  </si>
  <si>
    <t>NH3, g/h</t>
  </si>
  <si>
    <t>Litre</t>
  </si>
  <si>
    <t>C1</t>
  </si>
  <si>
    <t>C2</t>
  </si>
  <si>
    <t>C4</t>
  </si>
  <si>
    <t>C5</t>
  </si>
  <si>
    <t>C6</t>
  </si>
  <si>
    <t>H2</t>
  </si>
  <si>
    <t>H4</t>
  </si>
  <si>
    <t>H3</t>
  </si>
  <si>
    <t>H8</t>
  </si>
  <si>
    <t>H6</t>
  </si>
  <si>
    <t>H10</t>
  </si>
  <si>
    <t>H12</t>
  </si>
  <si>
    <t>H14</t>
  </si>
  <si>
    <t>CH4</t>
  </si>
  <si>
    <t>C2H6</t>
  </si>
  <si>
    <t>C3H8</t>
  </si>
  <si>
    <t>C4H10</t>
  </si>
  <si>
    <t>C5H12</t>
  </si>
  <si>
    <t>C6H16</t>
  </si>
  <si>
    <t>Nconv, g/h</t>
  </si>
  <si>
    <t>VR</t>
  </si>
  <si>
    <t>L/hr</t>
  </si>
  <si>
    <t>K</t>
  </si>
  <si>
    <t xml:space="preserve">Reference Temp </t>
  </si>
  <si>
    <t>ART Reference</t>
  </si>
  <si>
    <t>CrkConversion</t>
  </si>
  <si>
    <t xml:space="preserve">Breakdown Flow rate, Low gas (L/h) </t>
  </si>
  <si>
    <t>ART Reference(MCRT)</t>
  </si>
  <si>
    <t>ART Reference (S)</t>
  </si>
  <si>
    <t>Lab Date--&gt;</t>
  </si>
  <si>
    <t>H element in H2S</t>
  </si>
  <si>
    <t>H element in NH3</t>
  </si>
  <si>
    <t>H element of hydrocarbon in Low Gas</t>
  </si>
  <si>
    <t>H2, g/h</t>
  </si>
  <si>
    <t>H2,g/h</t>
  </si>
  <si>
    <t>C4 minus</t>
  </si>
  <si>
    <t>H element of hydrocarbon in High Gas (g/h)</t>
  </si>
  <si>
    <t>Sedimentation, ppm</t>
  </si>
  <si>
    <t>Breakdown Flow Rate, High Gas (g/h)</t>
  </si>
  <si>
    <t xml:space="preserve">Breakdown Flow Rate, Low gas (g/h) </t>
  </si>
  <si>
    <t>=</t>
  </si>
  <si>
    <t>500 minus (C corrected), %</t>
  </si>
  <si>
    <t>500 minus as is obtained, %</t>
  </si>
  <si>
    <t>C4 minus (C corrected)</t>
  </si>
  <si>
    <t>"5% Difference</t>
  </si>
  <si>
    <t>+5%</t>
  </si>
  <si>
    <t>-5%</t>
  </si>
  <si>
    <t>IBP-160 (included C5&amp;6)</t>
  </si>
  <si>
    <t>160-360</t>
  </si>
  <si>
    <t>IBP-160 (included C5&amp;6, C corrected)</t>
  </si>
  <si>
    <t>160-360, C corrected</t>
  </si>
  <si>
    <t>360-560</t>
  </si>
  <si>
    <t>360-560, C corrected</t>
  </si>
  <si>
    <t>560 plus, C corrected</t>
  </si>
  <si>
    <t>560 plus ART Reference</t>
  </si>
  <si>
    <t>360-560 ART Reference</t>
  </si>
  <si>
    <t>160-360 ART Reference</t>
  </si>
  <si>
    <t>IBP-160 ART Reference</t>
  </si>
  <si>
    <t>500 minus ART Reference (Yield)</t>
  </si>
  <si>
    <t>C4 minus, ART</t>
  </si>
  <si>
    <t>LICENSOR reccommendation to improve EPC euipment selection</t>
  </si>
  <si>
    <t>Item</t>
  </si>
  <si>
    <t>Reccommendation</t>
  </si>
  <si>
    <t>Note</t>
  </si>
  <si>
    <t>HPS-1 Level control</t>
  </si>
  <si>
    <t>Install H2 purge to HP leg to provide the caauracy of level indication</t>
  </si>
  <si>
    <t>Current HP leg is dead line, it is more prone to have sedimentation, then plugging</t>
  </si>
  <si>
    <t>Current Kammer valve has liquid passing through, investigate Kammer calibration and tighteness after S/D</t>
  </si>
  <si>
    <t>HPS-2 level control</t>
  </si>
  <si>
    <t>Order larger trim size of Kammer valve</t>
  </si>
  <si>
    <t>Current level sensor is capacitive level sensor, maybe looking for alternative level sensors i.e floating type</t>
  </si>
  <si>
    <t>HPS-3</t>
  </si>
  <si>
    <t>Back pressure regulator</t>
  </si>
  <si>
    <t>Current back pressure regulator is Tescom, Swagelok. It should be changed todiaphram back pressure regulator</t>
  </si>
  <si>
    <t>HPS product</t>
  </si>
  <si>
    <t xml:space="preserve">Put heat tracing to allow product flow </t>
  </si>
  <si>
    <t>LTO nitrogen stripper</t>
  </si>
  <si>
    <t>Current stripper is over size, consider to make a small size</t>
  </si>
  <si>
    <t>HMI improvement</t>
  </si>
  <si>
    <t>Ask VINCI to correct the mass flow rate calculation</t>
  </si>
  <si>
    <t>Put the average temperature of all Rxs for both uncorrected and corrected temperature</t>
  </si>
  <si>
    <t>Licensor reccommendation for additional testing</t>
  </si>
  <si>
    <t>Test one or two higher conversions</t>
  </si>
  <si>
    <r>
      <rPr>
        <b/>
        <sz val="11"/>
        <color rgb="FFFF0000"/>
        <rFont val="Aptos Narrow"/>
        <family val="2"/>
        <scheme val="minor"/>
      </rPr>
      <t>1. target 4-5% higher CrkConversion</t>
    </r>
    <r>
      <rPr>
        <sz val="11"/>
        <color theme="1"/>
        <rFont val="Aptos Narrow"/>
        <family val="2"/>
        <scheme val="minor"/>
      </rPr>
      <t xml:space="preserve">
2. target 6-8% higher CrkConversion</t>
    </r>
  </si>
  <si>
    <t>Test ISV loop control for sampling</t>
  </si>
  <si>
    <t>- Dr. Shuwu will send TOP HPS sample of the reference test and ABQ 2986</t>
  </si>
  <si>
    <t>- Nikom will send Dr. Shu the sample tests (HPS) + spread sheet</t>
  </si>
  <si>
    <t>H/C Ratio, wt/wt</t>
  </si>
  <si>
    <t>H/C Ratio, wt/wt, ART</t>
  </si>
  <si>
    <t>CrkConv, wt%, As is</t>
  </si>
  <si>
    <t>- Dr. Shuwu will share presentation slide/detail reference simdist/and spread sheet to TOP (Done)</t>
  </si>
  <si>
    <t>- Dr. Shuwu will revise the acceptance result and issue the certificate for acceptance</t>
  </si>
  <si>
    <t>- Dr. Shuwu will share 1% simdist of the related to Thai Oil MEBU feed reactivity study (Done)</t>
  </si>
  <si>
    <t>Scope of Technical Consultation Service</t>
  </si>
  <si>
    <t>Site visitation i.e. LICENSOR visits TOP site to advise improvement</t>
  </si>
  <si>
    <t xml:space="preserve">Training i.e. hydroprocessing, ebullated bed unit, </t>
  </si>
  <si>
    <t>Desktop technical consultation i.e. design experiment on crude testing, MEBU result interpretation, laboratory analysis, SR preparation, MEBU operation, MEBU pump fabrication</t>
  </si>
  <si>
    <t>MEBU background technology assitance</t>
  </si>
  <si>
    <t>560 plus, wt%, ART reference</t>
  </si>
  <si>
    <t>ART Reference (N)</t>
  </si>
  <si>
    <t>ABQ 3358</t>
  </si>
  <si>
    <t>S, %wt</t>
  </si>
  <si>
    <t>N, %wt</t>
  </si>
  <si>
    <t>MCR, %wt</t>
  </si>
  <si>
    <t>Density, kg/L</t>
  </si>
  <si>
    <t>50%BSH, 30%Arab light, 3% aromatic, and others .i.e. Arab medium</t>
  </si>
  <si>
    <t>Day on stream--&gt;</t>
  </si>
  <si>
    <t>Pilot Plant Operation---&gt;</t>
  </si>
  <si>
    <t>Unit Balance (H2S and NH3 included)</t>
  </si>
  <si>
    <t>TOP</t>
  </si>
  <si>
    <t>H, %wt</t>
  </si>
  <si>
    <t>C, %wt</t>
  </si>
  <si>
    <t>C5 As,%wt</t>
  </si>
  <si>
    <t>C7 As, %wt</t>
  </si>
  <si>
    <t>SConv, g/h</t>
  </si>
  <si>
    <t>NConv, wt%</t>
  </si>
  <si>
    <t>SConv, wt%</t>
  </si>
  <si>
    <t>FeConv, wt%</t>
  </si>
  <si>
    <t>(Ni+V)Conv, wt%</t>
  </si>
  <si>
    <t>NiConverted, g/h</t>
  </si>
  <si>
    <t>VConverted, g/h</t>
  </si>
  <si>
    <t>VConv, wt%</t>
  </si>
  <si>
    <t>VConv, wt%, ART</t>
  </si>
  <si>
    <t>NiConv, wt%</t>
  </si>
  <si>
    <t>NiConv, wt%, ART</t>
  </si>
  <si>
    <t>(Ni+V)Converted, g/h</t>
  </si>
  <si>
    <t>C7 AsConv,wt%</t>
  </si>
  <si>
    <t>C7 AsConv,wt%, ART</t>
  </si>
  <si>
    <t>N, wt% (ASTM D5762), ART</t>
  </si>
  <si>
    <t>S, wt% (ASTM D4294), ART</t>
  </si>
  <si>
    <t>V, ppm, ART</t>
  </si>
  <si>
    <t>Ni, ppm, ART</t>
  </si>
  <si>
    <t>MCRT, wt%, ART</t>
  </si>
  <si>
    <t>C7 Asphaltene, wt%, ART</t>
  </si>
  <si>
    <t>CII</t>
  </si>
  <si>
    <t>5% Difference</t>
  </si>
  <si>
    <t>MCRConv, wt%</t>
  </si>
  <si>
    <t>CrkConv avg</t>
  </si>
  <si>
    <t>last 3 days</t>
  </si>
  <si>
    <t>Volumetric Flow rate, ml</t>
  </si>
  <si>
    <t>L</t>
  </si>
  <si>
    <t>"</t>
  </si>
  <si>
    <t>mm</t>
  </si>
  <si>
    <t>D/2 = R</t>
  </si>
  <si>
    <t>mm3</t>
  </si>
  <si>
    <t>ml</t>
  </si>
  <si>
    <t>V1</t>
  </si>
  <si>
    <t>V2</t>
  </si>
  <si>
    <t>1.155/2</t>
  </si>
  <si>
    <t>2.060/2</t>
  </si>
  <si>
    <t>tan 30</t>
  </si>
  <si>
    <t>0.4525/x</t>
  </si>
  <si>
    <t>h</t>
  </si>
  <si>
    <t>R</t>
  </si>
  <si>
    <t>r</t>
  </si>
  <si>
    <t>V3</t>
  </si>
  <si>
    <t>Tube volume</t>
  </si>
  <si>
    <t>Thk</t>
  </si>
  <si>
    <t>Net volume Rx</t>
  </si>
  <si>
    <t>Total Vlolume</t>
  </si>
  <si>
    <t>Inserted internal part volume</t>
  </si>
  <si>
    <t>Uper Rod+ Lower rod</t>
  </si>
  <si>
    <t>C6H14 , g/h</t>
  </si>
  <si>
    <t>C6 carbon , g/h</t>
  </si>
  <si>
    <t>C5 AsConc, wt%</t>
  </si>
  <si>
    <t>High gas (g/h)</t>
  </si>
  <si>
    <t>C5 Asphaltene, wt%, ART</t>
  </si>
  <si>
    <t>C6H14 plus, g/h</t>
  </si>
  <si>
    <t>HPS: ABQ3358(Aging)</t>
  </si>
  <si>
    <t>Low&amp;High Sedimentation</t>
  </si>
  <si>
    <t>Date</t>
  </si>
  <si>
    <t>Day on stream</t>
  </si>
  <si>
    <t>Low Sedim</t>
  </si>
  <si>
    <t>High Sedim</t>
  </si>
  <si>
    <t>LCF LHSV, hr-1</t>
  </si>
  <si>
    <t>Pressure, barg</t>
  </si>
  <si>
    <t>VR Low Sedim</t>
  </si>
  <si>
    <t>VR ABQ3358</t>
  </si>
  <si>
    <t>LowSed</t>
  </si>
  <si>
    <t>HighSed</t>
  </si>
  <si>
    <t>Flow Information</t>
  </si>
  <si>
    <t>Temperature, degC</t>
  </si>
  <si>
    <t>rate, g/h, ART</t>
  </si>
  <si>
    <t>Density, g/ml</t>
  </si>
  <si>
    <t>Temperature, degC, ART</t>
  </si>
  <si>
    <t>H-C1 carbon, g/h</t>
  </si>
  <si>
    <t>H-C2 carbon, g/h</t>
  </si>
  <si>
    <t>H-C3 carbon, g/h</t>
  </si>
  <si>
    <t>H-C4 carbon, g/h</t>
  </si>
  <si>
    <t>H-C5 carbon, g/h</t>
  </si>
  <si>
    <t>C6H14</t>
  </si>
  <si>
    <t>%vol(mol)</t>
  </si>
  <si>
    <t>C4H10(Total)</t>
  </si>
  <si>
    <r>
      <t>C</t>
    </r>
    <r>
      <rPr>
        <vertAlign val="subscript"/>
        <sz val="12"/>
        <rFont val="Century Gothic"/>
        <family val="2"/>
      </rPr>
      <t>4</t>
    </r>
    <r>
      <rPr>
        <sz val="12"/>
        <rFont val="Century Gothic"/>
        <family val="2"/>
      </rPr>
      <t>(Total)</t>
    </r>
  </si>
  <si>
    <t>C4iso/C4 (Total)</t>
  </si>
  <si>
    <t>C4(Total)</t>
  </si>
  <si>
    <r>
      <t>C</t>
    </r>
    <r>
      <rPr>
        <vertAlign val="subscript"/>
        <sz val="12"/>
        <rFont val="Century Gothic"/>
        <family val="2"/>
      </rPr>
      <t>6  Plus</t>
    </r>
  </si>
  <si>
    <r>
      <t>C</t>
    </r>
    <r>
      <rPr>
        <vertAlign val="subscript"/>
        <sz val="12"/>
        <rFont val="Century Gothic"/>
        <family val="2"/>
      </rPr>
      <t>6</t>
    </r>
    <r>
      <rPr>
        <sz val="12"/>
        <rFont val="Century Gothic"/>
        <family val="2"/>
      </rPr>
      <t xml:space="preserve"> Plus</t>
    </r>
  </si>
  <si>
    <t>Pressure, barg, ART</t>
  </si>
  <si>
    <t>MEBU LHSV, hr-1, ART</t>
  </si>
  <si>
    <t>Molecular Weight</t>
  </si>
  <si>
    <t>C4H10, g/h (Total)</t>
  </si>
  <si>
    <t>Low gas</t>
  </si>
  <si>
    <t>Total (S+N ), g/h</t>
  </si>
  <si>
    <t>Mass Flow, g/hr</t>
  </si>
  <si>
    <t>Total(Ni+V), g/h</t>
  </si>
  <si>
    <t>ISV</t>
  </si>
  <si>
    <t>ISV: ABQ3358</t>
  </si>
  <si>
    <t>ISV: Low Sedim</t>
  </si>
  <si>
    <t>ISV: High Sedim</t>
  </si>
  <si>
    <t>CrkConv/ LHSV Corrected, wt%</t>
  </si>
  <si>
    <t>560 Plus, g/h</t>
  </si>
  <si>
    <t>VR High Sedim</t>
  </si>
  <si>
    <t xml:space="preserve">Aging-ABQ3358 </t>
  </si>
  <si>
    <t>Aging-ABQ3358</t>
  </si>
  <si>
    <t>Aging- ABQ3358</t>
  </si>
  <si>
    <t>Aging-ABQ3358(Aging)</t>
  </si>
  <si>
    <t>Low Sed</t>
  </si>
  <si>
    <t xml:space="preserve"> High Sed</t>
  </si>
  <si>
    <t>High Sed</t>
  </si>
  <si>
    <t>C6H14 plus</t>
  </si>
  <si>
    <t>560 plus</t>
  </si>
  <si>
    <t>C6H14 plus , g/h</t>
  </si>
  <si>
    <t>H-C6 carbon, g/h</t>
  </si>
  <si>
    <t>C6 carbon plus, g/h</t>
  </si>
  <si>
    <t>Low Gas (g/h)</t>
  </si>
  <si>
    <t>High Gas (g/h)</t>
  </si>
  <si>
    <t>Low Gas(g/h)</t>
  </si>
  <si>
    <t>HPS: High Sed</t>
  </si>
  <si>
    <t>HPS: Low Sed</t>
  </si>
  <si>
    <t>Total Yield(NH3/H2S/C4-/IBP-560/560+), C Total Yield, C corrected</t>
  </si>
  <si>
    <t>Catalyst, dry basis, g</t>
  </si>
  <si>
    <t>VR rate Rx2, g/h</t>
  </si>
  <si>
    <t>Accumulative mass to Rx2 (Acc Mass_23.5 hrs), g</t>
  </si>
  <si>
    <t>V, Rx1, g/h</t>
  </si>
  <si>
    <t>V, Rx2, g/h</t>
  </si>
  <si>
    <t>Total rate, g/h (23.5hrs)</t>
  </si>
  <si>
    <t>Accumulative mass to Rx1 (Acc Mass_23.5 hrs), g</t>
  </si>
  <si>
    <t>VR rate Rx1, g/h</t>
  </si>
  <si>
    <t>Ni, Rx2,  g/h</t>
  </si>
  <si>
    <t>Ni, Rx1, g/h</t>
  </si>
  <si>
    <t>ISV LHSV, hr-1</t>
  </si>
  <si>
    <t>MEBU LHSV, Actual, hr-1</t>
  </si>
  <si>
    <t>MEBU Target LHSV, hr-1</t>
  </si>
  <si>
    <t xml:space="preserve"> </t>
  </si>
  <si>
    <r>
      <t xml:space="preserve">Viscosity @ 135 </t>
    </r>
    <r>
      <rPr>
        <sz val="12"/>
        <rFont val="Calibri"/>
        <family val="2"/>
      </rPr>
      <t>°</t>
    </r>
    <r>
      <rPr>
        <sz val="12"/>
        <rFont val="Century Gothic"/>
        <family val="2"/>
      </rPr>
      <t>C</t>
    </r>
  </si>
  <si>
    <t>CrkConv ART Reference</t>
  </si>
  <si>
    <t>ART Reference (Ni+V), %</t>
  </si>
  <si>
    <t>LS Feed</t>
  </si>
  <si>
    <t>17/07-01/8/2025</t>
  </si>
  <si>
    <t>API</t>
  </si>
  <si>
    <t>Accumulative mass (Acc Mass_23.5 hrs), g</t>
  </si>
  <si>
    <t>Unit Balance (Product/Feed)</t>
  </si>
  <si>
    <t>Carbon Balance(Product/Feed)</t>
  </si>
  <si>
    <t>&lt;560 = 11.379%</t>
  </si>
  <si>
    <t>Time-On-Stream (Day)</t>
  </si>
  <si>
    <t>LTO API (Degree)</t>
  </si>
  <si>
    <t>HPS API (Degree)</t>
  </si>
  <si>
    <t>no sample</t>
  </si>
  <si>
    <t>01WT%</t>
  </si>
  <si>
    <t>02WT%</t>
  </si>
  <si>
    <t>03WT%</t>
  </si>
  <si>
    <t>04WT%</t>
  </si>
  <si>
    <t>05WT%</t>
  </si>
  <si>
    <t>06WT%</t>
  </si>
  <si>
    <t>07WT%</t>
  </si>
  <si>
    <t>08WT%</t>
  </si>
  <si>
    <t>09WT%</t>
  </si>
  <si>
    <t>10WT%</t>
  </si>
  <si>
    <t>11WT%</t>
  </si>
  <si>
    <t>12WT%</t>
  </si>
  <si>
    <t>13WT%</t>
  </si>
  <si>
    <t>14WT%</t>
  </si>
  <si>
    <t>15WT%</t>
  </si>
  <si>
    <t>16WT%</t>
  </si>
  <si>
    <t>17WT%</t>
  </si>
  <si>
    <t>18WT%</t>
  </si>
  <si>
    <t>19WT%</t>
  </si>
  <si>
    <t>20WT%</t>
  </si>
  <si>
    <t>21WT%</t>
  </si>
  <si>
    <t>22WT%</t>
  </si>
  <si>
    <t>23WT%</t>
  </si>
  <si>
    <t>24WT%</t>
  </si>
  <si>
    <t>25WT%</t>
  </si>
  <si>
    <t>26WT%</t>
  </si>
  <si>
    <t>27WT%</t>
  </si>
  <si>
    <t>28WT%</t>
  </si>
  <si>
    <t>29WT%</t>
  </si>
  <si>
    <t>30WT%</t>
  </si>
  <si>
    <t>31WT%</t>
  </si>
  <si>
    <t>32WT%</t>
  </si>
  <si>
    <t>33WT%</t>
  </si>
  <si>
    <t>34WT%</t>
  </si>
  <si>
    <t>35WT%</t>
  </si>
  <si>
    <t>36WT%</t>
  </si>
  <si>
    <t>37WT%</t>
  </si>
  <si>
    <t>38WT%</t>
  </si>
  <si>
    <t>39WT%</t>
  </si>
  <si>
    <t>40WT%</t>
  </si>
  <si>
    <t>41WT%</t>
  </si>
  <si>
    <t>42WT%</t>
  </si>
  <si>
    <t>43WT%</t>
  </si>
  <si>
    <t>44WT%</t>
  </si>
  <si>
    <t>45WT%</t>
  </si>
  <si>
    <t>46WT%</t>
  </si>
  <si>
    <t>47WT%</t>
  </si>
  <si>
    <t>48WT%</t>
  </si>
  <si>
    <t>49WT%</t>
  </si>
  <si>
    <t>50WT%</t>
  </si>
  <si>
    <t>51WT%</t>
  </si>
  <si>
    <t>52WT%</t>
  </si>
  <si>
    <t>53WT%</t>
  </si>
  <si>
    <t>54WT%</t>
  </si>
  <si>
    <t>55WT%</t>
  </si>
  <si>
    <t>56WT%</t>
  </si>
  <si>
    <t>57WT%</t>
  </si>
  <si>
    <t>58WT%</t>
  </si>
  <si>
    <t>59WT%</t>
  </si>
  <si>
    <t>60WT%</t>
  </si>
  <si>
    <t>61WT%</t>
  </si>
  <si>
    <t>62WT%</t>
  </si>
  <si>
    <t>63WT%</t>
  </si>
  <si>
    <t>64WT%</t>
  </si>
  <si>
    <t>65WT%</t>
  </si>
  <si>
    <t>66WT%</t>
  </si>
  <si>
    <t>67WT%</t>
  </si>
  <si>
    <t>68WT%</t>
  </si>
  <si>
    <t>69WT%</t>
  </si>
  <si>
    <t>70WT%</t>
  </si>
  <si>
    <t>71WT%</t>
  </si>
  <si>
    <t>72WT%</t>
  </si>
  <si>
    <t>73WT%</t>
  </si>
  <si>
    <t>74WT%</t>
  </si>
  <si>
    <t>75WT%</t>
  </si>
  <si>
    <t>76WT%</t>
  </si>
  <si>
    <t>77WT%</t>
  </si>
  <si>
    <t>78WT%</t>
  </si>
  <si>
    <t>79WT%</t>
  </si>
  <si>
    <t>80WT%</t>
  </si>
  <si>
    <t>81WT%</t>
  </si>
  <si>
    <t>82WT%</t>
  </si>
  <si>
    <t>83WT%</t>
  </si>
  <si>
    <t>84WT%</t>
  </si>
  <si>
    <t>85WT%</t>
  </si>
  <si>
    <t>86WT%</t>
  </si>
  <si>
    <t>87WT%</t>
  </si>
  <si>
    <t>88WT%</t>
  </si>
  <si>
    <t>89WT%</t>
  </si>
  <si>
    <t>90WT%</t>
  </si>
  <si>
    <t>91WT%</t>
  </si>
  <si>
    <t>92WT%</t>
  </si>
  <si>
    <t>93WT%</t>
  </si>
  <si>
    <t>94WT%</t>
  </si>
  <si>
    <t>95WT%</t>
  </si>
  <si>
    <t>96WT%</t>
  </si>
  <si>
    <t>97WT%</t>
  </si>
  <si>
    <t>98WT%</t>
  </si>
  <si>
    <t>99WT%</t>
  </si>
  <si>
    <t>LS_D3 ART</t>
  </si>
  <si>
    <t>Condition Change</t>
  </si>
  <si>
    <t>560- = 6.305%</t>
  </si>
  <si>
    <t>560- = 3.808</t>
  </si>
  <si>
    <t>HS Feed</t>
  </si>
  <si>
    <t>Low Sedimentation</t>
  </si>
  <si>
    <t>BSH</t>
  </si>
  <si>
    <t>CLK</t>
  </si>
  <si>
    <t>SEPIA</t>
  </si>
  <si>
    <t>PAZFLOR</t>
  </si>
  <si>
    <t>PHET</t>
  </si>
  <si>
    <t>ART, %wt</t>
  </si>
  <si>
    <t>TOP, %wt</t>
  </si>
  <si>
    <t>Experiment 
(MEBU Experiment)</t>
  </si>
  <si>
    <t xml:space="preserve">Case </t>
  </si>
  <si>
    <t>Case</t>
  </si>
  <si>
    <t>%CrkConv</t>
  </si>
  <si>
    <t>Commercial RHCU LHSV, hr-1</t>
  </si>
  <si>
    <t>LHSV(MEBU)</t>
  </si>
  <si>
    <t>{[100/(100-X)]^1/N} -1</t>
  </si>
  <si>
    <t>e^[Ea/(RT)]</t>
  </si>
  <si>
    <t>k0</t>
  </si>
  <si>
    <t>Temp, degC</t>
  </si>
  <si>
    <t>MEBU Correction factor</t>
  </si>
  <si>
    <t>MEB LHSV, hr-1</t>
  </si>
  <si>
    <t>MEBU Reactor Volume, mL</t>
  </si>
  <si>
    <t>X, %CrkConv</t>
  </si>
  <si>
    <t>T, K</t>
  </si>
  <si>
    <t>T, degC</t>
  </si>
  <si>
    <t>Rx1 Avg. Temp, degC</t>
  </si>
  <si>
    <t>Rx2 Avg. Temp, degC</t>
  </si>
  <si>
    <t>Rx3 Avg. Temp, degC</t>
  </si>
  <si>
    <t>RHCU LHSV</t>
  </si>
  <si>
    <t>No. of Rx, N</t>
  </si>
  <si>
    <t>Krxn</t>
  </si>
  <si>
    <t>100/(100-%CrkConv)</t>
  </si>
  <si>
    <t>100/(100-%CrkConv)^1/N</t>
  </si>
  <si>
    <t>100/(100-%CrkConv)^1/N-1</t>
  </si>
  <si>
    <t>Avg. Temp, degC</t>
  </si>
  <si>
    <t>Temp, K</t>
  </si>
  <si>
    <t>Ea,  cal.mol-1</t>
  </si>
  <si>
    <t>R, cal.mol-1.K-1</t>
  </si>
  <si>
    <t>Ea/(RT)</t>
  </si>
  <si>
    <t>e^(Ea/RT)</t>
  </si>
  <si>
    <t>CH4, Corrected</t>
  </si>
  <si>
    <t>CH4, ART</t>
  </si>
  <si>
    <t>at 18.00 01/08/25</t>
  </si>
  <si>
    <t>16_1</t>
  </si>
  <si>
    <t>16_2</t>
  </si>
  <si>
    <t>at 04.00 02/08/25</t>
  </si>
  <si>
    <t>%wt LTO</t>
  </si>
  <si>
    <t>%wt HPS</t>
  </si>
  <si>
    <t>C2H6, wt%, ART</t>
  </si>
  <si>
    <t>C4H10, wt%, ART</t>
  </si>
  <si>
    <t>C2H6, Corrected</t>
  </si>
  <si>
    <t>C4H10, wt, Corrected</t>
  </si>
  <si>
    <t>C3H8, wt%, Corrected</t>
  </si>
  <si>
    <t>H2S, wt%, ART</t>
  </si>
  <si>
    <t>C3H8, ART</t>
  </si>
  <si>
    <t>NH3, wt%, ART</t>
  </si>
  <si>
    <t>se</t>
  </si>
  <si>
    <t>H Element In (g/hr)</t>
  </si>
  <si>
    <t>H Element Out (g/hr)</t>
  </si>
  <si>
    <t>H with C_Corrected</t>
  </si>
  <si>
    <t>H2 (g/hr)</t>
  </si>
  <si>
    <t>H2 Volume, (sL/hr)</t>
  </si>
  <si>
    <t>H2 Volume, SCF/hr</t>
  </si>
  <si>
    <t>Oil Volume, BBL/hr</t>
  </si>
  <si>
    <t>SCFB</t>
  </si>
  <si>
    <t>SCFB (Average)</t>
  </si>
  <si>
    <t>High Sedimentation</t>
  </si>
  <si>
    <t>Aging Feed</t>
  </si>
  <si>
    <t>ART</t>
  </si>
  <si>
    <t>NAPO</t>
  </si>
  <si>
    <t>560 plus(1040degF), wt%</t>
  </si>
  <si>
    <t>N/S</t>
  </si>
  <si>
    <t>Ni/V</t>
  </si>
  <si>
    <t>Pazflor(Predicted by ART)</t>
  </si>
  <si>
    <t>566 plus</t>
  </si>
  <si>
    <t>Single VR Property</t>
  </si>
  <si>
    <t>Heavy: Good</t>
  </si>
  <si>
    <t>Medium: Difficult crude</t>
  </si>
  <si>
    <t>Heavy: Moerate Difficult</t>
  </si>
  <si>
    <t>Light: Difficult-Parraffinic</t>
  </si>
  <si>
    <t>Heavy: Difficult Asphaltene</t>
  </si>
  <si>
    <t>H Consumption (g/hr) --&gt; Out -In = Add</t>
  </si>
  <si>
    <t>LTO Split, wt/wt Liquid product : LTO/(LTO+HPS)</t>
  </si>
  <si>
    <t>Catalyst in Rx1 (g)</t>
  </si>
  <si>
    <t>Metal on Rx1(Ni+V), g, 24 hrs</t>
  </si>
  <si>
    <t>Metal(Ni+V) on ACC on Rx1, 24 hrs</t>
  </si>
  <si>
    <t>Metal on Rx2(Ni+V), g, 24 hrs</t>
  </si>
  <si>
    <t>MoC (Ni+V) on Rx2, %wt</t>
  </si>
  <si>
    <t>Catalyst on Rx2 (g)</t>
  </si>
  <si>
    <t>MoC (Ni+V) on Rx1,%, wt Metal/ wt Cat</t>
  </si>
  <si>
    <t>Metal on Rx3(Ni+V), g, 24 hrs</t>
  </si>
  <si>
    <t>Metal(Ni+V) on ACC on Rx3, 24 hrs</t>
  </si>
  <si>
    <t>Catalyst on Rx3 (g)</t>
  </si>
  <si>
    <t>MoC (Ni+V) on Rx3, %wt</t>
  </si>
  <si>
    <t>Sedimentation =f( Crude Nature, Conversion level, MoC, Light end)</t>
  </si>
  <si>
    <t>BSH_Assay (550+)</t>
  </si>
  <si>
    <t>CLK_Assay</t>
  </si>
  <si>
    <t>Wax, %wt</t>
  </si>
  <si>
    <t>SEPIA_Assay</t>
  </si>
  <si>
    <t>575+</t>
  </si>
  <si>
    <t>550+</t>
  </si>
  <si>
    <t>Pazflor_Assay</t>
  </si>
  <si>
    <t>PHET_Assay</t>
  </si>
  <si>
    <t>NAPO_Assay</t>
  </si>
  <si>
    <t>Comssioning</t>
  </si>
  <si>
    <t>x=</t>
  </si>
  <si>
    <t>HS_D3 ART</t>
  </si>
  <si>
    <t>Thaioil Laboratory Worksheet</t>
  </si>
  <si>
    <t>Update by:</t>
  </si>
  <si>
    <t>SCSE</t>
  </si>
  <si>
    <t>Update Date:</t>
  </si>
  <si>
    <t>Crude</t>
  </si>
  <si>
    <t>LPG</t>
  </si>
  <si>
    <t>HN</t>
  </si>
  <si>
    <t>HN/KERO</t>
  </si>
  <si>
    <t>KERO</t>
  </si>
  <si>
    <t>KERO/GO</t>
  </si>
  <si>
    <t>GO</t>
  </si>
  <si>
    <t>LR</t>
  </si>
  <si>
    <t>L-Waxy</t>
  </si>
  <si>
    <t>H-Waxy</t>
  </si>
  <si>
    <t>SR</t>
  </si>
  <si>
    <r>
      <t xml:space="preserve">LABIX (150 - 250 </t>
    </r>
    <r>
      <rPr>
        <b/>
        <vertAlign val="superscript"/>
        <sz val="12"/>
        <rFont val="Aptos Narrow"/>
        <family val="2"/>
        <scheme val="minor"/>
      </rPr>
      <t>o</t>
    </r>
    <r>
      <rPr>
        <b/>
        <sz val="12"/>
        <rFont val="Aptos Narrow"/>
        <family val="2"/>
        <scheme val="minor"/>
      </rPr>
      <t>C)</t>
    </r>
  </si>
  <si>
    <t>CP range request</t>
  </si>
  <si>
    <t>15-85</t>
  </si>
  <si>
    <t>85-150</t>
  </si>
  <si>
    <t>150-180</t>
  </si>
  <si>
    <t>180-220</t>
  </si>
  <si>
    <t>220-250</t>
  </si>
  <si>
    <t>250-300</t>
  </si>
  <si>
    <t>300-360</t>
  </si>
  <si>
    <t>360-FBP</t>
  </si>
  <si>
    <t>360-525</t>
  </si>
  <si>
    <t>525-575</t>
  </si>
  <si>
    <t>150-250</t>
  </si>
  <si>
    <t>UOP-411 (%wt.)</t>
  </si>
  <si>
    <t>Boiling Point</t>
  </si>
  <si>
    <t>%Yield by SIMDIST</t>
  </si>
  <si>
    <t>ASTM D-7169</t>
  </si>
  <si>
    <t>x</t>
  </si>
  <si>
    <t>n-Heptane (C7) and lighter</t>
  </si>
  <si>
    <t>%Yield by Autodest</t>
  </si>
  <si>
    <t>ASTM D-2892</t>
  </si>
  <si>
    <t>n-Octane (C8)</t>
  </si>
  <si>
    <t>ASTM D-4052</t>
  </si>
  <si>
    <t>kg/l</t>
  </si>
  <si>
    <t>n-Nonane (C9)</t>
  </si>
  <si>
    <t>ASTM D-1298</t>
  </si>
  <si>
    <t>n-Decane (C10)</t>
  </si>
  <si>
    <r>
      <t xml:space="preserve">Relative Density@25/25 </t>
    </r>
    <r>
      <rPr>
        <vertAlign val="superscript"/>
        <sz val="12"/>
        <color theme="1"/>
        <rFont val="Aptos Narrow"/>
        <family val="2"/>
        <scheme val="minor"/>
      </rPr>
      <t>o</t>
    </r>
    <r>
      <rPr>
        <sz val="12"/>
        <color theme="1"/>
        <rFont val="Aptos Narrow"/>
        <family val="2"/>
        <scheme val="minor"/>
      </rPr>
      <t>C</t>
    </r>
  </si>
  <si>
    <t>ASTM D-70</t>
  </si>
  <si>
    <t>n-Undecane (C11)</t>
  </si>
  <si>
    <t>RVP</t>
  </si>
  <si>
    <t>ASTM D-323</t>
  </si>
  <si>
    <t>psi</t>
  </si>
  <si>
    <t>n-Dodecane (C12)</t>
  </si>
  <si>
    <r>
      <t xml:space="preserve">Viscosity @ -20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</si>
  <si>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ASTM D-445</t>
  </si>
  <si>
    <t>n-Tridecame (C13)</t>
  </si>
  <si>
    <r>
      <t xml:space="preserve">Viscosity @ 40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</si>
  <si>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n-Tetradecane (C14)</t>
  </si>
  <si>
    <r>
      <t xml:space="preserve">Viscosity @ 50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</si>
  <si>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n-Pentadecane(C15)</t>
  </si>
  <si>
    <r>
      <t xml:space="preserve">Viscosity @ 100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</si>
  <si>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n-Hexadecane+ (C16+)</t>
  </si>
  <si>
    <r>
      <t xml:space="preserve">Viscosity @ 130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</si>
  <si>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TNP</t>
  </si>
  <si>
    <t>ASTM D-4294</t>
  </si>
  <si>
    <t>TNN</t>
  </si>
  <si>
    <t>ASTM D-2622</t>
  </si>
  <si>
    <t>ppmw</t>
  </si>
  <si>
    <t>Mercaptan</t>
  </si>
  <si>
    <t>ASTM D-3227</t>
  </si>
  <si>
    <t>Naphtha Component (%wt)</t>
  </si>
  <si>
    <t>Freezing point</t>
  </si>
  <si>
    <t>ASTM D-2386</t>
  </si>
  <si>
    <t>°C</t>
  </si>
  <si>
    <t>15-180</t>
  </si>
  <si>
    <t>~49.3</t>
  </si>
  <si>
    <t>Flash point</t>
  </si>
  <si>
    <t>IP-170</t>
  </si>
  <si>
    <t>C5 Naphthenes</t>
  </si>
  <si>
    <t>~27.8</t>
  </si>
  <si>
    <t>ASTM D-93</t>
  </si>
  <si>
    <t>C5 i-Paraffins</t>
  </si>
  <si>
    <t>~36.1</t>
  </si>
  <si>
    <t>Acidity</t>
  </si>
  <si>
    <t>ASTM D-3242</t>
  </si>
  <si>
    <t>mgKOH/g</t>
  </si>
  <si>
    <t>C5 n-Paraffins</t>
  </si>
  <si>
    <t>~80.1</t>
  </si>
  <si>
    <t>ASTM D-664</t>
  </si>
  <si>
    <t>C6 Aromatics</t>
  </si>
  <si>
    <t>~80.7</t>
  </si>
  <si>
    <t>ASTM D-4629</t>
  </si>
  <si>
    <t>C6 Naphthenes</t>
  </si>
  <si>
    <t>~60.3</t>
  </si>
  <si>
    <t>Basic Nitrogen</t>
  </si>
  <si>
    <t>SMS-1468</t>
  </si>
  <si>
    <t>C6 i-Paraffins</t>
  </si>
  <si>
    <t>~68.7</t>
  </si>
  <si>
    <t>Pour point</t>
  </si>
  <si>
    <t>ASTM D-97</t>
  </si>
  <si>
    <t>C6 n-Paraffins</t>
  </si>
  <si>
    <t>~110.6</t>
  </si>
  <si>
    <t>Nickle</t>
  </si>
  <si>
    <t>IP501</t>
  </si>
  <si>
    <t>C7 Aromatics</t>
  </si>
  <si>
    <t>Vanadium</t>
  </si>
  <si>
    <t>C7 Naphthenes</t>
  </si>
  <si>
    <t>Sodium</t>
  </si>
  <si>
    <t>C7 i-Paraffins</t>
  </si>
  <si>
    <t>UOP-389</t>
  </si>
  <si>
    <t>C7 n-Paraffins</t>
  </si>
  <si>
    <t>~101</t>
  </si>
  <si>
    <t>C8 Aromatics</t>
  </si>
  <si>
    <t>~90</t>
  </si>
  <si>
    <t>C8 Naphthenes</t>
  </si>
  <si>
    <t>~98.4</t>
  </si>
  <si>
    <t>Si</t>
  </si>
  <si>
    <t>Iso-Parrafin</t>
  </si>
  <si>
    <t>ASTM D-6839 (GC)</t>
  </si>
  <si>
    <t>C8 i-Paraffins</t>
  </si>
  <si>
    <t>~138 (average, depends on isomer)</t>
  </si>
  <si>
    <t xml:space="preserve">N-Parrafin </t>
  </si>
  <si>
    <t>C8 n-Paraffins</t>
  </si>
  <si>
    <t>~150.8</t>
  </si>
  <si>
    <t>Naphthene</t>
  </si>
  <si>
    <t>C9 Aromatics</t>
  </si>
  <si>
    <t>~99.2</t>
  </si>
  <si>
    <t>Aromatic</t>
  </si>
  <si>
    <t>C9 i-Paraffins</t>
  </si>
  <si>
    <t>~125.7</t>
  </si>
  <si>
    <t>Olefin</t>
  </si>
  <si>
    <t>C9 n-Paraffins</t>
  </si>
  <si>
    <t>~176 (depends on isomer)</t>
  </si>
  <si>
    <t>mono-aromatics</t>
  </si>
  <si>
    <t>ASTM D-6379 (HPLC)</t>
  </si>
  <si>
    <t>C10+ Aromatics</t>
  </si>
  <si>
    <t>di-aromatics</t>
  </si>
  <si>
    <t>C10+ Naphthenes</t>
  </si>
  <si>
    <t>~200+</t>
  </si>
  <si>
    <t>tri-aromatic</t>
  </si>
  <si>
    <t>Total aromatics</t>
  </si>
  <si>
    <t>C10+ i-Paraffins</t>
  </si>
  <si>
    <t>~180–250+ (varies widely)</t>
  </si>
  <si>
    <t>Organic Chloride</t>
  </si>
  <si>
    <t>ASTM D-7536</t>
  </si>
  <si>
    <t>C10+ n-Paraffins</t>
  </si>
  <si>
    <t>Inorganic Chloride</t>
  </si>
  <si>
    <t>~174–370+ (depends on chain length)</t>
  </si>
  <si>
    <t>Wax Content</t>
  </si>
  <si>
    <t>SMS-1769</t>
  </si>
  <si>
    <t>C5 Asphaltene</t>
  </si>
  <si>
    <t>C7 Asphaltene</t>
  </si>
  <si>
    <t xml:space="preserve">IP-143 </t>
  </si>
  <si>
    <t>Case by case</t>
  </si>
  <si>
    <t>ASTM D-4530</t>
  </si>
  <si>
    <t>Cetane Index</t>
  </si>
  <si>
    <t>ASTM D-976</t>
  </si>
  <si>
    <t>Arsenic</t>
  </si>
  <si>
    <t>IFP-9312</t>
  </si>
  <si>
    <t>ppb</t>
  </si>
  <si>
    <t>Mercury Concentration</t>
  </si>
  <si>
    <t>UOP 938-00</t>
  </si>
  <si>
    <t>Distillation 50%</t>
  </si>
  <si>
    <t>ASTM D-86</t>
  </si>
  <si>
    <t xml:space="preserve">Deg.C	</t>
  </si>
  <si>
    <t>Distillation recovery</t>
  </si>
  <si>
    <t>ASTM D-1160</t>
  </si>
  <si>
    <t>Using TLB FF</t>
  </si>
  <si>
    <t>Bromine number</t>
  </si>
  <si>
    <t>ASTM D1159</t>
  </si>
  <si>
    <t>g/100g</t>
  </si>
  <si>
    <t>In</t>
  </si>
  <si>
    <t>Sbn</t>
  </si>
  <si>
    <t xml:space="preserve">Additional Request testing properties </t>
  </si>
  <si>
    <t>Original testing properties</t>
  </si>
  <si>
    <t>No testing</t>
  </si>
  <si>
    <t>ASTM D6839</t>
  </si>
  <si>
    <t>LCF FEED</t>
  </si>
  <si>
    <t>NAPHTHA</t>
  </si>
  <si>
    <t>IBP-160</t>
  </si>
  <si>
    <t>VGO</t>
  </si>
  <si>
    <t>Total Sedimentation</t>
  </si>
  <si>
    <t>KERO PLUS</t>
  </si>
  <si>
    <t>160-FBP</t>
  </si>
  <si>
    <t>VTB</t>
  </si>
  <si>
    <r>
      <t xml:space="preserve">Viscosity @ 150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</si>
  <si>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D2887</t>
  </si>
  <si>
    <t>D7169</t>
  </si>
  <si>
    <t>API Gravity</t>
  </si>
  <si>
    <t>LS</t>
  </si>
  <si>
    <t>HS</t>
  </si>
  <si>
    <t>Basis</t>
  </si>
  <si>
    <t>Autodest_WLP(LTO+HPS)</t>
  </si>
  <si>
    <t>GC_WLP Normalized(LTO+HPS)</t>
  </si>
  <si>
    <t>SCFB, ART (Average)</t>
  </si>
  <si>
    <t>API @ 15.6 degC</t>
  </si>
  <si>
    <t>Density @ 15.6 degC</t>
  </si>
  <si>
    <t>FeConv, g/h</t>
  </si>
  <si>
    <t>Assay</t>
  </si>
  <si>
    <t>UOPK</t>
  </si>
  <si>
    <t>Wax</t>
  </si>
  <si>
    <t>Cut</t>
  </si>
  <si>
    <t>0.95*95</t>
  </si>
  <si>
    <t>(Ni+V) Accu on Catalyst, 24h, g</t>
  </si>
  <si>
    <t>Total MoC, %, Acc</t>
  </si>
  <si>
    <t>(Ni+V) on Catalyst Acc</t>
  </si>
  <si>
    <t>Calcium</t>
  </si>
  <si>
    <t>Iron</t>
  </si>
  <si>
    <t>LCF VGO LS</t>
  </si>
  <si>
    <t>LCF VTB LS</t>
  </si>
  <si>
    <t>LCF VGO HS</t>
  </si>
  <si>
    <t>LCF VTB HS</t>
  </si>
  <si>
    <t>A</t>
  </si>
  <si>
    <t>Na</t>
  </si>
  <si>
    <t>Ca</t>
  </si>
  <si>
    <t>Fe</t>
  </si>
  <si>
    <t>As</t>
  </si>
  <si>
    <t>Highest Sedm</t>
  </si>
  <si>
    <t>ค่า N ที่สูง ต้องรอเปลี่ยน Copper stick</t>
  </si>
  <si>
    <t>As/Aro</t>
  </si>
  <si>
    <t>As/Aro_ART</t>
  </si>
  <si>
    <t>LCF VGO ABQ_3358</t>
  </si>
  <si>
    <t>LCF VTB ABQ_3358</t>
  </si>
  <si>
    <t>Nitrogen  in VTB_ART</t>
  </si>
  <si>
    <t>Nitrogen  in HVGO_ART</t>
  </si>
  <si>
    <t>Nitrogen in HVGO_TOP</t>
  </si>
  <si>
    <t>Nitrogen in VTB_TOP</t>
  </si>
  <si>
    <t>Asphaltene_VTB_TOP_IP469</t>
  </si>
  <si>
    <t>Asphaltene_VTB_ART_HPLC</t>
  </si>
  <si>
    <t>Aromatic HVGO_ART</t>
  </si>
  <si>
    <t>C4-</t>
  </si>
  <si>
    <t>Crk</t>
  </si>
  <si>
    <t>D</t>
  </si>
  <si>
    <t>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</si>
</sst>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"/>
    <numFmt numFmtId="165" formatCode="0.0000"/>
    <numFmt numFmtId="166" formatCode="0.000"/>
    <numFmt numFmtId="167" formatCode="0.00000"/>
    <numFmt numFmtId="168" formatCode="0E+00"/>
    <numFmt numFmtId="169" formatCode="0.0000E+00"/>
    <numFmt numFmtId="170" formatCode="[$-409]dd\-mmm\-yy;@"/>
    <numFmt numFmtId="171" formatCode="_(* #,##0_);_(* \(#,##0\);_(* &quot;-&quot;??_);_(@_)"/>
  </numFmts>
  <fonts count="6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20"/>
      <color theme="1"/>
      <name val="Century Gothic"/>
      <family val="2"/>
    </font>
    <font>
      <i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2"/>
      <color rgb="FF0000FF"/>
      <name val="Century Gothic"/>
      <family val="2"/>
    </font>
    <font>
      <b/>
      <sz val="12"/>
      <color theme="0"/>
      <name val="Century Gothic"/>
      <family val="2"/>
    </font>
    <font>
      <sz val="12"/>
      <name val="Century Gothic"/>
      <family val="2"/>
    </font>
    <font>
      <sz val="12"/>
      <color rgb="FF000000"/>
      <name val="Century Gothic"/>
      <family val="2"/>
    </font>
    <font>
      <vertAlign val="superscript"/>
      <sz val="12"/>
      <name val="Century Gothic"/>
      <family val="2"/>
    </font>
    <font>
      <b/>
      <sz val="12"/>
      <color rgb="FF000000"/>
      <name val="Century Gothic"/>
      <family val="2"/>
    </font>
    <font>
      <b/>
      <sz val="12"/>
      <name val="Century Gothic"/>
      <family val="2"/>
    </font>
    <font>
      <b/>
      <sz val="12"/>
      <color theme="5"/>
      <name val="Century Gothic"/>
      <family val="2"/>
    </font>
    <font>
      <vertAlign val="subscript"/>
      <sz val="12"/>
      <name val="Century Gothic"/>
      <family val="2"/>
    </font>
    <font>
      <b/>
      <sz val="12"/>
      <color rgb="FF0070C0"/>
      <name val="Century Gothic"/>
      <family val="2"/>
    </font>
    <font>
      <b/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b/>
      <sz val="12"/>
      <color theme="4" tint="-0.499984740745262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rgb="FF002060"/>
      <name val="Century Gothic"/>
      <family val="2"/>
    </font>
    <font>
      <b/>
      <sz val="12"/>
      <color rgb="FFFF0000"/>
      <name val="Century Gothic"/>
      <family val="2"/>
    </font>
    <font>
      <sz val="12"/>
      <color theme="0"/>
      <name val="Century Gothic"/>
      <family val="2"/>
    </font>
    <font>
      <b/>
      <vertAlign val="subscript"/>
      <sz val="12"/>
      <color theme="4" tint="-0.499984740745262"/>
      <name val="Century Gothic"/>
      <family val="2"/>
    </font>
    <font>
      <b/>
      <sz val="18"/>
      <color rgb="FFFF0000"/>
      <name val="Century Gothic"/>
      <family val="2"/>
    </font>
    <font>
      <b/>
      <sz val="14"/>
      <color rgb="FFFF0000"/>
      <name val="Century Gothic"/>
      <family val="2"/>
    </font>
    <font>
      <sz val="12"/>
      <color rgb="FFFF0000"/>
      <name val="Century Gothic"/>
      <family val="2"/>
    </font>
    <font>
      <sz val="8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D0DA3"/>
      <name val="Aptos Narrow"/>
      <family val="2"/>
      <scheme val="minor"/>
    </font>
    <font>
      <b/>
      <sz val="11"/>
      <color rgb="FF2D0DA3"/>
      <name val="Aptos Narrow"/>
      <family val="2"/>
      <scheme val="minor"/>
    </font>
    <font>
      <b/>
      <sz val="11"/>
      <color rgb="FFEE0000"/>
      <name val="Aptos Narrow"/>
      <family val="2"/>
      <scheme val="minor"/>
    </font>
    <font>
      <sz val="11"/>
      <color rgb="FFEE0000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2"/>
      <color theme="1" tint="4.9989318521683403E-2"/>
      <name val="Century Gothic"/>
      <family val="2"/>
    </font>
    <font>
      <sz val="12"/>
      <name val="Calibri"/>
      <family val="2"/>
    </font>
    <font>
      <b/>
      <sz val="12"/>
      <color rgb="FF3333FF"/>
      <name val="Century Gothic"/>
      <family val="2"/>
    </font>
    <font>
      <b/>
      <i/>
      <sz val="2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2"/>
      <name val="Aptos Narrow"/>
      <family val="2"/>
      <scheme val="minor"/>
    </font>
    <font>
      <b/>
      <vertAlign val="superscript"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0" tint="-0.499984740745262"/>
      <name val="Aptos Narrow"/>
      <family val="2"/>
      <scheme val="minor"/>
    </font>
    <font>
      <vertAlign val="superscript"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vertAlign val="superscript"/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1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7" fillId="0" borderId="0"/>
    <xf numFmtId="0" fontId="18" fillId="0" borderId="0"/>
    <xf numFmtId="0" fontId="17" fillId="0" borderId="0"/>
    <xf numFmtId="43" fontId="17" fillId="0" borderId="0" applyFont="0" applyFill="0" applyBorder="0" applyAlignment="0" applyProtection="0"/>
  </cellStyleXfs>
  <cellXfs count="1620">
    <xf numFmtId="0" fontId="0" fillId="0" borderId="0" xfId="0"/>
    <xf numFmtId="0" fontId="1" fillId="0" borderId="0" xfId="0" applyFont="1"/>
    <xf numFmtId="2" fontId="19" fillId="6" borderId="16" xfId="2" applyNumberFormat="1" applyFont="1" applyFill="1" applyBorder="1" applyAlignment="1">
      <alignment horizontal="center"/>
    </xf>
    <xf numFmtId="164" fontId="5" fillId="7" borderId="16" xfId="2" applyNumberFormat="1" applyFont="1" applyFill="1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/>
    <xf numFmtId="0" fontId="3" fillId="2" borderId="0" xfId="2" applyFont="1" applyFill="1" applyAlignment="1">
      <alignment horizontal="center"/>
    </xf>
    <xf numFmtId="0" fontId="4" fillId="0" borderId="0" xfId="2" applyFont="1"/>
    <xf numFmtId="0" fontId="5" fillId="0" borderId="0" xfId="2" applyFont="1" applyAlignment="1">
      <alignment horizontal="right"/>
    </xf>
    <xf numFmtId="0" fontId="4" fillId="8" borderId="2" xfId="2" applyFont="1" applyFill="1" applyBorder="1" applyAlignment="1">
      <alignment horizontal="left"/>
    </xf>
    <xf numFmtId="0" fontId="5" fillId="8" borderId="2" xfId="2" applyFont="1" applyFill="1" applyBorder="1" applyAlignment="1">
      <alignment horizontal="center"/>
    </xf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/>
    </xf>
    <xf numFmtId="0" fontId="4" fillId="2" borderId="0" xfId="2" applyFont="1" applyFill="1" applyAlignment="1">
      <alignment horizontal="center"/>
    </xf>
    <xf numFmtId="14" fontId="5" fillId="8" borderId="3" xfId="2" applyNumberFormat="1" applyFont="1" applyFill="1" applyBorder="1" applyAlignment="1">
      <alignment horizontal="left"/>
    </xf>
    <xf numFmtId="0" fontId="5" fillId="8" borderId="3" xfId="2" applyFont="1" applyFill="1" applyBorder="1" applyAlignment="1">
      <alignment horizontal="center"/>
    </xf>
    <xf numFmtId="0" fontId="5" fillId="8" borderId="3" xfId="2" applyFont="1" applyFill="1" applyBorder="1" applyAlignment="1">
      <alignment horizontal="left"/>
    </xf>
    <xf numFmtId="0" fontId="4" fillId="0" borderId="0" xfId="2" applyFont="1" applyAlignment="1">
      <alignment horizontal="left"/>
    </xf>
    <xf numFmtId="0" fontId="4" fillId="0" borderId="0" xfId="2" applyFont="1" applyAlignment="1">
      <alignment horizontal="center"/>
    </xf>
    <xf numFmtId="0" fontId="7" fillId="4" borderId="4" xfId="2" applyFont="1" applyFill="1" applyBorder="1" applyAlignment="1">
      <alignment horizontal="center" vertical="center"/>
    </xf>
    <xf numFmtId="0" fontId="7" fillId="4" borderId="5" xfId="2" applyFont="1" applyFill="1" applyBorder="1" applyAlignment="1">
      <alignment horizontal="center" vertical="center"/>
    </xf>
    <xf numFmtId="0" fontId="7" fillId="4" borderId="31" xfId="2" applyFont="1" applyFill="1" applyBorder="1" applyAlignment="1">
      <alignment horizontal="center" vertical="center"/>
    </xf>
    <xf numFmtId="0" fontId="7" fillId="4" borderId="29" xfId="2" applyFont="1" applyFill="1" applyBorder="1" applyAlignment="1">
      <alignment horizontal="center" vertical="center"/>
    </xf>
    <xf numFmtId="0" fontId="8" fillId="0" borderId="7" xfId="2" applyFont="1" applyBorder="1" applyAlignment="1">
      <alignment horizontal="left"/>
    </xf>
    <xf numFmtId="0" fontId="5" fillId="0" borderId="8" xfId="2" applyFont="1" applyBorder="1" applyAlignment="1">
      <alignment horizontal="center"/>
    </xf>
    <xf numFmtId="0" fontId="4" fillId="0" borderId="26" xfId="2" applyFont="1" applyBorder="1" applyAlignment="1">
      <alignment horizontal="center"/>
    </xf>
    <xf numFmtId="0" fontId="4" fillId="2" borderId="38" xfId="2" applyFont="1" applyFill="1" applyBorder="1" applyAlignment="1">
      <alignment horizontal="center"/>
    </xf>
    <xf numFmtId="2" fontId="9" fillId="9" borderId="38" xfId="2" applyNumberFormat="1" applyFont="1" applyFill="1" applyBorder="1" applyAlignment="1">
      <alignment horizontal="center"/>
    </xf>
    <xf numFmtId="2" fontId="9" fillId="9" borderId="42" xfId="2" applyNumberFormat="1" applyFont="1" applyFill="1" applyBorder="1" applyAlignment="1">
      <alignment horizontal="center"/>
    </xf>
    <xf numFmtId="2" fontId="9" fillId="9" borderId="9" xfId="2" applyNumberFormat="1" applyFont="1" applyFill="1" applyBorder="1" applyAlignment="1">
      <alignment horizontal="center"/>
    </xf>
    <xf numFmtId="0" fontId="8" fillId="0" borderId="10" xfId="2" applyFont="1" applyBorder="1" applyAlignment="1">
      <alignment horizontal="left"/>
    </xf>
    <xf numFmtId="0" fontId="5" fillId="0" borderId="1" xfId="2" applyFont="1" applyBorder="1" applyAlignment="1">
      <alignment horizontal="center"/>
    </xf>
    <xf numFmtId="0" fontId="4" fillId="0" borderId="28" xfId="2" applyFont="1" applyBorder="1" applyAlignment="1">
      <alignment horizontal="center"/>
    </xf>
    <xf numFmtId="0" fontId="4" fillId="2" borderId="16" xfId="2" applyFont="1" applyFill="1" applyBorder="1" applyAlignment="1">
      <alignment horizontal="center"/>
    </xf>
    <xf numFmtId="2" fontId="9" fillId="2" borderId="38" xfId="2" applyNumberFormat="1" applyFont="1" applyFill="1" applyBorder="1" applyAlignment="1">
      <alignment horizontal="center"/>
    </xf>
    <xf numFmtId="2" fontId="9" fillId="2" borderId="42" xfId="2" applyNumberFormat="1" applyFont="1" applyFill="1" applyBorder="1" applyAlignment="1">
      <alignment horizontal="center"/>
    </xf>
    <xf numFmtId="2" fontId="9" fillId="2" borderId="9" xfId="2" applyNumberFormat="1" applyFont="1" applyFill="1" applyBorder="1" applyAlignment="1">
      <alignment horizontal="center"/>
    </xf>
    <xf numFmtId="0" fontId="8" fillId="0" borderId="10" xfId="2" applyFont="1" applyBorder="1" applyAlignment="1">
      <alignment horizontal="left" vertical="center"/>
    </xf>
    <xf numFmtId="0" fontId="4" fillId="10" borderId="16" xfId="2" applyFont="1" applyFill="1" applyBorder="1" applyAlignment="1">
      <alignment horizontal="center"/>
    </xf>
    <xf numFmtId="0" fontId="4" fillId="0" borderId="16" xfId="2" applyFont="1" applyBorder="1" applyAlignment="1">
      <alignment horizontal="center"/>
    </xf>
    <xf numFmtId="0" fontId="4" fillId="0" borderId="40" xfId="2" applyFont="1" applyBorder="1" applyAlignment="1">
      <alignment horizontal="center"/>
    </xf>
    <xf numFmtId="0" fontId="4" fillId="0" borderId="11" xfId="2" applyFont="1" applyBorder="1" applyAlignment="1">
      <alignment horizontal="center"/>
    </xf>
    <xf numFmtId="0" fontId="4" fillId="10" borderId="40" xfId="2" applyFont="1" applyFill="1" applyBorder="1" applyAlignment="1">
      <alignment horizontal="center"/>
    </xf>
    <xf numFmtId="0" fontId="4" fillId="10" borderId="11" xfId="2" applyFont="1" applyFill="1" applyBorder="1" applyAlignment="1">
      <alignment horizontal="center"/>
    </xf>
    <xf numFmtId="0" fontId="8" fillId="0" borderId="10" xfId="2" applyFont="1" applyBorder="1"/>
    <xf numFmtId="0" fontId="11" fillId="0" borderId="13" xfId="2" applyFont="1" applyBorder="1" applyAlignment="1">
      <alignment horizontal="center" vertical="center"/>
    </xf>
    <xf numFmtId="0" fontId="9" fillId="0" borderId="27" xfId="2" applyFont="1" applyBorder="1" applyAlignment="1">
      <alignment horizontal="center" vertical="center"/>
    </xf>
    <xf numFmtId="0" fontId="9" fillId="10" borderId="16" xfId="2" applyFont="1" applyFill="1" applyBorder="1" applyAlignment="1">
      <alignment horizontal="center"/>
    </xf>
    <xf numFmtId="0" fontId="9" fillId="2" borderId="16" xfId="2" applyFont="1" applyFill="1" applyBorder="1" applyAlignment="1">
      <alignment horizontal="center"/>
    </xf>
    <xf numFmtId="0" fontId="9" fillId="9" borderId="16" xfId="2" applyFont="1" applyFill="1" applyBorder="1" applyAlignment="1">
      <alignment horizontal="center"/>
    </xf>
    <xf numFmtId="0" fontId="6" fillId="9" borderId="16" xfId="2" applyFont="1" applyFill="1" applyBorder="1" applyAlignment="1">
      <alignment horizontal="center"/>
    </xf>
    <xf numFmtId="0" fontId="6" fillId="9" borderId="40" xfId="2" applyFont="1" applyFill="1" applyBorder="1" applyAlignment="1">
      <alignment horizontal="center"/>
    </xf>
    <xf numFmtId="0" fontId="6" fillId="9" borderId="11" xfId="2" applyFont="1" applyFill="1" applyBorder="1" applyAlignment="1">
      <alignment horizontal="center"/>
    </xf>
    <xf numFmtId="0" fontId="9" fillId="9" borderId="40" xfId="2" applyFont="1" applyFill="1" applyBorder="1" applyAlignment="1">
      <alignment horizontal="center"/>
    </xf>
    <xf numFmtId="0" fontId="9" fillId="9" borderId="11" xfId="2" applyFont="1" applyFill="1" applyBorder="1" applyAlignment="1">
      <alignment horizontal="center"/>
    </xf>
    <xf numFmtId="0" fontId="9" fillId="10" borderId="40" xfId="2" applyFont="1" applyFill="1" applyBorder="1" applyAlignment="1">
      <alignment horizontal="center"/>
    </xf>
    <xf numFmtId="0" fontId="9" fillId="10" borderId="11" xfId="2" applyFont="1" applyFill="1" applyBorder="1" applyAlignment="1">
      <alignment horizontal="center"/>
    </xf>
    <xf numFmtId="164" fontId="4" fillId="10" borderId="16" xfId="2" applyNumberFormat="1" applyFont="1" applyFill="1" applyBorder="1" applyAlignment="1">
      <alignment horizontal="center"/>
    </xf>
    <xf numFmtId="0" fontId="11" fillId="0" borderId="1" xfId="2" applyFont="1" applyBorder="1" applyAlignment="1">
      <alignment horizontal="center" vertical="center"/>
    </xf>
    <xf numFmtId="0" fontId="9" fillId="0" borderId="28" xfId="2" applyFont="1" applyBorder="1" applyAlignment="1">
      <alignment horizontal="center"/>
    </xf>
    <xf numFmtId="0" fontId="9" fillId="0" borderId="16" xfId="2" applyFont="1" applyBorder="1" applyAlignment="1">
      <alignment horizontal="center"/>
    </xf>
    <xf numFmtId="166" fontId="9" fillId="0" borderId="16" xfId="2" applyNumberFormat="1" applyFont="1" applyBorder="1" applyAlignment="1">
      <alignment horizontal="center"/>
    </xf>
    <xf numFmtId="2" fontId="9" fillId="0" borderId="40" xfId="2" applyNumberFormat="1" applyFont="1" applyBorder="1" applyAlignment="1">
      <alignment horizontal="center"/>
    </xf>
    <xf numFmtId="2" fontId="9" fillId="0" borderId="11" xfId="2" applyNumberFormat="1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1" fontId="4" fillId="10" borderId="16" xfId="2" applyNumberFormat="1" applyFont="1" applyFill="1" applyBorder="1" applyAlignment="1">
      <alignment horizontal="center"/>
    </xf>
    <xf numFmtId="0" fontId="9" fillId="0" borderId="25" xfId="2" applyFont="1" applyBorder="1" applyAlignment="1">
      <alignment horizontal="center"/>
    </xf>
    <xf numFmtId="1" fontId="4" fillId="0" borderId="16" xfId="2" applyNumberFormat="1" applyFont="1" applyBorder="1" applyAlignment="1">
      <alignment horizontal="center"/>
    </xf>
    <xf numFmtId="1" fontId="8" fillId="0" borderId="16" xfId="2" applyNumberFormat="1" applyFont="1" applyBorder="1" applyAlignment="1">
      <alignment horizontal="center"/>
    </xf>
    <xf numFmtId="1" fontId="9" fillId="0" borderId="16" xfId="2" applyNumberFormat="1" applyFont="1" applyBorder="1" applyAlignment="1">
      <alignment horizontal="center"/>
    </xf>
    <xf numFmtId="1" fontId="9" fillId="0" borderId="40" xfId="2" applyNumberFormat="1" applyFont="1" applyBorder="1" applyAlignment="1">
      <alignment horizontal="center"/>
    </xf>
    <xf numFmtId="1" fontId="9" fillId="0" borderId="11" xfId="2" applyNumberFormat="1" applyFont="1" applyBorder="1" applyAlignment="1">
      <alignment horizontal="center"/>
    </xf>
    <xf numFmtId="0" fontId="24" fillId="0" borderId="0" xfId="2" applyFont="1"/>
    <xf numFmtId="165" fontId="4" fillId="0" borderId="16" xfId="2" applyNumberFormat="1" applyFont="1" applyBorder="1" applyAlignment="1">
      <alignment horizontal="center"/>
    </xf>
    <xf numFmtId="165" fontId="8" fillId="0" borderId="16" xfId="2" applyNumberFormat="1" applyFont="1" applyBorder="1" applyAlignment="1">
      <alignment horizontal="center"/>
    </xf>
    <xf numFmtId="0" fontId="12" fillId="0" borderId="10" xfId="2" applyFont="1" applyBorder="1" applyAlignment="1">
      <alignment horizontal="center"/>
    </xf>
    <xf numFmtId="165" fontId="4" fillId="0" borderId="0" xfId="2" applyNumberFormat="1" applyFont="1"/>
    <xf numFmtId="2" fontId="9" fillId="0" borderId="16" xfId="2" applyNumberFormat="1" applyFont="1" applyBorder="1" applyAlignment="1">
      <alignment horizontal="center"/>
    </xf>
    <xf numFmtId="0" fontId="19" fillId="6" borderId="10" xfId="2" applyFont="1" applyFill="1" applyBorder="1" applyAlignment="1">
      <alignment horizontal="center" vertical="center"/>
    </xf>
    <xf numFmtId="0" fontId="11" fillId="6" borderId="13" xfId="2" applyFont="1" applyFill="1" applyBorder="1" applyAlignment="1">
      <alignment horizontal="center" vertical="center"/>
    </xf>
    <xf numFmtId="0" fontId="9" fillId="6" borderId="27" xfId="2" applyFont="1" applyFill="1" applyBorder="1" applyAlignment="1">
      <alignment horizontal="center" vertical="center"/>
    </xf>
    <xf numFmtId="0" fontId="19" fillId="0" borderId="10" xfId="2" applyFont="1" applyBorder="1" applyAlignment="1">
      <alignment horizontal="center" vertical="center"/>
    </xf>
    <xf numFmtId="165" fontId="19" fillId="0" borderId="16" xfId="2" applyNumberFormat="1" applyFont="1" applyBorder="1" applyAlignment="1">
      <alignment horizontal="center"/>
    </xf>
    <xf numFmtId="0" fontId="6" fillId="0" borderId="10" xfId="2" applyFont="1" applyBorder="1" applyAlignment="1">
      <alignment horizontal="center"/>
    </xf>
    <xf numFmtId="164" fontId="9" fillId="0" borderId="16" xfId="2" applyNumberFormat="1" applyFont="1" applyBorder="1" applyAlignment="1">
      <alignment horizontal="center"/>
    </xf>
    <xf numFmtId="164" fontId="9" fillId="0" borderId="40" xfId="2" applyNumberFormat="1" applyFont="1" applyBorder="1" applyAlignment="1">
      <alignment horizontal="center"/>
    </xf>
    <xf numFmtId="164" fontId="9" fillId="0" borderId="11" xfId="2" applyNumberFormat="1" applyFont="1" applyBorder="1" applyAlignment="1">
      <alignment horizontal="center"/>
    </xf>
    <xf numFmtId="0" fontId="9" fillId="0" borderId="40" xfId="2" applyFont="1" applyBorder="1" applyAlignment="1">
      <alignment horizontal="center"/>
    </xf>
    <xf numFmtId="0" fontId="9" fillId="0" borderId="11" xfId="2" applyFont="1" applyBorder="1" applyAlignment="1">
      <alignment horizontal="center"/>
    </xf>
    <xf numFmtId="0" fontId="11" fillId="5" borderId="8" xfId="2" applyFont="1" applyFill="1" applyBorder="1" applyAlignment="1">
      <alignment horizontal="center" vertical="center"/>
    </xf>
    <xf numFmtId="0" fontId="6" fillId="0" borderId="16" xfId="2" applyFont="1" applyBorder="1" applyAlignment="1">
      <alignment horizontal="center"/>
    </xf>
    <xf numFmtId="164" fontId="6" fillId="0" borderId="16" xfId="2" applyNumberFormat="1" applyFont="1" applyBorder="1" applyAlignment="1">
      <alignment horizontal="center"/>
    </xf>
    <xf numFmtId="0" fontId="5" fillId="11" borderId="34" xfId="2" applyFont="1" applyFill="1" applyBorder="1" applyAlignment="1">
      <alignment horizontal="center" vertical="center"/>
    </xf>
    <xf numFmtId="0" fontId="11" fillId="11" borderId="8" xfId="2" applyFont="1" applyFill="1" applyBorder="1" applyAlignment="1">
      <alignment horizontal="center" vertical="center"/>
    </xf>
    <xf numFmtId="0" fontId="9" fillId="11" borderId="26" xfId="2" applyFont="1" applyFill="1" applyBorder="1" applyAlignment="1">
      <alignment horizontal="center" vertical="center"/>
    </xf>
    <xf numFmtId="0" fontId="6" fillId="11" borderId="16" xfId="2" applyFont="1" applyFill="1" applyBorder="1" applyAlignment="1">
      <alignment horizontal="center"/>
    </xf>
    <xf numFmtId="0" fontId="6" fillId="11" borderId="40" xfId="2" applyFont="1" applyFill="1" applyBorder="1" applyAlignment="1">
      <alignment horizontal="center"/>
    </xf>
    <xf numFmtId="0" fontId="5" fillId="7" borderId="33" xfId="2" applyFont="1" applyFill="1" applyBorder="1" applyAlignment="1">
      <alignment horizontal="center" vertical="center" wrapText="1"/>
    </xf>
    <xf numFmtId="0" fontId="5" fillId="7" borderId="16" xfId="2" applyFont="1" applyFill="1" applyBorder="1" applyAlignment="1">
      <alignment horizontal="center"/>
    </xf>
    <xf numFmtId="164" fontId="5" fillId="7" borderId="40" xfId="2" applyNumberFormat="1" applyFont="1" applyFill="1" applyBorder="1" applyAlignment="1">
      <alignment horizontal="center"/>
    </xf>
    <xf numFmtId="0" fontId="5" fillId="11" borderId="36" xfId="2" applyFont="1" applyFill="1" applyBorder="1" applyAlignment="1">
      <alignment horizontal="center" vertical="center" wrapText="1"/>
    </xf>
    <xf numFmtId="0" fontId="5" fillId="11" borderId="16" xfId="2" applyFont="1" applyFill="1" applyBorder="1" applyAlignment="1">
      <alignment horizontal="center"/>
    </xf>
    <xf numFmtId="0" fontId="9" fillId="0" borderId="28" xfId="2" applyFont="1" applyBorder="1" applyAlignment="1">
      <alignment horizontal="center" vertical="center"/>
    </xf>
    <xf numFmtId="0" fontId="4" fillId="2" borderId="0" xfId="2" applyFont="1" applyFill="1"/>
    <xf numFmtId="0" fontId="7" fillId="2" borderId="0" xfId="2" applyFont="1" applyFill="1" applyAlignment="1">
      <alignment horizontal="center" vertical="center"/>
    </xf>
    <xf numFmtId="0" fontId="8" fillId="2" borderId="0" xfId="2" applyFont="1" applyFill="1" applyAlignment="1">
      <alignment horizontal="left"/>
    </xf>
    <xf numFmtId="0" fontId="5" fillId="2" borderId="0" xfId="2" applyFont="1" applyFill="1" applyAlignment="1">
      <alignment vertical="center"/>
    </xf>
    <xf numFmtId="0" fontId="4" fillId="2" borderId="0" xfId="2" applyFont="1" applyFill="1" applyAlignment="1">
      <alignment vertical="center"/>
    </xf>
    <xf numFmtId="0" fontId="8" fillId="2" borderId="0" xfId="2" applyFont="1" applyFill="1" applyAlignment="1">
      <alignment horizontal="left" vertical="center"/>
    </xf>
    <xf numFmtId="164" fontId="4" fillId="2" borderId="0" xfId="2" applyNumberFormat="1" applyFont="1" applyFill="1" applyAlignment="1">
      <alignment horizontal="center"/>
    </xf>
    <xf numFmtId="0" fontId="7" fillId="4" borderId="32" xfId="2" applyFont="1" applyFill="1" applyBorder="1" applyAlignment="1">
      <alignment horizontal="center" vertical="center"/>
    </xf>
    <xf numFmtId="0" fontId="7" fillId="4" borderId="6" xfId="2" applyFont="1" applyFill="1" applyBorder="1" applyAlignment="1">
      <alignment horizontal="center" vertical="center"/>
    </xf>
    <xf numFmtId="166" fontId="9" fillId="0" borderId="11" xfId="2" applyNumberFormat="1" applyFont="1" applyBorder="1" applyAlignment="1">
      <alignment horizontal="center"/>
    </xf>
    <xf numFmtId="0" fontId="13" fillId="6" borderId="10" xfId="2" applyFont="1" applyFill="1" applyBorder="1" applyAlignment="1">
      <alignment horizontal="center"/>
    </xf>
    <xf numFmtId="0" fontId="9" fillId="6" borderId="16" xfId="2" applyFont="1" applyFill="1" applyBorder="1" applyAlignment="1">
      <alignment horizontal="center"/>
    </xf>
    <xf numFmtId="164" fontId="13" fillId="6" borderId="16" xfId="2" applyNumberFormat="1" applyFont="1" applyFill="1" applyBorder="1" applyAlignment="1">
      <alignment horizontal="center"/>
    </xf>
    <xf numFmtId="0" fontId="8" fillId="0" borderId="17" xfId="2" applyFont="1" applyBorder="1"/>
    <xf numFmtId="0" fontId="11" fillId="0" borderId="18" xfId="2" applyFont="1" applyBorder="1" applyAlignment="1">
      <alignment horizontal="center"/>
    </xf>
    <xf numFmtId="0" fontId="9" fillId="0" borderId="37" xfId="2" applyFont="1" applyBorder="1" applyAlignment="1">
      <alignment horizontal="center"/>
    </xf>
    <xf numFmtId="0" fontId="9" fillId="10" borderId="39" xfId="2" applyFont="1" applyFill="1" applyBorder="1" applyAlignment="1">
      <alignment horizontal="center"/>
    </xf>
    <xf numFmtId="0" fontId="4" fillId="2" borderId="8" xfId="2" applyFont="1" applyFill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4" fillId="0" borderId="8" xfId="2" applyFont="1" applyBorder="1" applyAlignment="1">
      <alignment horizontal="center"/>
    </xf>
    <xf numFmtId="0" fontId="4" fillId="0" borderId="12" xfId="2" applyFont="1" applyBorder="1" applyAlignment="1">
      <alignment horizontal="center"/>
    </xf>
    <xf numFmtId="0" fontId="8" fillId="0" borderId="17" xfId="2" applyFont="1" applyBorder="1" applyAlignment="1">
      <alignment horizontal="left" vertical="center"/>
    </xf>
    <xf numFmtId="0" fontId="4" fillId="0" borderId="18" xfId="2" applyFont="1" applyBorder="1" applyAlignment="1">
      <alignment horizontal="center"/>
    </xf>
    <xf numFmtId="0" fontId="5" fillId="8" borderId="0" xfId="2" applyFont="1" applyFill="1" applyAlignment="1">
      <alignment horizontal="right"/>
    </xf>
    <xf numFmtId="0" fontId="5" fillId="8" borderId="22" xfId="2" applyFont="1" applyFill="1" applyBorder="1" applyAlignment="1">
      <alignment horizontal="center"/>
    </xf>
    <xf numFmtId="0" fontId="4" fillId="2" borderId="0" xfId="2" applyFont="1" applyFill="1" applyAlignment="1">
      <alignment horizontal="left"/>
    </xf>
    <xf numFmtId="0" fontId="6" fillId="2" borderId="0" xfId="2" applyFont="1" applyFill="1" applyAlignment="1">
      <alignment horizontal="center" wrapText="1"/>
    </xf>
    <xf numFmtId="0" fontId="27" fillId="2" borderId="0" xfId="2" applyFont="1" applyFill="1" applyAlignment="1">
      <alignment horizontal="center" vertical="center"/>
    </xf>
    <xf numFmtId="0" fontId="23" fillId="2" borderId="0" xfId="2" applyFont="1" applyFill="1" applyAlignment="1">
      <alignment horizontal="center"/>
    </xf>
    <xf numFmtId="0" fontId="5" fillId="2" borderId="0" xfId="2" applyFont="1" applyFill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7" fillId="4" borderId="23" xfId="2" applyFont="1" applyFill="1" applyBorder="1" applyAlignment="1">
      <alignment horizontal="center" vertical="center"/>
    </xf>
    <xf numFmtId="0" fontId="7" fillId="4" borderId="24" xfId="2" applyFont="1" applyFill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15" fillId="0" borderId="12" xfId="2" applyFont="1" applyBorder="1" applyAlignment="1">
      <alignment horizontal="center" vertical="center"/>
    </xf>
    <xf numFmtId="0" fontId="28" fillId="0" borderId="12" xfId="2" applyFont="1" applyBorder="1" applyAlignment="1">
      <alignment horizontal="center"/>
    </xf>
    <xf numFmtId="0" fontId="28" fillId="0" borderId="1" xfId="2" applyFont="1" applyBorder="1" applyAlignment="1">
      <alignment horizontal="center"/>
    </xf>
    <xf numFmtId="0" fontId="0" fillId="2" borderId="0" xfId="0" applyFill="1"/>
    <xf numFmtId="0" fontId="7" fillId="11" borderId="0" xfId="2" applyFont="1" applyFill="1" applyAlignment="1">
      <alignment horizontal="center"/>
    </xf>
    <xf numFmtId="0" fontId="7" fillId="12" borderId="0" xfId="2" applyFont="1" applyFill="1" applyAlignment="1">
      <alignment horizontal="center" vertical="center"/>
    </xf>
    <xf numFmtId="166" fontId="9" fillId="0" borderId="40" xfId="2" applyNumberFormat="1" applyFont="1" applyBorder="1" applyAlignment="1">
      <alignment horizontal="center"/>
    </xf>
    <xf numFmtId="0" fontId="32" fillId="2" borderId="0" xfId="0" applyFont="1" applyFill="1"/>
    <xf numFmtId="0" fontId="28" fillId="0" borderId="0" xfId="2" applyFont="1" applyAlignment="1">
      <alignment horizontal="center"/>
    </xf>
    <xf numFmtId="165" fontId="4" fillId="0" borderId="11" xfId="2" applyNumberFormat="1" applyFont="1" applyBorder="1" applyAlignment="1">
      <alignment horizontal="center"/>
    </xf>
    <xf numFmtId="166" fontId="19" fillId="6" borderId="16" xfId="2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15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5" fontId="1" fillId="0" borderId="0" xfId="0" applyNumberFormat="1" applyFont="1" applyAlignment="1">
      <alignment horizontal="left" wrapText="1"/>
    </xf>
    <xf numFmtId="0" fontId="0" fillId="3" borderId="0" xfId="0" applyFill="1" applyAlignment="1">
      <alignment wrapText="1"/>
    </xf>
    <xf numFmtId="0" fontId="36" fillId="2" borderId="0" xfId="0" applyFont="1" applyFill="1"/>
    <xf numFmtId="0" fontId="39" fillId="2" borderId="0" xfId="0" applyFont="1" applyFill="1"/>
    <xf numFmtId="0" fontId="11" fillId="0" borderId="12" xfId="2" applyFont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165" fontId="4" fillId="2" borderId="16" xfId="2" applyNumberFormat="1" applyFont="1" applyFill="1" applyBorder="1" applyAlignment="1">
      <alignment horizontal="center"/>
    </xf>
    <xf numFmtId="0" fontId="11" fillId="2" borderId="1" xfId="2" applyFont="1" applyFill="1" applyBorder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right"/>
    </xf>
    <xf numFmtId="0" fontId="35" fillId="0" borderId="0" xfId="0" applyFont="1"/>
    <xf numFmtId="0" fontId="0" fillId="0" borderId="0" xfId="0" applyAlignment="1">
      <alignment horizontal="right"/>
    </xf>
    <xf numFmtId="0" fontId="1" fillId="0" borderId="0" xfId="0" quotePrefix="1" applyFont="1"/>
    <xf numFmtId="9" fontId="1" fillId="0" borderId="0" xfId="0" applyNumberFormat="1" applyFont="1"/>
    <xf numFmtId="0" fontId="1" fillId="0" borderId="0" xfId="0" applyFont="1" applyAlignment="1">
      <alignment wrapText="1"/>
    </xf>
    <xf numFmtId="9" fontId="1" fillId="0" borderId="0" xfId="0" applyNumberFormat="1" applyFont="1" applyAlignment="1">
      <alignment wrapText="1"/>
    </xf>
    <xf numFmtId="9" fontId="1" fillId="0" borderId="0" xfId="0" quotePrefix="1" applyNumberFormat="1" applyFont="1"/>
    <xf numFmtId="164" fontId="0" fillId="2" borderId="0" xfId="0" applyNumberFormat="1" applyFill="1"/>
    <xf numFmtId="0" fontId="4" fillId="9" borderId="16" xfId="2" applyFont="1" applyFill="1" applyBorder="1" applyAlignment="1">
      <alignment horizontal="center"/>
    </xf>
    <xf numFmtId="0" fontId="0" fillId="0" borderId="0" xfId="0" quotePrefix="1"/>
    <xf numFmtId="1" fontId="0" fillId="0" borderId="0" xfId="0" applyNumberFormat="1"/>
    <xf numFmtId="0" fontId="0" fillId="11" borderId="0" xfId="0" applyFill="1"/>
    <xf numFmtId="0" fontId="32" fillId="15" borderId="0" xfId="0" applyFont="1" applyFill="1"/>
    <xf numFmtId="0" fontId="0" fillId="16" borderId="0" xfId="0" applyFill="1"/>
    <xf numFmtId="1" fontId="37" fillId="0" borderId="0" xfId="0" applyNumberFormat="1" applyFont="1"/>
    <xf numFmtId="0" fontId="1" fillId="2" borderId="0" xfId="0" applyFont="1" applyFill="1"/>
    <xf numFmtId="2" fontId="4" fillId="0" borderId="0" xfId="2" applyNumberFormat="1" applyFont="1" applyAlignment="1">
      <alignment horizontal="center" vertical="center"/>
    </xf>
    <xf numFmtId="2" fontId="5" fillId="0" borderId="0" xfId="2" applyNumberFormat="1" applyFont="1" applyAlignment="1">
      <alignment horizontal="center" vertical="center"/>
    </xf>
    <xf numFmtId="0" fontId="32" fillId="0" borderId="0" xfId="0" applyFont="1"/>
    <xf numFmtId="0" fontId="0" fillId="2" borderId="0" xfId="0" applyFill="1" applyAlignment="1">
      <alignment horizontal="right"/>
    </xf>
    <xf numFmtId="0" fontId="5" fillId="0" borderId="45" xfId="2" applyFont="1" applyBorder="1" applyAlignment="1">
      <alignment horizontal="center"/>
    </xf>
    <xf numFmtId="0" fontId="26" fillId="0" borderId="0" xfId="2" applyFont="1" applyAlignment="1">
      <alignment horizontal="center"/>
    </xf>
    <xf numFmtId="0" fontId="22" fillId="0" borderId="0" xfId="2" applyFont="1" applyAlignment="1">
      <alignment horizontal="center"/>
    </xf>
    <xf numFmtId="0" fontId="26" fillId="0" borderId="27" xfId="2" applyFont="1" applyBorder="1" applyAlignment="1">
      <alignment horizontal="center"/>
    </xf>
    <xf numFmtId="0" fontId="22" fillId="0" borderId="27" xfId="2" applyFont="1" applyBorder="1" applyAlignment="1">
      <alignment horizontal="center"/>
    </xf>
    <xf numFmtId="0" fontId="4" fillId="6" borderId="0" xfId="2" applyFont="1" applyFill="1"/>
    <xf numFmtId="0" fontId="4" fillId="13" borderId="0" xfId="2" applyFont="1" applyFill="1"/>
    <xf numFmtId="0" fontId="5" fillId="0" borderId="27" xfId="2" applyFont="1" applyBorder="1" applyAlignment="1">
      <alignment horizontal="center" wrapText="1"/>
    </xf>
    <xf numFmtId="0" fontId="5" fillId="0" borderId="0" xfId="2" applyFont="1" applyAlignment="1">
      <alignment horizontal="center" wrapText="1"/>
    </xf>
    <xf numFmtId="2" fontId="9" fillId="9" borderId="26" xfId="2" applyNumberFormat="1" applyFont="1" applyFill="1" applyBorder="1" applyAlignment="1">
      <alignment horizontal="center"/>
    </xf>
    <xf numFmtId="2" fontId="9" fillId="2" borderId="26" xfId="2" applyNumberFormat="1" applyFont="1" applyFill="1" applyBorder="1" applyAlignment="1">
      <alignment horizontal="center"/>
    </xf>
    <xf numFmtId="0" fontId="4" fillId="10" borderId="28" xfId="2" applyFont="1" applyFill="1" applyBorder="1" applyAlignment="1">
      <alignment horizontal="center"/>
    </xf>
    <xf numFmtId="0" fontId="9" fillId="10" borderId="28" xfId="2" applyFont="1" applyFill="1" applyBorder="1" applyAlignment="1">
      <alignment horizontal="center"/>
    </xf>
    <xf numFmtId="166" fontId="9" fillId="0" borderId="28" xfId="2" applyNumberFormat="1" applyFont="1" applyBorder="1" applyAlignment="1">
      <alignment horizontal="center"/>
    </xf>
    <xf numFmtId="1" fontId="9" fillId="0" borderId="28" xfId="2" applyNumberFormat="1" applyFont="1" applyBorder="1" applyAlignment="1">
      <alignment horizontal="center"/>
    </xf>
    <xf numFmtId="2" fontId="9" fillId="0" borderId="28" xfId="2" applyNumberFormat="1" applyFont="1" applyBorder="1" applyAlignment="1">
      <alignment horizontal="center"/>
    </xf>
    <xf numFmtId="165" fontId="19" fillId="0" borderId="46" xfId="2" applyNumberFormat="1" applyFont="1" applyBorder="1" applyAlignment="1">
      <alignment horizontal="center"/>
    </xf>
    <xf numFmtId="0" fontId="9" fillId="10" borderId="46" xfId="2" applyFont="1" applyFill="1" applyBorder="1" applyAlignment="1">
      <alignment horizontal="center"/>
    </xf>
    <xf numFmtId="0" fontId="6" fillId="11" borderId="3" xfId="2" applyFont="1" applyFill="1" applyBorder="1" applyAlignment="1">
      <alignment horizontal="center"/>
    </xf>
    <xf numFmtId="164" fontId="5" fillId="7" borderId="3" xfId="2" applyNumberFormat="1" applyFont="1" applyFill="1" applyBorder="1" applyAlignment="1">
      <alignment horizontal="center"/>
    </xf>
    <xf numFmtId="164" fontId="9" fillId="0" borderId="28" xfId="2" applyNumberFormat="1" applyFont="1" applyBorder="1" applyAlignment="1">
      <alignment horizontal="center"/>
    </xf>
    <xf numFmtId="0" fontId="4" fillId="2" borderId="26" xfId="2" applyFont="1" applyFill="1" applyBorder="1" applyAlignment="1">
      <alignment horizontal="center"/>
    </xf>
    <xf numFmtId="0" fontId="4" fillId="0" borderId="25" xfId="2" applyFont="1" applyBorder="1" applyAlignment="1">
      <alignment horizontal="center"/>
    </xf>
    <xf numFmtId="0" fontId="4" fillId="0" borderId="37" xfId="2" applyFont="1" applyBorder="1" applyAlignment="1">
      <alignment horizontal="center"/>
    </xf>
    <xf numFmtId="0" fontId="4" fillId="9" borderId="16" xfId="2" applyFont="1" applyFill="1" applyBorder="1"/>
    <xf numFmtId="0" fontId="4" fillId="0" borderId="16" xfId="2" applyFont="1" applyBorder="1"/>
    <xf numFmtId="0" fontId="7" fillId="4" borderId="30" xfId="2" applyFont="1" applyFill="1" applyBorder="1" applyAlignment="1">
      <alignment horizontal="center" vertical="center"/>
    </xf>
    <xf numFmtId="0" fontId="5" fillId="0" borderId="27" xfId="2" applyFont="1" applyBorder="1" applyAlignment="1">
      <alignment horizontal="center"/>
    </xf>
    <xf numFmtId="0" fontId="50" fillId="0" borderId="27" xfId="2" applyFont="1" applyBorder="1" applyAlignment="1">
      <alignment horizontal="center" wrapText="1"/>
    </xf>
    <xf numFmtId="0" fontId="50" fillId="0" borderId="0" xfId="2" applyFont="1" applyAlignment="1">
      <alignment horizontal="center" wrapText="1"/>
    </xf>
    <xf numFmtId="1" fontId="4" fillId="6" borderId="0" xfId="2" applyNumberFormat="1" applyFont="1" applyFill="1" applyAlignment="1">
      <alignment horizontal="center"/>
    </xf>
    <xf numFmtId="0" fontId="50" fillId="2" borderId="0" xfId="2" applyFont="1" applyFill="1" applyAlignment="1">
      <alignment horizontal="center"/>
    </xf>
    <xf numFmtId="0" fontId="5" fillId="0" borderId="45" xfId="2" applyFont="1" applyBorder="1" applyAlignment="1">
      <alignment horizontal="center" vertical="center"/>
    </xf>
    <xf numFmtId="0" fontId="5" fillId="2" borderId="45" xfId="2" applyFont="1" applyFill="1" applyBorder="1" applyAlignment="1">
      <alignment horizontal="center" vertical="center"/>
    </xf>
    <xf numFmtId="0" fontId="50" fillId="2" borderId="27" xfId="2" applyFont="1" applyFill="1" applyBorder="1" applyAlignment="1">
      <alignment horizontal="center"/>
    </xf>
    <xf numFmtId="0" fontId="5" fillId="2" borderId="27" xfId="2" applyFont="1" applyFill="1" applyBorder="1" applyAlignment="1">
      <alignment horizontal="center"/>
    </xf>
    <xf numFmtId="0" fontId="50" fillId="2" borderId="27" xfId="2" applyFont="1" applyFill="1" applyBorder="1" applyAlignment="1">
      <alignment horizontal="center" wrapText="1"/>
    </xf>
    <xf numFmtId="0" fontId="4" fillId="0" borderId="27" xfId="2" applyFont="1" applyBorder="1" applyAlignment="1">
      <alignment horizontal="center"/>
    </xf>
    <xf numFmtId="0" fontId="4" fillId="0" borderId="45" xfId="2" applyFont="1" applyBorder="1" applyAlignment="1">
      <alignment horizontal="center"/>
    </xf>
    <xf numFmtId="0" fontId="4" fillId="7" borderId="16" xfId="2" applyFont="1" applyFill="1" applyBorder="1"/>
    <xf numFmtId="0" fontId="1" fillId="0" borderId="22" xfId="0" applyFont="1" applyBorder="1"/>
    <xf numFmtId="0" fontId="0" fillId="0" borderId="25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22" xfId="0" applyBorder="1"/>
    <xf numFmtId="0" fontId="0" fillId="0" borderId="12" xfId="0" applyBorder="1"/>
    <xf numFmtId="0" fontId="0" fillId="0" borderId="25" xfId="0" applyBorder="1"/>
    <xf numFmtId="0" fontId="1" fillId="0" borderId="2" xfId="0" applyFont="1" applyBorder="1"/>
    <xf numFmtId="0" fontId="0" fillId="0" borderId="26" xfId="0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" xfId="0" applyBorder="1"/>
    <xf numFmtId="0" fontId="0" fillId="0" borderId="8" xfId="0" applyBorder="1"/>
    <xf numFmtId="0" fontId="0" fillId="0" borderId="26" xfId="0" applyBorder="1"/>
    <xf numFmtId="0" fontId="36" fillId="0" borderId="28" xfId="0" applyFont="1" applyBorder="1"/>
    <xf numFmtId="2" fontId="36" fillId="0" borderId="28" xfId="0" applyNumberFormat="1" applyFont="1" applyBorder="1"/>
    <xf numFmtId="0" fontId="32" fillId="0" borderId="28" xfId="0" applyFont="1" applyBorder="1"/>
    <xf numFmtId="0" fontId="32" fillId="0" borderId="1" xfId="0" applyFont="1" applyBorder="1"/>
    <xf numFmtId="0" fontId="0" fillId="0" borderId="28" xfId="0" applyBorder="1"/>
    <xf numFmtId="0" fontId="0" fillId="0" borderId="1" xfId="0" applyBorder="1"/>
    <xf numFmtId="166" fontId="0" fillId="0" borderId="28" xfId="0" applyNumberForma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36" fillId="0" borderId="26" xfId="0" applyFont="1" applyBorder="1"/>
    <xf numFmtId="0" fontId="8" fillId="0" borderId="14" xfId="2" applyFont="1" applyBorder="1" applyAlignment="1">
      <alignment horizontal="left"/>
    </xf>
    <xf numFmtId="0" fontId="8" fillId="0" borderId="49" xfId="2" applyFont="1" applyBorder="1" applyAlignment="1">
      <alignment horizontal="left"/>
    </xf>
    <xf numFmtId="0" fontId="4" fillId="0" borderId="50" xfId="2" applyFont="1" applyBorder="1" applyAlignment="1">
      <alignment horizontal="center"/>
    </xf>
    <xf numFmtId="0" fontId="4" fillId="0" borderId="51" xfId="2" applyFont="1" applyBorder="1" applyAlignment="1">
      <alignment horizontal="center"/>
    </xf>
    <xf numFmtId="0" fontId="4" fillId="0" borderId="48" xfId="2" applyFont="1" applyBorder="1"/>
    <xf numFmtId="0" fontId="0" fillId="0" borderId="1" xfId="0" applyBorder="1" applyAlignment="1">
      <alignment horizontal="right"/>
    </xf>
    <xf numFmtId="0" fontId="36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2" fontId="36" fillId="0" borderId="1" xfId="0" applyNumberFormat="1" applyFont="1" applyBorder="1" applyAlignment="1">
      <alignment horizontal="center"/>
    </xf>
    <xf numFmtId="2" fontId="36" fillId="0" borderId="1" xfId="0" applyNumberFormat="1" applyFont="1" applyBorder="1"/>
    <xf numFmtId="2" fontId="36" fillId="0" borderId="1" xfId="0" applyNumberFormat="1" applyFont="1" applyBorder="1" applyAlignment="1">
      <alignment horizontal="center" vertical="center"/>
    </xf>
    <xf numFmtId="165" fontId="36" fillId="0" borderId="1" xfId="0" applyNumberFormat="1" applyFont="1" applyBorder="1" applyAlignment="1">
      <alignment horizontal="center" vertical="center"/>
    </xf>
    <xf numFmtId="2" fontId="35" fillId="0" borderId="1" xfId="0" applyNumberFormat="1" applyFont="1" applyBorder="1" applyAlignment="1">
      <alignment horizontal="center"/>
    </xf>
    <xf numFmtId="0" fontId="31" fillId="0" borderId="1" xfId="0" applyFont="1" applyBorder="1"/>
    <xf numFmtId="165" fontId="31" fillId="0" borderId="1" xfId="0" applyNumberFormat="1" applyFont="1" applyBorder="1" applyAlignment="1">
      <alignment horizontal="center" vertical="center"/>
    </xf>
    <xf numFmtId="165" fontId="32" fillId="0" borderId="1" xfId="0" applyNumberFormat="1" applyFont="1" applyBorder="1" applyAlignment="1">
      <alignment horizontal="center" vertical="center"/>
    </xf>
    <xf numFmtId="2" fontId="31" fillId="0" borderId="1" xfId="0" applyNumberFormat="1" applyFont="1" applyBorder="1" applyAlignment="1">
      <alignment horizontal="center" vertical="center"/>
    </xf>
    <xf numFmtId="167" fontId="31" fillId="0" borderId="1" xfId="0" applyNumberFormat="1" applyFont="1" applyBorder="1" applyAlignment="1">
      <alignment horizontal="center"/>
    </xf>
    <xf numFmtId="166" fontId="31" fillId="0" borderId="1" xfId="0" applyNumberFormat="1" applyFont="1" applyBorder="1" applyAlignment="1">
      <alignment horizontal="center"/>
    </xf>
    <xf numFmtId="2" fontId="31" fillId="0" borderId="1" xfId="0" applyNumberFormat="1" applyFont="1" applyBorder="1" applyAlignment="1">
      <alignment horizontal="center"/>
    </xf>
    <xf numFmtId="2" fontId="32" fillId="0" borderId="1" xfId="0" applyNumberFormat="1" applyFont="1" applyBorder="1"/>
    <xf numFmtId="165" fontId="32" fillId="0" borderId="1" xfId="0" applyNumberFormat="1" applyFont="1" applyBorder="1" applyAlignment="1">
      <alignment horizontal="center"/>
    </xf>
    <xf numFmtId="11" fontId="0" fillId="0" borderId="1" xfId="0" applyNumberFormat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166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5" fontId="0" fillId="0" borderId="1" xfId="0" applyNumberFormat="1" applyBorder="1"/>
    <xf numFmtId="0" fontId="4" fillId="10" borderId="16" xfId="2" applyFont="1" applyFill="1" applyBorder="1"/>
    <xf numFmtId="164" fontId="9" fillId="10" borderId="40" xfId="2" applyNumberFormat="1" applyFont="1" applyFill="1" applyBorder="1" applyAlignment="1">
      <alignment horizontal="center"/>
    </xf>
    <xf numFmtId="164" fontId="9" fillId="10" borderId="11" xfId="2" applyNumberFormat="1" applyFont="1" applyFill="1" applyBorder="1" applyAlignment="1">
      <alignment horizontal="center"/>
    </xf>
    <xf numFmtId="164" fontId="9" fillId="10" borderId="28" xfId="2" applyNumberFormat="1" applyFont="1" applyFill="1" applyBorder="1" applyAlignment="1">
      <alignment horizontal="center"/>
    </xf>
    <xf numFmtId="2" fontId="9" fillId="10" borderId="11" xfId="2" applyNumberFormat="1" applyFont="1" applyFill="1" applyBorder="1" applyAlignment="1">
      <alignment horizontal="center"/>
    </xf>
    <xf numFmtId="2" fontId="9" fillId="10" borderId="28" xfId="2" applyNumberFormat="1" applyFont="1" applyFill="1" applyBorder="1" applyAlignment="1">
      <alignment horizontal="center"/>
    </xf>
    <xf numFmtId="166" fontId="9" fillId="10" borderId="19" xfId="2" applyNumberFormat="1" applyFont="1" applyFill="1" applyBorder="1" applyAlignment="1">
      <alignment horizontal="center"/>
    </xf>
    <xf numFmtId="166" fontId="4" fillId="10" borderId="19" xfId="2" applyNumberFormat="1" applyFont="1" applyFill="1" applyBorder="1" applyAlignment="1">
      <alignment horizontal="center"/>
    </xf>
    <xf numFmtId="166" fontId="9" fillId="10" borderId="37" xfId="2" applyNumberFormat="1" applyFont="1" applyFill="1" applyBorder="1" applyAlignment="1">
      <alignment horizontal="center"/>
    </xf>
    <xf numFmtId="166" fontId="9" fillId="10" borderId="39" xfId="2" applyNumberFormat="1" applyFont="1" applyFill="1" applyBorder="1" applyAlignment="1">
      <alignment horizontal="center"/>
    </xf>
    <xf numFmtId="166" fontId="9" fillId="10" borderId="41" xfId="2" applyNumberFormat="1" applyFont="1" applyFill="1" applyBorder="1" applyAlignment="1">
      <alignment horizontal="center"/>
    </xf>
    <xf numFmtId="0" fontId="6" fillId="10" borderId="40" xfId="2" applyFont="1" applyFill="1" applyBorder="1" applyAlignment="1">
      <alignment horizontal="center"/>
    </xf>
    <xf numFmtId="0" fontId="6" fillId="10" borderId="11" xfId="2" applyFont="1" applyFill="1" applyBorder="1" applyAlignment="1">
      <alignment horizontal="center"/>
    </xf>
    <xf numFmtId="0" fontId="6" fillId="10" borderId="28" xfId="2" applyFont="1" applyFill="1" applyBorder="1" applyAlignment="1">
      <alignment horizontal="center"/>
    </xf>
    <xf numFmtId="2" fontId="0" fillId="0" borderId="26" xfId="0" applyNumberFormat="1" applyBorder="1"/>
    <xf numFmtId="0" fontId="1" fillId="0" borderId="52" xfId="0" applyFont="1" applyBorder="1"/>
    <xf numFmtId="2" fontId="9" fillId="10" borderId="38" xfId="2" applyNumberFormat="1" applyFont="1" applyFill="1" applyBorder="1" applyAlignment="1">
      <alignment horizontal="center"/>
    </xf>
    <xf numFmtId="2" fontId="9" fillId="10" borderId="42" xfId="2" applyNumberFormat="1" applyFont="1" applyFill="1" applyBorder="1" applyAlignment="1">
      <alignment horizontal="center"/>
    </xf>
    <xf numFmtId="2" fontId="9" fillId="10" borderId="9" xfId="2" applyNumberFormat="1" applyFont="1" applyFill="1" applyBorder="1" applyAlignment="1">
      <alignment horizontal="center"/>
    </xf>
    <xf numFmtId="2" fontId="9" fillId="10" borderId="26" xfId="2" applyNumberFormat="1" applyFont="1" applyFill="1" applyBorder="1" applyAlignment="1">
      <alignment horizontal="center"/>
    </xf>
    <xf numFmtId="0" fontId="1" fillId="0" borderId="29" xfId="0" applyFont="1" applyBorder="1"/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36" fillId="0" borderId="28" xfId="0" applyNumberFormat="1" applyFont="1" applyBorder="1" applyAlignment="1">
      <alignment horizontal="center"/>
    </xf>
    <xf numFmtId="11" fontId="0" fillId="0" borderId="28" xfId="0" applyNumberFormat="1" applyBorder="1"/>
    <xf numFmtId="166" fontId="1" fillId="0" borderId="28" xfId="0" applyNumberFormat="1" applyFont="1" applyBorder="1" applyAlignment="1">
      <alignment horizontal="center" vertical="center"/>
    </xf>
    <xf numFmtId="2" fontId="0" fillId="0" borderId="28" xfId="0" applyNumberFormat="1" applyBorder="1"/>
    <xf numFmtId="2" fontId="36" fillId="0" borderId="28" xfId="0" applyNumberFormat="1" applyFont="1" applyBorder="1" applyAlignment="1">
      <alignment horizontal="center" vertical="center"/>
    </xf>
    <xf numFmtId="2" fontId="0" fillId="0" borderId="28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right"/>
    </xf>
    <xf numFmtId="0" fontId="1" fillId="0" borderId="54" xfId="0" applyFont="1" applyBorder="1" applyAlignment="1">
      <alignment horizontal="center"/>
    </xf>
    <xf numFmtId="0" fontId="0" fillId="0" borderId="54" xfId="0" applyBorder="1"/>
    <xf numFmtId="0" fontId="0" fillId="0" borderId="54" xfId="0" applyBorder="1" applyAlignment="1">
      <alignment horizontal="center" vertical="center"/>
    </xf>
    <xf numFmtId="2" fontId="0" fillId="0" borderId="54" xfId="0" applyNumberFormat="1" applyBorder="1" applyAlignment="1">
      <alignment horizontal="center" vertical="center"/>
    </xf>
    <xf numFmtId="2" fontId="36" fillId="0" borderId="54" xfId="0" applyNumberFormat="1" applyFont="1" applyBorder="1" applyAlignment="1">
      <alignment horizontal="center"/>
    </xf>
    <xf numFmtId="2" fontId="35" fillId="0" borderId="54" xfId="0" applyNumberFormat="1" applyFont="1" applyBorder="1" applyAlignment="1">
      <alignment horizontal="center"/>
    </xf>
    <xf numFmtId="2" fontId="36" fillId="0" borderId="54" xfId="0" applyNumberFormat="1" applyFont="1" applyBorder="1"/>
    <xf numFmtId="0" fontId="36" fillId="0" borderId="54" xfId="0" applyFont="1" applyBorder="1"/>
    <xf numFmtId="11" fontId="0" fillId="0" borderId="54" xfId="0" applyNumberFormat="1" applyBorder="1"/>
    <xf numFmtId="166" fontId="0" fillId="0" borderId="54" xfId="0" applyNumberFormat="1" applyBorder="1" applyAlignment="1">
      <alignment horizontal="center" vertical="center"/>
    </xf>
    <xf numFmtId="166" fontId="1" fillId="0" borderId="54" xfId="0" applyNumberFormat="1" applyFont="1" applyBorder="1" applyAlignment="1">
      <alignment horizontal="center" vertical="center"/>
    </xf>
    <xf numFmtId="2" fontId="0" fillId="0" borderId="54" xfId="0" applyNumberFormat="1" applyBorder="1"/>
    <xf numFmtId="2" fontId="36" fillId="0" borderId="54" xfId="0" applyNumberFormat="1" applyFont="1" applyBorder="1" applyAlignment="1">
      <alignment horizontal="center" vertical="center"/>
    </xf>
    <xf numFmtId="2" fontId="0" fillId="0" borderId="54" xfId="0" applyNumberFormat="1" applyBorder="1" applyAlignment="1">
      <alignment horizontal="center"/>
    </xf>
    <xf numFmtId="164" fontId="0" fillId="0" borderId="54" xfId="0" applyNumberFormat="1" applyBorder="1" applyAlignment="1">
      <alignment horizontal="center" vertical="center"/>
    </xf>
    <xf numFmtId="2" fontId="0" fillId="0" borderId="54" xfId="0" applyNumberFormat="1" applyBorder="1" applyAlignment="1">
      <alignment horizontal="right"/>
    </xf>
    <xf numFmtId="0" fontId="0" fillId="0" borderId="28" xfId="0" applyBorder="1" applyAlignment="1">
      <alignment horizontal="center"/>
    </xf>
    <xf numFmtId="0" fontId="0" fillId="0" borderId="54" xfId="0" applyBorder="1" applyAlignment="1">
      <alignment vertical="center"/>
    </xf>
    <xf numFmtId="166" fontId="36" fillId="0" borderId="54" xfId="0" applyNumberFormat="1" applyFont="1" applyBorder="1" applyAlignment="1">
      <alignment horizontal="center"/>
    </xf>
    <xf numFmtId="0" fontId="1" fillId="0" borderId="54" xfId="0" applyFont="1" applyBorder="1" applyAlignment="1">
      <alignment horizontal="center" vertical="center"/>
    </xf>
    <xf numFmtId="2" fontId="1" fillId="0" borderId="54" xfId="0" applyNumberFormat="1" applyFont="1" applyBorder="1" applyAlignment="1">
      <alignment horizontal="center"/>
    </xf>
    <xf numFmtId="0" fontId="31" fillId="0" borderId="28" xfId="0" applyFont="1" applyBorder="1"/>
    <xf numFmtId="2" fontId="32" fillId="0" borderId="28" xfId="0" applyNumberFormat="1" applyFont="1" applyBorder="1"/>
    <xf numFmtId="0" fontId="31" fillId="0" borderId="54" xfId="0" applyFont="1" applyBorder="1"/>
    <xf numFmtId="2" fontId="32" fillId="0" borderId="54" xfId="0" applyNumberFormat="1" applyFont="1" applyBorder="1"/>
    <xf numFmtId="0" fontId="32" fillId="0" borderId="54" xfId="0" applyFont="1" applyBorder="1"/>
    <xf numFmtId="165" fontId="32" fillId="0" borderId="28" xfId="0" applyNumberFormat="1" applyFont="1" applyBorder="1" applyAlignment="1">
      <alignment horizontal="center" vertical="center"/>
    </xf>
    <xf numFmtId="166" fontId="0" fillId="0" borderId="28" xfId="0" applyNumberFormat="1" applyBorder="1" applyAlignment="1">
      <alignment horizontal="center"/>
    </xf>
    <xf numFmtId="165" fontId="32" fillId="0" borderId="54" xfId="0" applyNumberFormat="1" applyFont="1" applyBorder="1" applyAlignment="1">
      <alignment horizontal="center" vertical="center"/>
    </xf>
    <xf numFmtId="0" fontId="1" fillId="0" borderId="54" xfId="0" applyFont="1" applyBorder="1"/>
    <xf numFmtId="166" fontId="0" fillId="0" borderId="54" xfId="0" applyNumberFormat="1" applyBorder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3" xfId="0" applyBorder="1"/>
    <xf numFmtId="0" fontId="0" fillId="0" borderId="55" xfId="0" applyBorder="1"/>
    <xf numFmtId="0" fontId="1" fillId="0" borderId="5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56" xfId="0" applyFont="1" applyBorder="1" applyAlignment="1">
      <alignment horizontal="right"/>
    </xf>
    <xf numFmtId="0" fontId="1" fillId="0" borderId="58" xfId="0" applyFont="1" applyBorder="1"/>
    <xf numFmtId="0" fontId="0" fillId="0" borderId="59" xfId="0" applyBorder="1"/>
    <xf numFmtId="0" fontId="0" fillId="0" borderId="56" xfId="0" applyBorder="1"/>
    <xf numFmtId="0" fontId="1" fillId="0" borderId="55" xfId="0" applyFont="1" applyBorder="1" applyAlignment="1">
      <alignment horizontal="center"/>
    </xf>
    <xf numFmtId="0" fontId="36" fillId="0" borderId="8" xfId="0" applyFont="1" applyBorder="1"/>
    <xf numFmtId="164" fontId="36" fillId="0" borderId="53" xfId="0" applyNumberFormat="1" applyFont="1" applyBorder="1" applyAlignment="1">
      <alignment horizontal="center"/>
    </xf>
    <xf numFmtId="164" fontId="36" fillId="0" borderId="8" xfId="0" applyNumberFormat="1" applyFont="1" applyBorder="1" applyAlignment="1">
      <alignment horizontal="center"/>
    </xf>
    <xf numFmtId="164" fontId="36" fillId="0" borderId="54" xfId="0" applyNumberFormat="1" applyFont="1" applyBorder="1" applyAlignment="1">
      <alignment horizontal="center"/>
    </xf>
    <xf numFmtId="164" fontId="36" fillId="0" borderId="1" xfId="0" applyNumberFormat="1" applyFont="1" applyBorder="1" applyAlignment="1">
      <alignment horizontal="center"/>
    </xf>
    <xf numFmtId="0" fontId="1" fillId="0" borderId="61" xfId="0" applyFont="1" applyBorder="1"/>
    <xf numFmtId="164" fontId="0" fillId="0" borderId="55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6" xfId="0" applyFont="1" applyBorder="1"/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0" fillId="0" borderId="58" xfId="0" applyBorder="1"/>
    <xf numFmtId="0" fontId="0" fillId="0" borderId="57" xfId="0" applyBorder="1"/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1" fontId="0" fillId="0" borderId="8" xfId="0" applyNumberFormat="1" applyBorder="1"/>
    <xf numFmtId="2" fontId="0" fillId="0" borderId="8" xfId="0" applyNumberFormat="1" applyBorder="1" applyAlignment="1">
      <alignment horizontal="center" vertical="center"/>
    </xf>
    <xf numFmtId="2" fontId="0" fillId="0" borderId="53" xfId="0" applyNumberFormat="1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0" fillId="0" borderId="12" xfId="0" applyBorder="1" applyAlignment="1">
      <alignment vertical="center"/>
    </xf>
    <xf numFmtId="2" fontId="0" fillId="0" borderId="12" xfId="0" applyNumberFormat="1" applyBorder="1" applyAlignment="1">
      <alignment horizontal="center" vertical="center"/>
    </xf>
    <xf numFmtId="2" fontId="0" fillId="0" borderId="55" xfId="0" applyNumberForma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1" fillId="0" borderId="57" xfId="0" applyFont="1" applyBorder="1" applyAlignment="1">
      <alignment horizontal="left" vertical="center"/>
    </xf>
    <xf numFmtId="0" fontId="0" fillId="0" borderId="57" xfId="0" applyBorder="1" applyAlignment="1">
      <alignment horizontal="center" vertical="center"/>
    </xf>
    <xf numFmtId="2" fontId="0" fillId="0" borderId="8" xfId="0" applyNumberFormat="1" applyBorder="1"/>
    <xf numFmtId="2" fontId="0" fillId="0" borderId="53" xfId="0" applyNumberFormat="1" applyBorder="1"/>
    <xf numFmtId="2" fontId="0" fillId="0" borderId="8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53" xfId="0" applyNumberFormat="1" applyBorder="1" applyAlignment="1">
      <alignment horizontal="center"/>
    </xf>
    <xf numFmtId="2" fontId="0" fillId="0" borderId="58" xfId="0" applyNumberFormat="1" applyBorder="1" applyAlignment="1">
      <alignment horizontal="center"/>
    </xf>
    <xf numFmtId="2" fontId="0" fillId="0" borderId="59" xfId="0" applyNumberFormat="1" applyBorder="1" applyAlignment="1">
      <alignment horizontal="center"/>
    </xf>
    <xf numFmtId="2" fontId="0" fillId="0" borderId="57" xfId="0" applyNumberFormat="1" applyBorder="1" applyAlignment="1">
      <alignment horizontal="center"/>
    </xf>
    <xf numFmtId="2" fontId="0" fillId="0" borderId="58" xfId="0" applyNumberFormat="1" applyBorder="1" applyAlignment="1">
      <alignment horizontal="center" vertical="center"/>
    </xf>
    <xf numFmtId="2" fontId="0" fillId="0" borderId="59" xfId="0" applyNumberFormat="1" applyBorder="1" applyAlignment="1">
      <alignment horizontal="center" vertical="center"/>
    </xf>
    <xf numFmtId="2" fontId="0" fillId="0" borderId="57" xfId="0" applyNumberFormat="1" applyBorder="1" applyAlignment="1">
      <alignment horizontal="center" vertical="center"/>
    </xf>
    <xf numFmtId="0" fontId="43" fillId="0" borderId="1" xfId="0" applyFont="1" applyBorder="1"/>
    <xf numFmtId="16" fontId="0" fillId="0" borderId="1" xfId="0" applyNumberFormat="1" applyBorder="1"/>
    <xf numFmtId="2" fontId="1" fillId="0" borderId="1" xfId="0" applyNumberFormat="1" applyFont="1" applyBorder="1" applyAlignment="1">
      <alignment horizontal="center"/>
    </xf>
    <xf numFmtId="0" fontId="35" fillId="0" borderId="1" xfId="0" applyFont="1" applyBorder="1"/>
    <xf numFmtId="16" fontId="0" fillId="0" borderId="28" xfId="0" applyNumberFormat="1" applyBorder="1"/>
    <xf numFmtId="0" fontId="35" fillId="0" borderId="1" xfId="0" applyFont="1" applyBorder="1" applyAlignment="1">
      <alignment horizontal="center"/>
    </xf>
    <xf numFmtId="0" fontId="30" fillId="0" borderId="1" xfId="0" applyFont="1" applyBorder="1"/>
    <xf numFmtId="0" fontId="45" fillId="0" borderId="1" xfId="0" applyFont="1" applyBorder="1"/>
    <xf numFmtId="0" fontId="44" fillId="0" borderId="1" xfId="0" applyFont="1" applyBorder="1"/>
    <xf numFmtId="0" fontId="46" fillId="0" borderId="1" xfId="0" applyFont="1" applyBorder="1"/>
    <xf numFmtId="0" fontId="47" fillId="0" borderId="1" xfId="0" applyFont="1" applyBorder="1"/>
    <xf numFmtId="165" fontId="36" fillId="0" borderId="1" xfId="0" applyNumberFormat="1" applyFont="1" applyBorder="1" applyAlignment="1">
      <alignment horizontal="center"/>
    </xf>
    <xf numFmtId="165" fontId="31" fillId="0" borderId="1" xfId="0" applyNumberFormat="1" applyFont="1" applyBorder="1" applyAlignment="1">
      <alignment horizontal="center"/>
    </xf>
    <xf numFmtId="0" fontId="48" fillId="0" borderId="1" xfId="0" applyFont="1" applyBorder="1"/>
    <xf numFmtId="0" fontId="49" fillId="0" borderId="1" xfId="0" applyFont="1" applyBorder="1"/>
    <xf numFmtId="0" fontId="0" fillId="3" borderId="1" xfId="0" applyFill="1" applyBorder="1"/>
    <xf numFmtId="0" fontId="40" fillId="0" borderId="1" xfId="0" applyFont="1" applyBorder="1"/>
    <xf numFmtId="0" fontId="36" fillId="3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2" fontId="36" fillId="3" borderId="1" xfId="0" applyNumberFormat="1" applyFont="1" applyFill="1" applyBorder="1"/>
    <xf numFmtId="0" fontId="36" fillId="0" borderId="1" xfId="0" applyFont="1" applyBorder="1" applyAlignment="1">
      <alignment horizontal="right"/>
    </xf>
    <xf numFmtId="2" fontId="36" fillId="3" borderId="1" xfId="0" applyNumberFormat="1" applyFont="1" applyFill="1" applyBorder="1" applyAlignment="1">
      <alignment horizontal="center" vertical="center"/>
    </xf>
    <xf numFmtId="0" fontId="31" fillId="3" borderId="1" xfId="0" applyFont="1" applyFill="1" applyBorder="1"/>
    <xf numFmtId="0" fontId="32" fillId="3" borderId="1" xfId="0" applyFont="1" applyFill="1" applyBorder="1"/>
    <xf numFmtId="0" fontId="32" fillId="0" borderId="1" xfId="0" applyFont="1" applyBorder="1" applyAlignment="1">
      <alignment horizontal="right"/>
    </xf>
    <xf numFmtId="0" fontId="31" fillId="3" borderId="1" xfId="0" applyFont="1" applyFill="1" applyBorder="1" applyAlignment="1">
      <alignment horizontal="center" vertical="center"/>
    </xf>
    <xf numFmtId="2" fontId="32" fillId="3" borderId="1" xfId="0" applyNumberFormat="1" applyFont="1" applyFill="1" applyBorder="1"/>
    <xf numFmtId="2" fontId="0" fillId="3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11" fontId="0" fillId="3" borderId="1" xfId="0" applyNumberFormat="1" applyFill="1" applyBorder="1"/>
    <xf numFmtId="166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/>
    <xf numFmtId="166" fontId="1" fillId="3" borderId="1" xfId="0" applyNumberFormat="1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/>
    <xf numFmtId="0" fontId="42" fillId="0" borderId="54" xfId="0" applyFont="1" applyBorder="1"/>
    <xf numFmtId="16" fontId="0" fillId="0" borderId="54" xfId="0" applyNumberFormat="1" applyBorder="1"/>
    <xf numFmtId="0" fontId="0" fillId="3" borderId="28" xfId="0" applyFill="1" applyBorder="1"/>
    <xf numFmtId="0" fontId="36" fillId="3" borderId="28" xfId="0" applyFont="1" applyFill="1" applyBorder="1"/>
    <xf numFmtId="0" fontId="0" fillId="3" borderId="28" xfId="0" applyFill="1" applyBorder="1" applyAlignment="1">
      <alignment horizontal="center" vertical="center"/>
    </xf>
    <xf numFmtId="2" fontId="36" fillId="3" borderId="28" xfId="0" applyNumberFormat="1" applyFont="1" applyFill="1" applyBorder="1"/>
    <xf numFmtId="0" fontId="31" fillId="3" borderId="28" xfId="0" applyFont="1" applyFill="1" applyBorder="1"/>
    <xf numFmtId="2" fontId="32" fillId="3" borderId="28" xfId="0" applyNumberFormat="1" applyFont="1" applyFill="1" applyBorder="1"/>
    <xf numFmtId="0" fontId="32" fillId="3" borderId="28" xfId="0" applyFont="1" applyFill="1" applyBorder="1"/>
    <xf numFmtId="2" fontId="0" fillId="3" borderId="28" xfId="0" applyNumberFormat="1" applyFill="1" applyBorder="1" applyAlignment="1">
      <alignment horizontal="center" vertical="center"/>
    </xf>
    <xf numFmtId="11" fontId="0" fillId="3" borderId="28" xfId="0" applyNumberFormat="1" applyFill="1" applyBorder="1"/>
    <xf numFmtId="166" fontId="0" fillId="3" borderId="28" xfId="0" applyNumberFormat="1" applyFill="1" applyBorder="1" applyAlignment="1">
      <alignment horizontal="center" vertical="center"/>
    </xf>
    <xf numFmtId="166" fontId="1" fillId="3" borderId="28" xfId="0" applyNumberFormat="1" applyFont="1" applyFill="1" applyBorder="1" applyAlignment="1">
      <alignment horizontal="center" vertical="center"/>
    </xf>
    <xf numFmtId="2" fontId="0" fillId="3" borderId="28" xfId="0" applyNumberFormat="1" applyFill="1" applyBorder="1"/>
    <xf numFmtId="0" fontId="35" fillId="0" borderId="54" xfId="0" applyFont="1" applyBorder="1"/>
    <xf numFmtId="0" fontId="38" fillId="0" borderId="54" xfId="0" applyFont="1" applyBorder="1"/>
    <xf numFmtId="16" fontId="0" fillId="0" borderId="55" xfId="0" applyNumberFormat="1" applyBorder="1"/>
    <xf numFmtId="16" fontId="0" fillId="0" borderId="12" xfId="0" applyNumberFormat="1" applyBorder="1"/>
    <xf numFmtId="16" fontId="0" fillId="0" borderId="25" xfId="0" applyNumberFormat="1" applyBorder="1"/>
    <xf numFmtId="16" fontId="0" fillId="3" borderId="25" xfId="0" applyNumberFormat="1" applyFill="1" applyBorder="1"/>
    <xf numFmtId="16" fontId="0" fillId="3" borderId="12" xfId="0" applyNumberFormat="1" applyFill="1" applyBorder="1"/>
    <xf numFmtId="0" fontId="0" fillId="3" borderId="12" xfId="0" applyFill="1" applyBorder="1"/>
    <xf numFmtId="0" fontId="0" fillId="0" borderId="12" xfId="0" applyBorder="1" applyAlignment="1">
      <alignment horizontal="right"/>
    </xf>
    <xf numFmtId="0" fontId="1" fillId="0" borderId="50" xfId="0" applyFont="1" applyBorder="1"/>
    <xf numFmtId="0" fontId="0" fillId="0" borderId="50" xfId="0" applyBorder="1"/>
    <xf numFmtId="0" fontId="1" fillId="0" borderId="50" xfId="0" applyFont="1" applyBorder="1" applyAlignment="1">
      <alignment horizontal="right"/>
    </xf>
    <xf numFmtId="0" fontId="0" fillId="3" borderId="26" xfId="0" applyFill="1" applyBorder="1"/>
    <xf numFmtId="0" fontId="1" fillId="0" borderId="8" xfId="0" applyFont="1" applyBorder="1" applyAlignment="1">
      <alignment horizontal="right"/>
    </xf>
    <xf numFmtId="0" fontId="1" fillId="3" borderId="59" xfId="0" applyFont="1" applyFill="1" applyBorder="1"/>
    <xf numFmtId="0" fontId="1" fillId="3" borderId="58" xfId="0" applyFont="1" applyFill="1" applyBorder="1"/>
    <xf numFmtId="16" fontId="0" fillId="3" borderId="58" xfId="0" applyNumberFormat="1" applyFill="1" applyBorder="1"/>
    <xf numFmtId="0" fontId="1" fillId="0" borderId="58" xfId="0" applyFont="1" applyBorder="1" applyAlignment="1">
      <alignment horizontal="right"/>
    </xf>
    <xf numFmtId="0" fontId="42" fillId="2" borderId="54" xfId="0" applyFont="1" applyFill="1" applyBorder="1"/>
    <xf numFmtId="0" fontId="43" fillId="2" borderId="1" xfId="0" applyFont="1" applyFill="1" applyBorder="1"/>
    <xf numFmtId="0" fontId="0" fillId="3" borderId="25" xfId="0" applyFill="1" applyBorder="1"/>
    <xf numFmtId="0" fontId="0" fillId="3" borderId="12" xfId="0" applyFill="1" applyBorder="1" applyAlignment="1">
      <alignment horizontal="center" vertical="center"/>
    </xf>
    <xf numFmtId="0" fontId="1" fillId="0" borderId="12" xfId="0" applyFont="1" applyBorder="1" applyAlignment="1">
      <alignment horizontal="right"/>
    </xf>
    <xf numFmtId="0" fontId="1" fillId="0" borderId="62" xfId="0" applyFont="1" applyBorder="1" applyAlignment="1">
      <alignment horizontal="center"/>
    </xf>
    <xf numFmtId="0" fontId="0" fillId="3" borderId="51" xfId="0" applyFill="1" applyBorder="1"/>
    <xf numFmtId="0" fontId="0" fillId="0" borderId="62" xfId="0" applyBorder="1"/>
    <xf numFmtId="0" fontId="0" fillId="3" borderId="50" xfId="0" applyFill="1" applyBorder="1"/>
    <xf numFmtId="0" fontId="1" fillId="0" borderId="50" xfId="0" applyFont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0" borderId="50" xfId="0" applyBorder="1" applyAlignment="1">
      <alignment horizontal="right"/>
    </xf>
    <xf numFmtId="0" fontId="0" fillId="3" borderId="8" xfId="0" applyFill="1" applyBorder="1"/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right"/>
    </xf>
    <xf numFmtId="0" fontId="0" fillId="3" borderId="59" xfId="0" applyFill="1" applyBorder="1"/>
    <xf numFmtId="0" fontId="0" fillId="3" borderId="58" xfId="0" applyFill="1" applyBorder="1"/>
    <xf numFmtId="0" fontId="0" fillId="3" borderId="58" xfId="0" applyFill="1" applyBorder="1" applyAlignment="1">
      <alignment horizontal="center" vertical="center"/>
    </xf>
    <xf numFmtId="0" fontId="0" fillId="0" borderId="58" xfId="0" applyBorder="1" applyAlignment="1">
      <alignment horizontal="right"/>
    </xf>
    <xf numFmtId="0" fontId="36" fillId="3" borderId="26" xfId="0" applyFont="1" applyFill="1" applyBorder="1"/>
    <xf numFmtId="0" fontId="36" fillId="0" borderId="53" xfId="0" applyFont="1" applyBorder="1"/>
    <xf numFmtId="164" fontId="0" fillId="0" borderId="8" xfId="0" applyNumberFormat="1" applyBorder="1" applyAlignment="1">
      <alignment horizontal="center" vertical="center"/>
    </xf>
    <xf numFmtId="0" fontId="0" fillId="0" borderId="53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3" borderId="26" xfId="0" applyFill="1" applyBorder="1" applyAlignment="1">
      <alignment horizontal="center" vertical="center"/>
    </xf>
    <xf numFmtId="0" fontId="1" fillId="0" borderId="66" xfId="0" applyFont="1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3" borderId="69" xfId="0" applyFill="1" applyBorder="1"/>
    <xf numFmtId="0" fontId="0" fillId="3" borderId="68" xfId="0" applyFill="1" applyBorder="1"/>
    <xf numFmtId="0" fontId="0" fillId="0" borderId="68" xfId="0" applyBorder="1" applyAlignment="1">
      <alignment horizontal="right"/>
    </xf>
    <xf numFmtId="0" fontId="0" fillId="0" borderId="66" xfId="0" applyBorder="1"/>
    <xf numFmtId="0" fontId="0" fillId="3" borderId="68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2" fontId="0" fillId="0" borderId="50" xfId="0" applyNumberFormat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2" fontId="0" fillId="0" borderId="68" xfId="0" applyNumberFormat="1" applyBorder="1" applyAlignment="1">
      <alignment horizontal="center"/>
    </xf>
    <xf numFmtId="2" fontId="0" fillId="0" borderId="55" xfId="0" applyNumberFormat="1" applyBorder="1"/>
    <xf numFmtId="2" fontId="0" fillId="0" borderId="12" xfId="0" applyNumberFormat="1" applyBorder="1"/>
    <xf numFmtId="2" fontId="0" fillId="0" borderId="25" xfId="0" applyNumberFormat="1" applyBorder="1"/>
    <xf numFmtId="2" fontId="0" fillId="0" borderId="62" xfId="0" applyNumberFormat="1" applyBorder="1" applyAlignment="1">
      <alignment horizontal="center" vertical="center"/>
    </xf>
    <xf numFmtId="2" fontId="0" fillId="0" borderId="51" xfId="0" applyNumberFormat="1" applyBorder="1" applyAlignment="1">
      <alignment horizontal="center" vertical="center"/>
    </xf>
    <xf numFmtId="0" fontId="0" fillId="0" borderId="51" xfId="0" applyBorder="1"/>
    <xf numFmtId="2" fontId="0" fillId="0" borderId="67" xfId="0" applyNumberForma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6" fontId="0" fillId="0" borderId="12" xfId="0" applyNumberFormat="1" applyBorder="1"/>
    <xf numFmtId="0" fontId="1" fillId="0" borderId="48" xfId="0" applyFont="1" applyBorder="1"/>
    <xf numFmtId="0" fontId="0" fillId="2" borderId="50" xfId="0" applyFill="1" applyBorder="1" applyAlignment="1">
      <alignment horizontal="center" vertical="center"/>
    </xf>
    <xf numFmtId="0" fontId="0" fillId="2" borderId="62" xfId="0" applyFill="1" applyBorder="1" applyAlignment="1">
      <alignment horizontal="center" vertical="center"/>
    </xf>
    <xf numFmtId="166" fontId="0" fillId="0" borderId="50" xfId="0" applyNumberFormat="1" applyBorder="1" applyAlignment="1">
      <alignment horizontal="center" vertical="center"/>
    </xf>
    <xf numFmtId="0" fontId="0" fillId="0" borderId="48" xfId="0" applyBorder="1"/>
    <xf numFmtId="0" fontId="32" fillId="0" borderId="12" xfId="0" applyFont="1" applyBorder="1"/>
    <xf numFmtId="0" fontId="32" fillId="3" borderId="25" xfId="0" applyFont="1" applyFill="1" applyBorder="1"/>
    <xf numFmtId="0" fontId="32" fillId="0" borderId="55" xfId="0" applyFont="1" applyBorder="1"/>
    <xf numFmtId="0" fontId="32" fillId="0" borderId="25" xfId="0" applyFont="1" applyBorder="1"/>
    <xf numFmtId="0" fontId="32" fillId="3" borderId="12" xfId="0" applyFont="1" applyFill="1" applyBorder="1"/>
    <xf numFmtId="0" fontId="32" fillId="0" borderId="12" xfId="0" applyFont="1" applyBorder="1" applyAlignment="1">
      <alignment horizontal="right"/>
    </xf>
    <xf numFmtId="2" fontId="0" fillId="3" borderId="26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0" borderId="8" xfId="0" applyNumberFormat="1" applyBorder="1" applyAlignment="1">
      <alignment horizontal="right" vertical="center"/>
    </xf>
    <xf numFmtId="0" fontId="35" fillId="0" borderId="56" xfId="0" applyFont="1" applyBorder="1"/>
    <xf numFmtId="0" fontId="36" fillId="0" borderId="57" xfId="0" applyFont="1" applyBorder="1"/>
    <xf numFmtId="2" fontId="36" fillId="0" borderId="58" xfId="0" applyNumberFormat="1" applyFont="1" applyBorder="1"/>
    <xf numFmtId="2" fontId="36" fillId="0" borderId="57" xfId="0" applyNumberFormat="1" applyFont="1" applyBorder="1"/>
    <xf numFmtId="0" fontId="32" fillId="0" borderId="58" xfId="0" applyFont="1" applyBorder="1"/>
    <xf numFmtId="0" fontId="32" fillId="3" borderId="59" xfId="0" applyFont="1" applyFill="1" applyBorder="1"/>
    <xf numFmtId="0" fontId="32" fillId="0" borderId="57" xfId="0" applyFont="1" applyBorder="1"/>
    <xf numFmtId="0" fontId="32" fillId="0" borderId="59" xfId="0" applyFont="1" applyBorder="1"/>
    <xf numFmtId="0" fontId="32" fillId="3" borderId="58" xfId="0" applyFont="1" applyFill="1" applyBorder="1"/>
    <xf numFmtId="0" fontId="32" fillId="0" borderId="58" xfId="0" applyFont="1" applyBorder="1" applyAlignment="1">
      <alignment horizontal="right"/>
    </xf>
    <xf numFmtId="0" fontId="32" fillId="0" borderId="56" xfId="0" applyFont="1" applyBorder="1"/>
    <xf numFmtId="2" fontId="1" fillId="0" borderId="55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25" xfId="0" applyNumberFormat="1" applyFont="1" applyBorder="1" applyAlignment="1">
      <alignment horizontal="center" vertical="center"/>
    </xf>
    <xf numFmtId="2" fontId="1" fillId="3" borderId="25" xfId="0" applyNumberFormat="1" applyFont="1" applyFill="1" applyBorder="1" applyAlignment="1">
      <alignment horizontal="center" vertical="center"/>
    </xf>
    <xf numFmtId="2" fontId="1" fillId="3" borderId="12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1" fontId="1" fillId="0" borderId="12" xfId="0" applyNumberFormat="1" applyFont="1" applyBorder="1"/>
    <xf numFmtId="11" fontId="1" fillId="3" borderId="12" xfId="0" applyNumberFormat="1" applyFont="1" applyFill="1" applyBorder="1"/>
    <xf numFmtId="166" fontId="0" fillId="0" borderId="53" xfId="0" applyNumberFormat="1" applyBorder="1" applyAlignment="1">
      <alignment horizontal="center" vertical="center"/>
    </xf>
    <xf numFmtId="166" fontId="0" fillId="0" borderId="26" xfId="0" applyNumberFormat="1" applyBorder="1" applyAlignment="1">
      <alignment horizontal="center" vertical="center"/>
    </xf>
    <xf numFmtId="166" fontId="0" fillId="3" borderId="26" xfId="0" applyNumberFormat="1" applyFill="1" applyBorder="1" applyAlignment="1">
      <alignment horizontal="center" vertical="center"/>
    </xf>
    <xf numFmtId="166" fontId="0" fillId="3" borderId="8" xfId="0" applyNumberFormat="1" applyFill="1" applyBorder="1" applyAlignment="1">
      <alignment horizontal="center" vertical="center"/>
    </xf>
    <xf numFmtId="2" fontId="0" fillId="3" borderId="8" xfId="0" applyNumberFormat="1" applyFill="1" applyBorder="1"/>
    <xf numFmtId="2" fontId="0" fillId="0" borderId="8" xfId="0" applyNumberFormat="1" applyBorder="1" applyAlignment="1">
      <alignment horizontal="right"/>
    </xf>
    <xf numFmtId="166" fontId="0" fillId="0" borderId="62" xfId="0" applyNumberFormat="1" applyBorder="1" applyAlignment="1">
      <alignment horizontal="center" vertical="center"/>
    </xf>
    <xf numFmtId="166" fontId="0" fillId="0" borderId="51" xfId="0" applyNumberFormat="1" applyBorder="1" applyAlignment="1">
      <alignment horizontal="center" vertical="center"/>
    </xf>
    <xf numFmtId="166" fontId="0" fillId="3" borderId="51" xfId="0" applyNumberFormat="1" applyFill="1" applyBorder="1" applyAlignment="1">
      <alignment horizontal="center" vertical="center"/>
    </xf>
    <xf numFmtId="166" fontId="0" fillId="3" borderId="50" xfId="0" applyNumberFormat="1" applyFill="1" applyBorder="1" applyAlignment="1">
      <alignment horizontal="center" vertical="center"/>
    </xf>
    <xf numFmtId="166" fontId="0" fillId="0" borderId="67" xfId="0" applyNumberFormat="1" applyBorder="1" applyAlignment="1">
      <alignment horizontal="center" vertical="center"/>
    </xf>
    <xf numFmtId="166" fontId="0" fillId="0" borderId="68" xfId="0" applyNumberFormat="1" applyBorder="1" applyAlignment="1">
      <alignment horizontal="center" vertical="center"/>
    </xf>
    <xf numFmtId="166" fontId="0" fillId="0" borderId="69" xfId="0" applyNumberFormat="1" applyBorder="1" applyAlignment="1">
      <alignment horizontal="center" vertical="center"/>
    </xf>
    <xf numFmtId="166" fontId="0" fillId="3" borderId="69" xfId="0" applyNumberFormat="1" applyFill="1" applyBorder="1" applyAlignment="1">
      <alignment horizontal="center" vertical="center"/>
    </xf>
    <xf numFmtId="166" fontId="0" fillId="3" borderId="68" xfId="0" applyNumberFormat="1" applyFill="1" applyBorder="1" applyAlignment="1">
      <alignment horizontal="center" vertical="center"/>
    </xf>
    <xf numFmtId="166" fontId="0" fillId="0" borderId="55" xfId="0" applyNumberFormat="1" applyBorder="1" applyAlignment="1">
      <alignment horizontal="center" vertical="center"/>
    </xf>
    <xf numFmtId="166" fontId="0" fillId="0" borderId="25" xfId="0" applyNumberFormat="1" applyBorder="1" applyAlignment="1">
      <alignment horizontal="center" vertical="center"/>
    </xf>
    <xf numFmtId="166" fontId="0" fillId="3" borderId="25" xfId="0" applyNumberFormat="1" applyFill="1" applyBorder="1" applyAlignment="1">
      <alignment horizontal="center" vertical="center"/>
    </xf>
    <xf numFmtId="166" fontId="0" fillId="3" borderId="12" xfId="0" applyNumberFormat="1" applyFill="1" applyBorder="1" applyAlignment="1">
      <alignment horizontal="center" vertical="center"/>
    </xf>
    <xf numFmtId="0" fontId="1" fillId="0" borderId="12" xfId="0" applyFont="1" applyBorder="1"/>
    <xf numFmtId="0" fontId="1" fillId="0" borderId="68" xfId="0" applyFont="1" applyBorder="1"/>
    <xf numFmtId="0" fontId="1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3" borderId="12" xfId="0" applyNumberForma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0" fillId="0" borderId="50" xfId="0" applyBorder="1" applyAlignment="1">
      <alignment horizontal="center"/>
    </xf>
    <xf numFmtId="166" fontId="0" fillId="0" borderId="8" xfId="0" applyNumberFormat="1" applyBorder="1" applyAlignment="1">
      <alignment vertical="center"/>
    </xf>
    <xf numFmtId="0" fontId="1" fillId="0" borderId="67" xfId="0" applyFont="1" applyBorder="1" applyAlignment="1">
      <alignment horizontal="center" vertical="center"/>
    </xf>
    <xf numFmtId="0" fontId="0" fillId="0" borderId="68" xfId="0" applyBorder="1" applyAlignment="1">
      <alignment horizontal="center"/>
    </xf>
    <xf numFmtId="0" fontId="1" fillId="0" borderId="68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/>
    </xf>
    <xf numFmtId="165" fontId="0" fillId="0" borderId="50" xfId="0" applyNumberFormat="1" applyBorder="1" applyAlignment="1">
      <alignment horizontal="center" vertical="center"/>
    </xf>
    <xf numFmtId="0" fontId="33" fillId="0" borderId="0" xfId="0" applyFont="1"/>
    <xf numFmtId="165" fontId="0" fillId="0" borderId="8" xfId="0" applyNumberFormat="1" applyBorder="1" applyAlignment="1">
      <alignment horizontal="center" vertical="center"/>
    </xf>
    <xf numFmtId="0" fontId="1" fillId="0" borderId="68" xfId="0" applyFont="1" applyBorder="1" applyAlignment="1">
      <alignment horizontal="right"/>
    </xf>
    <xf numFmtId="165" fontId="0" fillId="0" borderId="68" xfId="0" applyNumberFormat="1" applyBorder="1" applyAlignment="1">
      <alignment horizontal="center" vertical="center"/>
    </xf>
    <xf numFmtId="0" fontId="33" fillId="0" borderId="48" xfId="0" applyFont="1" applyBorder="1"/>
    <xf numFmtId="9" fontId="1" fillId="0" borderId="0" xfId="0" quotePrefix="1" applyNumberFormat="1" applyFont="1" applyAlignment="1">
      <alignment horizontal="right"/>
    </xf>
    <xf numFmtId="9" fontId="1" fillId="0" borderId="66" xfId="0" applyNumberFormat="1" applyFont="1" applyBorder="1" applyAlignment="1">
      <alignment horizontal="right"/>
    </xf>
    <xf numFmtId="9" fontId="1" fillId="0" borderId="48" xfId="0" applyNumberFormat="1" applyFont="1" applyBorder="1"/>
    <xf numFmtId="9" fontId="1" fillId="0" borderId="0" xfId="0" applyNumberFormat="1" applyFont="1" applyAlignment="1">
      <alignment horizontal="right"/>
    </xf>
    <xf numFmtId="9" fontId="34" fillId="0" borderId="0" xfId="0" applyNumberFormat="1" applyFont="1"/>
    <xf numFmtId="9" fontId="1" fillId="0" borderId="48" xfId="0" applyNumberFormat="1" applyFont="1" applyBorder="1" applyAlignment="1">
      <alignment wrapText="1"/>
    </xf>
    <xf numFmtId="2" fontId="0" fillId="0" borderId="67" xfId="0" applyNumberFormat="1" applyBorder="1" applyAlignment="1">
      <alignment horizontal="center"/>
    </xf>
    <xf numFmtId="0" fontId="35" fillId="0" borderId="54" xfId="0" applyFont="1" applyBorder="1" applyAlignment="1">
      <alignment horizontal="center"/>
    </xf>
    <xf numFmtId="0" fontId="45" fillId="0" borderId="28" xfId="0" applyFont="1" applyBorder="1"/>
    <xf numFmtId="164" fontId="0" fillId="0" borderId="26" xfId="0" applyNumberFormat="1" applyBorder="1" applyAlignment="1">
      <alignment horizontal="center" vertical="center"/>
    </xf>
    <xf numFmtId="0" fontId="30" fillId="0" borderId="54" xfId="0" applyFont="1" applyBorder="1"/>
    <xf numFmtId="164" fontId="0" fillId="0" borderId="53" xfId="0" applyNumberFormat="1" applyBorder="1" applyAlignment="1">
      <alignment horizontal="center" vertical="center"/>
    </xf>
    <xf numFmtId="0" fontId="35" fillId="17" borderId="0" xfId="0" applyFont="1" applyFill="1"/>
    <xf numFmtId="0" fontId="1" fillId="18" borderId="61" xfId="0" applyFont="1" applyFill="1" applyBorder="1"/>
    <xf numFmtId="2" fontId="0" fillId="0" borderId="71" xfId="0" applyNumberFormat="1" applyBorder="1" applyAlignment="1">
      <alignment horizontal="center" vertical="center"/>
    </xf>
    <xf numFmtId="9" fontId="34" fillId="0" borderId="70" xfId="0" applyNumberFormat="1" applyFont="1" applyBorder="1"/>
    <xf numFmtId="2" fontId="0" fillId="0" borderId="72" xfId="0" applyNumberFormat="1" applyBorder="1" applyAlignment="1">
      <alignment horizontal="center" vertical="center"/>
    </xf>
    <xf numFmtId="2" fontId="0" fillId="0" borderId="73" xfId="0" applyNumberFormat="1" applyBorder="1" applyAlignment="1">
      <alignment horizontal="center" vertical="center"/>
    </xf>
    <xf numFmtId="166" fontId="9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" fillId="18" borderId="0" xfId="0" applyFont="1" applyFill="1"/>
    <xf numFmtId="14" fontId="5" fillId="0" borderId="45" xfId="2" applyNumberFormat="1" applyFont="1" applyBorder="1" applyAlignment="1">
      <alignment horizontal="center"/>
    </xf>
    <xf numFmtId="14" fontId="7" fillId="4" borderId="20" xfId="2" applyNumberFormat="1" applyFont="1" applyFill="1" applyBorder="1" applyAlignment="1">
      <alignment horizontal="center" vertical="center"/>
    </xf>
    <xf numFmtId="0" fontId="15" fillId="14" borderId="1" xfId="2" applyFont="1" applyFill="1" applyBorder="1" applyAlignment="1">
      <alignment horizontal="center" vertical="center"/>
    </xf>
    <xf numFmtId="0" fontId="23" fillId="14" borderId="1" xfId="2" applyFont="1" applyFill="1" applyBorder="1" applyAlignment="1">
      <alignment horizontal="center" vertical="center"/>
    </xf>
    <xf numFmtId="0" fontId="4" fillId="14" borderId="1" xfId="2" applyFont="1" applyFill="1" applyBorder="1" applyAlignment="1">
      <alignment horizontal="center" vertical="center"/>
    </xf>
    <xf numFmtId="0" fontId="28" fillId="14" borderId="1" xfId="2" applyFont="1" applyFill="1" applyBorder="1" applyAlignment="1">
      <alignment horizontal="center"/>
    </xf>
    <xf numFmtId="0" fontId="4" fillId="14" borderId="1" xfId="2" applyFont="1" applyFill="1" applyBorder="1" applyAlignment="1">
      <alignment horizontal="center"/>
    </xf>
    <xf numFmtId="165" fontId="4" fillId="10" borderId="11" xfId="2" applyNumberFormat="1" applyFont="1" applyFill="1" applyBorder="1" applyAlignment="1">
      <alignment horizontal="center"/>
    </xf>
    <xf numFmtId="0" fontId="7" fillId="19" borderId="0" xfId="2" applyFont="1" applyFill="1" applyAlignment="1">
      <alignment horizontal="center"/>
    </xf>
    <xf numFmtId="0" fontId="15" fillId="10" borderId="1" xfId="2" applyFont="1" applyFill="1" applyBorder="1" applyAlignment="1">
      <alignment horizontal="center" vertical="center"/>
    </xf>
    <xf numFmtId="0" fontId="23" fillId="10" borderId="1" xfId="2" applyFont="1" applyFill="1" applyBorder="1" applyAlignment="1">
      <alignment horizontal="center" vertical="center"/>
    </xf>
    <xf numFmtId="0" fontId="15" fillId="10" borderId="12" xfId="2" applyFont="1" applyFill="1" applyBorder="1" applyAlignment="1">
      <alignment horizontal="center" vertical="center"/>
    </xf>
    <xf numFmtId="0" fontId="28" fillId="10" borderId="12" xfId="2" applyFont="1" applyFill="1" applyBorder="1" applyAlignment="1">
      <alignment horizontal="center"/>
    </xf>
    <xf numFmtId="0" fontId="28" fillId="10" borderId="1" xfId="2" applyFont="1" applyFill="1" applyBorder="1" applyAlignment="1">
      <alignment horizontal="center"/>
    </xf>
    <xf numFmtId="0" fontId="4" fillId="10" borderId="1" xfId="2" applyFont="1" applyFill="1" applyBorder="1" applyAlignment="1">
      <alignment horizontal="center"/>
    </xf>
    <xf numFmtId="164" fontId="5" fillId="11" borderId="16" xfId="2" applyNumberFormat="1" applyFont="1" applyFill="1" applyBorder="1" applyAlignment="1">
      <alignment horizontal="center"/>
    </xf>
    <xf numFmtId="0" fontId="1" fillId="7" borderId="0" xfId="0" applyFont="1" applyFill="1"/>
    <xf numFmtId="2" fontId="0" fillId="7" borderId="54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0" fillId="7" borderId="54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2" fontId="0" fillId="7" borderId="28" xfId="0" applyNumberFormat="1" applyFill="1" applyBorder="1" applyAlignment="1">
      <alignment horizontal="center" vertical="center"/>
    </xf>
    <xf numFmtId="2" fontId="4" fillId="0" borderId="50" xfId="2" applyNumberFormat="1" applyFont="1" applyBorder="1" applyAlignment="1">
      <alignment horizontal="center"/>
    </xf>
    <xf numFmtId="0" fontId="9" fillId="20" borderId="40" xfId="2" applyFont="1" applyFill="1" applyBorder="1" applyAlignment="1">
      <alignment horizontal="center"/>
    </xf>
    <xf numFmtId="1" fontId="9" fillId="20" borderId="40" xfId="2" applyNumberFormat="1" applyFont="1" applyFill="1" applyBorder="1" applyAlignment="1">
      <alignment horizontal="center"/>
    </xf>
    <xf numFmtId="165" fontId="8" fillId="20" borderId="16" xfId="2" applyNumberFormat="1" applyFont="1" applyFill="1" applyBorder="1" applyAlignment="1">
      <alignment horizontal="center"/>
    </xf>
    <xf numFmtId="0" fontId="35" fillId="21" borderId="0" xfId="0" applyFont="1" applyFill="1"/>
    <xf numFmtId="0" fontId="1" fillId="21" borderId="61" xfId="0" applyFont="1" applyFill="1" applyBorder="1"/>
    <xf numFmtId="0" fontId="1" fillId="21" borderId="0" xfId="0" applyFont="1" applyFill="1"/>
    <xf numFmtId="0" fontId="1" fillId="21" borderId="54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9" xfId="0" applyFont="1" applyFill="1" applyBorder="1"/>
    <xf numFmtId="0" fontId="1" fillId="21" borderId="35" xfId="0" applyFont="1" applyFill="1" applyBorder="1"/>
    <xf numFmtId="0" fontId="0" fillId="21" borderId="54" xfId="0" applyFill="1" applyBorder="1"/>
    <xf numFmtId="0" fontId="0" fillId="21" borderId="1" xfId="0" applyFill="1" applyBorder="1" applyAlignment="1">
      <alignment horizontal="center" vertical="center"/>
    </xf>
    <xf numFmtId="9" fontId="1" fillId="0" borderId="48" xfId="0" applyNumberFormat="1" applyFont="1" applyBorder="1" applyAlignment="1">
      <alignment horizontal="right" vertical="center"/>
    </xf>
    <xf numFmtId="0" fontId="1" fillId="7" borderId="0" xfId="0" applyFont="1" applyFill="1" applyAlignment="1">
      <alignment wrapText="1"/>
    </xf>
    <xf numFmtId="0" fontId="0" fillId="7" borderId="54" xfId="0" applyFill="1" applyBorder="1"/>
    <xf numFmtId="0" fontId="0" fillId="0" borderId="75" xfId="0" applyBorder="1"/>
    <xf numFmtId="2" fontId="0" fillId="0" borderId="13" xfId="0" applyNumberFormat="1" applyBorder="1" applyAlignment="1">
      <alignment horizontal="center" vertical="center"/>
    </xf>
    <xf numFmtId="0" fontId="0" fillId="0" borderId="13" xfId="0" applyBorder="1"/>
    <xf numFmtId="0" fontId="0" fillId="3" borderId="27" xfId="0" applyFill="1" applyBorder="1"/>
    <xf numFmtId="0" fontId="0" fillId="0" borderId="27" xfId="0" applyBorder="1"/>
    <xf numFmtId="0" fontId="0" fillId="3" borderId="13" xfId="0" applyFill="1" applyBorder="1"/>
    <xf numFmtId="0" fontId="0" fillId="0" borderId="13" xfId="0" applyBorder="1" applyAlignment="1">
      <alignment horizontal="right"/>
    </xf>
    <xf numFmtId="9" fontId="1" fillId="0" borderId="70" xfId="0" applyNumberFormat="1" applyFont="1" applyBorder="1" applyAlignment="1">
      <alignment wrapText="1"/>
    </xf>
    <xf numFmtId="2" fontId="0" fillId="0" borderId="77" xfId="0" applyNumberFormat="1" applyBorder="1" applyAlignment="1">
      <alignment horizontal="center" vertical="center"/>
    </xf>
    <xf numFmtId="9" fontId="1" fillId="7" borderId="0" xfId="0" applyNumberFormat="1" applyFont="1" applyFill="1" applyAlignment="1">
      <alignment wrapText="1"/>
    </xf>
    <xf numFmtId="2" fontId="0" fillId="7" borderId="68" xfId="0" applyNumberFormat="1" applyFill="1" applyBorder="1" applyAlignment="1">
      <alignment horizontal="center" vertical="center"/>
    </xf>
    <xf numFmtId="2" fontId="0" fillId="7" borderId="67" xfId="0" applyNumberFormat="1" applyFill="1" applyBorder="1" applyAlignment="1">
      <alignment horizontal="center" vertical="center"/>
    </xf>
    <xf numFmtId="0" fontId="1" fillId="7" borderId="66" xfId="0" applyFont="1" applyFill="1" applyBorder="1"/>
    <xf numFmtId="2" fontId="0" fillId="7" borderId="67" xfId="0" applyNumberFormat="1" applyFill="1" applyBorder="1" applyAlignment="1">
      <alignment horizontal="center"/>
    </xf>
    <xf numFmtId="2" fontId="0" fillId="7" borderId="68" xfId="0" applyNumberFormat="1" applyFill="1" applyBorder="1" applyAlignment="1">
      <alignment horizontal="center"/>
    </xf>
    <xf numFmtId="2" fontId="0" fillId="7" borderId="1" xfId="0" applyNumberFormat="1" applyFill="1" applyBorder="1"/>
    <xf numFmtId="2" fontId="0" fillId="7" borderId="28" xfId="0" applyNumberFormat="1" applyFill="1" applyBorder="1"/>
    <xf numFmtId="2" fontId="0" fillId="7" borderId="54" xfId="0" applyNumberFormat="1" applyFill="1" applyBorder="1"/>
    <xf numFmtId="0" fontId="0" fillId="0" borderId="54" xfId="0" applyBorder="1" applyAlignment="1">
      <alignment horizontal="center"/>
    </xf>
    <xf numFmtId="166" fontId="0" fillId="7" borderId="67" xfId="0" applyNumberFormat="1" applyFill="1" applyBorder="1" applyAlignment="1">
      <alignment horizontal="center" vertical="center"/>
    </xf>
    <xf numFmtId="166" fontId="0" fillId="7" borderId="68" xfId="0" applyNumberFormat="1" applyFill="1" applyBorder="1" applyAlignment="1">
      <alignment horizontal="center" vertical="center"/>
    </xf>
    <xf numFmtId="166" fontId="0" fillId="7" borderId="69" xfId="0" applyNumberFormat="1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166" fontId="37" fillId="7" borderId="1" xfId="0" applyNumberFormat="1" applyFont="1" applyFill="1" applyBorder="1" applyAlignment="1">
      <alignment horizontal="center"/>
    </xf>
    <xf numFmtId="166" fontId="37" fillId="7" borderId="74" xfId="0" applyNumberFormat="1" applyFont="1" applyFill="1" applyBorder="1" applyAlignment="1">
      <alignment horizontal="center"/>
    </xf>
    <xf numFmtId="166" fontId="37" fillId="7" borderId="71" xfId="0" applyNumberFormat="1" applyFont="1" applyFill="1" applyBorder="1" applyAlignment="1">
      <alignment horizontal="center"/>
    </xf>
    <xf numFmtId="2" fontId="0" fillId="7" borderId="12" xfId="0" applyNumberFormat="1" applyFill="1" applyBorder="1" applyAlignment="1">
      <alignment horizontal="center" vertical="center"/>
    </xf>
    <xf numFmtId="2" fontId="0" fillId="7" borderId="25" xfId="0" applyNumberFormat="1" applyFill="1" applyBorder="1" applyAlignment="1">
      <alignment horizontal="center" vertical="center"/>
    </xf>
    <xf numFmtId="2" fontId="0" fillId="7" borderId="55" xfId="0" applyNumberFormat="1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0" fontId="0" fillId="13" borderId="1" xfId="0" applyFill="1" applyBorder="1"/>
    <xf numFmtId="0" fontId="0" fillId="13" borderId="28" xfId="0" applyFill="1" applyBorder="1"/>
    <xf numFmtId="0" fontId="0" fillId="13" borderId="54" xfId="0" applyFill="1" applyBorder="1"/>
    <xf numFmtId="0" fontId="0" fillId="13" borderId="1" xfId="0" applyFill="1" applyBorder="1" applyAlignment="1">
      <alignment horizontal="right"/>
    </xf>
    <xf numFmtId="0" fontId="0" fillId="13" borderId="1" xfId="0" applyFill="1" applyBorder="1" applyAlignment="1">
      <alignment vertical="center"/>
    </xf>
    <xf numFmtId="2" fontId="0" fillId="13" borderId="1" xfId="0" applyNumberFormat="1" applyFill="1" applyBorder="1" applyAlignment="1">
      <alignment horizontal="center" vertical="center"/>
    </xf>
    <xf numFmtId="2" fontId="37" fillId="13" borderId="1" xfId="0" applyNumberFormat="1" applyFont="1" applyFill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/>
    </xf>
    <xf numFmtId="164" fontId="35" fillId="0" borderId="54" xfId="0" applyNumberFormat="1" applyFont="1" applyBorder="1" applyAlignment="1">
      <alignment horizontal="center"/>
    </xf>
    <xf numFmtId="168" fontId="0" fillId="0" borderId="54" xfId="0" applyNumberFormat="1" applyBorder="1"/>
    <xf numFmtId="168" fontId="0" fillId="0" borderId="1" xfId="0" applyNumberFormat="1" applyBorder="1"/>
    <xf numFmtId="168" fontId="0" fillId="0" borderId="28" xfId="0" applyNumberFormat="1" applyBorder="1"/>
    <xf numFmtId="168" fontId="0" fillId="0" borderId="8" xfId="0" applyNumberFormat="1" applyBorder="1"/>
    <xf numFmtId="168" fontId="0" fillId="0" borderId="53" xfId="0" applyNumberFormat="1" applyBorder="1"/>
    <xf numFmtId="164" fontId="0" fillId="0" borderId="50" xfId="0" applyNumberFormat="1" applyBorder="1" applyAlignment="1">
      <alignment horizontal="center" vertical="center"/>
    </xf>
    <xf numFmtId="1" fontId="0" fillId="0" borderId="62" xfId="0" applyNumberFormat="1" applyBorder="1" applyAlignment="1">
      <alignment horizontal="center" vertical="center"/>
    </xf>
    <xf numFmtId="1" fontId="0" fillId="0" borderId="50" xfId="0" applyNumberFormat="1" applyBorder="1" applyAlignment="1">
      <alignment horizontal="center" vertical="center"/>
    </xf>
    <xf numFmtId="1" fontId="0" fillId="0" borderId="55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66" fontId="0" fillId="0" borderId="1" xfId="0" applyNumberFormat="1" applyBorder="1"/>
    <xf numFmtId="0" fontId="0" fillId="7" borderId="1" xfId="0" applyFill="1" applyBorder="1"/>
    <xf numFmtId="2" fontId="36" fillId="7" borderId="1" xfId="0" applyNumberFormat="1" applyFont="1" applyFill="1" applyBorder="1" applyAlignment="1">
      <alignment horizontal="center" vertical="center"/>
    </xf>
    <xf numFmtId="2" fontId="36" fillId="7" borderId="54" xfId="0" applyNumberFormat="1" applyFont="1" applyFill="1" applyBorder="1" applyAlignment="1">
      <alignment horizontal="center" vertical="center"/>
    </xf>
    <xf numFmtId="0" fontId="0" fillId="7" borderId="28" xfId="0" applyFill="1" applyBorder="1"/>
    <xf numFmtId="0" fontId="1" fillId="7" borderId="1" xfId="0" applyFont="1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165" fontId="0" fillId="7" borderId="1" xfId="0" applyNumberFormat="1" applyFill="1" applyBorder="1" applyAlignment="1">
      <alignment horizontal="center" vertical="center"/>
    </xf>
    <xf numFmtId="0" fontId="1" fillId="7" borderId="1" xfId="0" applyFont="1" applyFill="1" applyBorder="1"/>
    <xf numFmtId="166" fontId="0" fillId="7" borderId="54" xfId="0" applyNumberForma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166" fontId="0" fillId="7" borderId="28" xfId="0" applyNumberFormat="1" applyFill="1" applyBorder="1" applyAlignment="1">
      <alignment horizontal="center" vertical="center"/>
    </xf>
    <xf numFmtId="166" fontId="0" fillId="0" borderId="25" xfId="0" applyNumberFormat="1" applyBorder="1"/>
    <xf numFmtId="0" fontId="31" fillId="0" borderId="28" xfId="0" applyFont="1" applyBorder="1" applyAlignment="1">
      <alignment horizontal="center" vertical="center"/>
    </xf>
    <xf numFmtId="0" fontId="1" fillId="0" borderId="25" xfId="0" applyFont="1" applyBorder="1"/>
    <xf numFmtId="0" fontId="1" fillId="0" borderId="51" xfId="0" applyFont="1" applyBorder="1"/>
    <xf numFmtId="0" fontId="1" fillId="0" borderId="69" xfId="0" applyFont="1" applyBorder="1"/>
    <xf numFmtId="165" fontId="0" fillId="0" borderId="28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0" borderId="28" xfId="0" applyNumberFormat="1" applyBorder="1" applyAlignment="1">
      <alignment horizontal="center"/>
    </xf>
    <xf numFmtId="165" fontId="0" fillId="0" borderId="28" xfId="0" applyNumberFormat="1" applyBorder="1"/>
    <xf numFmtId="165" fontId="0" fillId="0" borderId="51" xfId="0" applyNumberFormat="1" applyBorder="1" applyAlignment="1">
      <alignment horizontal="center" vertical="center"/>
    </xf>
    <xf numFmtId="165" fontId="0" fillId="7" borderId="28" xfId="0" applyNumberFormat="1" applyFill="1" applyBorder="1" applyAlignment="1">
      <alignment horizontal="center" vertical="center"/>
    </xf>
    <xf numFmtId="165" fontId="0" fillId="0" borderId="69" xfId="0" applyNumberFormat="1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0" fontId="41" fillId="0" borderId="54" xfId="0" applyFont="1" applyBorder="1"/>
    <xf numFmtId="166" fontId="0" fillId="0" borderId="55" xfId="0" applyNumberFormat="1" applyBorder="1"/>
    <xf numFmtId="0" fontId="31" fillId="0" borderId="54" xfId="0" applyFont="1" applyBorder="1" applyAlignment="1">
      <alignment horizontal="center" vertical="center"/>
    </xf>
    <xf numFmtId="0" fontId="1" fillId="0" borderId="55" xfId="0" applyFont="1" applyBorder="1"/>
    <xf numFmtId="0" fontId="1" fillId="0" borderId="62" xfId="0" applyFont="1" applyBorder="1"/>
    <xf numFmtId="0" fontId="1" fillId="0" borderId="67" xfId="0" applyFont="1" applyBorder="1"/>
    <xf numFmtId="165" fontId="0" fillId="0" borderId="54" xfId="0" applyNumberFormat="1" applyBorder="1" applyAlignment="1">
      <alignment horizontal="center" vertical="center"/>
    </xf>
    <xf numFmtId="165" fontId="0" fillId="0" borderId="55" xfId="0" applyNumberFormat="1" applyBorder="1" applyAlignment="1">
      <alignment horizontal="center" vertical="center"/>
    </xf>
    <xf numFmtId="165" fontId="0" fillId="0" borderId="54" xfId="0" applyNumberFormat="1" applyBorder="1" applyAlignment="1">
      <alignment horizontal="center"/>
    </xf>
    <xf numFmtId="165" fontId="0" fillId="0" borderId="54" xfId="0" applyNumberFormat="1" applyBorder="1"/>
    <xf numFmtId="165" fontId="0" fillId="0" borderId="62" xfId="0" applyNumberFormat="1" applyBorder="1" applyAlignment="1">
      <alignment horizontal="center" vertical="center"/>
    </xf>
    <xf numFmtId="165" fontId="0" fillId="7" borderId="54" xfId="0" applyNumberFormat="1" applyFill="1" applyBorder="1" applyAlignment="1">
      <alignment horizontal="center" vertical="center"/>
    </xf>
    <xf numFmtId="165" fontId="0" fillId="0" borderId="67" xfId="0" applyNumberFormat="1" applyBorder="1" applyAlignment="1">
      <alignment horizontal="center" vertical="center"/>
    </xf>
    <xf numFmtId="165" fontId="0" fillId="0" borderId="53" xfId="0" applyNumberFormat="1" applyBorder="1" applyAlignment="1">
      <alignment horizontal="center" vertical="center"/>
    </xf>
    <xf numFmtId="0" fontId="35" fillId="0" borderId="59" xfId="0" applyFont="1" applyBorder="1"/>
    <xf numFmtId="0" fontId="36" fillId="0" borderId="28" xfId="0" applyFont="1" applyBorder="1" applyAlignment="1">
      <alignment horizontal="center" vertical="center"/>
    </xf>
    <xf numFmtId="0" fontId="36" fillId="0" borderId="54" xfId="0" applyFont="1" applyBorder="1" applyAlignment="1">
      <alignment horizontal="center" vertical="center"/>
    </xf>
    <xf numFmtId="166" fontId="37" fillId="7" borderId="28" xfId="0" applyNumberFormat="1" applyFont="1" applyFill="1" applyBorder="1" applyAlignment="1">
      <alignment horizontal="center"/>
    </xf>
    <xf numFmtId="165" fontId="36" fillId="0" borderId="28" xfId="0" applyNumberFormat="1" applyFont="1" applyBorder="1" applyAlignment="1">
      <alignment horizontal="center" vertical="center"/>
    </xf>
    <xf numFmtId="2" fontId="31" fillId="0" borderId="28" xfId="0" applyNumberFormat="1" applyFont="1" applyBorder="1" applyAlignment="1">
      <alignment horizontal="center" vertical="center"/>
    </xf>
    <xf numFmtId="166" fontId="37" fillId="7" borderId="54" xfId="0" applyNumberFormat="1" applyFont="1" applyFill="1" applyBorder="1" applyAlignment="1">
      <alignment horizontal="center"/>
    </xf>
    <xf numFmtId="165" fontId="36" fillId="0" borderId="54" xfId="0" applyNumberFormat="1" applyFont="1" applyBorder="1" applyAlignment="1">
      <alignment horizontal="center" vertical="center"/>
    </xf>
    <xf numFmtId="2" fontId="31" fillId="0" borderId="54" xfId="0" applyNumberFormat="1" applyFont="1" applyBorder="1" applyAlignment="1">
      <alignment horizontal="center" vertical="center"/>
    </xf>
    <xf numFmtId="0" fontId="12" fillId="0" borderId="10" xfId="2" applyFont="1" applyBorder="1"/>
    <xf numFmtId="0" fontId="0" fillId="21" borderId="0" xfId="0" applyFill="1"/>
    <xf numFmtId="0" fontId="0" fillId="0" borderId="80" xfId="0" applyBorder="1"/>
    <xf numFmtId="2" fontId="0" fillId="0" borderId="3" xfId="0" applyNumberFormat="1" applyBorder="1" applyAlignment="1">
      <alignment horizontal="center" vertical="center"/>
    </xf>
    <xf numFmtId="164" fontId="0" fillId="7" borderId="1" xfId="0" applyNumberFormat="1" applyFill="1" applyBorder="1"/>
    <xf numFmtId="164" fontId="36" fillId="0" borderId="1" xfId="0" applyNumberFormat="1" applyFont="1" applyBorder="1" applyAlignment="1">
      <alignment horizontal="center" vertical="center"/>
    </xf>
    <xf numFmtId="164" fontId="36" fillId="0" borderId="28" xfId="0" applyNumberFormat="1" applyFont="1" applyBorder="1" applyAlignment="1">
      <alignment horizontal="center" vertical="center"/>
    </xf>
    <xf numFmtId="166" fontId="37" fillId="13" borderId="28" xfId="0" applyNumberFormat="1" applyFont="1" applyFill="1" applyBorder="1" applyAlignment="1">
      <alignment horizontal="center" vertical="center"/>
    </xf>
    <xf numFmtId="164" fontId="0" fillId="7" borderId="28" xfId="0" applyNumberFormat="1" applyFill="1" applyBorder="1"/>
    <xf numFmtId="0" fontId="49" fillId="0" borderId="28" xfId="0" applyFont="1" applyBorder="1"/>
    <xf numFmtId="165" fontId="31" fillId="0" borderId="28" xfId="0" applyNumberFormat="1" applyFont="1" applyBorder="1" applyAlignment="1">
      <alignment horizontal="center" vertical="center"/>
    </xf>
    <xf numFmtId="166" fontId="0" fillId="0" borderId="28" xfId="0" applyNumberFormat="1" applyBorder="1"/>
    <xf numFmtId="0" fontId="48" fillId="0" borderId="54" xfId="0" applyFont="1" applyBorder="1"/>
    <xf numFmtId="0" fontId="1" fillId="0" borderId="53" xfId="0" applyFont="1" applyBorder="1"/>
    <xf numFmtId="165" fontId="31" fillId="0" borderId="54" xfId="0" applyNumberFormat="1" applyFont="1" applyBorder="1" applyAlignment="1">
      <alignment horizontal="center" vertical="center"/>
    </xf>
    <xf numFmtId="166" fontId="0" fillId="0" borderId="54" xfId="0" applyNumberFormat="1" applyBorder="1"/>
    <xf numFmtId="0" fontId="0" fillId="13" borderId="28" xfId="0" applyFill="1" applyBorder="1" applyAlignment="1">
      <alignment vertical="center"/>
    </xf>
    <xf numFmtId="164" fontId="1" fillId="0" borderId="1" xfId="0" applyNumberFormat="1" applyFont="1" applyBorder="1" applyAlignment="1">
      <alignment horizontal="center"/>
    </xf>
    <xf numFmtId="164" fontId="0" fillId="7" borderId="1" xfId="0" applyNumberFormat="1" applyFill="1" applyBorder="1" applyAlignment="1">
      <alignment horizontal="center" vertical="center"/>
    </xf>
    <xf numFmtId="164" fontId="0" fillId="7" borderId="54" xfId="0" applyNumberFormat="1" applyFill="1" applyBorder="1" applyAlignment="1">
      <alignment horizontal="center" vertical="center"/>
    </xf>
    <xf numFmtId="164" fontId="0" fillId="0" borderId="53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7" borderId="54" xfId="0" applyNumberFormat="1" applyFill="1" applyBorder="1" applyAlignment="1">
      <alignment horizontal="center"/>
    </xf>
    <xf numFmtId="0" fontId="0" fillId="7" borderId="67" xfId="0" applyFill="1" applyBorder="1" applyAlignment="1">
      <alignment horizontal="center" vertical="center"/>
    </xf>
    <xf numFmtId="0" fontId="36" fillId="21" borderId="55" xfId="0" applyFont="1" applyFill="1" applyBorder="1" applyAlignment="1">
      <alignment horizontal="center" vertical="center"/>
    </xf>
    <xf numFmtId="0" fontId="36" fillId="21" borderId="12" xfId="0" applyFont="1" applyFill="1" applyBorder="1" applyAlignment="1">
      <alignment horizontal="center" vertical="center"/>
    </xf>
    <xf numFmtId="0" fontId="36" fillId="21" borderId="25" xfId="0" applyFont="1" applyFill="1" applyBorder="1" applyAlignment="1">
      <alignment horizontal="center" vertical="center"/>
    </xf>
    <xf numFmtId="0" fontId="36" fillId="22" borderId="55" xfId="0" applyFont="1" applyFill="1" applyBorder="1" applyAlignment="1">
      <alignment horizontal="center" vertical="center"/>
    </xf>
    <xf numFmtId="0" fontId="36" fillId="22" borderId="12" xfId="0" applyFont="1" applyFill="1" applyBorder="1" applyAlignment="1">
      <alignment horizontal="center" vertical="center"/>
    </xf>
    <xf numFmtId="0" fontId="36" fillId="8" borderId="12" xfId="0" applyFont="1" applyFill="1" applyBorder="1" applyAlignment="1">
      <alignment horizontal="center" vertical="center"/>
    </xf>
    <xf numFmtId="0" fontId="36" fillId="8" borderId="25" xfId="0" applyFont="1" applyFill="1" applyBorder="1" applyAlignment="1">
      <alignment horizontal="center" vertical="center"/>
    </xf>
    <xf numFmtId="0" fontId="0" fillId="17" borderId="54" xfId="0" applyFill="1" applyBorder="1" applyAlignment="1">
      <alignment horizontal="center" vertical="center"/>
    </xf>
    <xf numFmtId="2" fontId="36" fillId="17" borderId="54" xfId="0" applyNumberFormat="1" applyFont="1" applyFill="1" applyBorder="1" applyAlignment="1">
      <alignment horizontal="center"/>
    </xf>
    <xf numFmtId="0" fontId="47" fillId="0" borderId="28" xfId="0" applyFont="1" applyBorder="1"/>
    <xf numFmtId="166" fontId="31" fillId="0" borderId="28" xfId="0" applyNumberFormat="1" applyFont="1" applyBorder="1" applyAlignment="1">
      <alignment horizontal="center"/>
    </xf>
    <xf numFmtId="165" fontId="32" fillId="0" borderId="28" xfId="0" applyNumberFormat="1" applyFont="1" applyBorder="1" applyAlignment="1">
      <alignment horizontal="center"/>
    </xf>
    <xf numFmtId="11" fontId="1" fillId="0" borderId="25" xfId="0" applyNumberFormat="1" applyFont="1" applyBorder="1"/>
    <xf numFmtId="0" fontId="1" fillId="0" borderId="28" xfId="0" applyFont="1" applyBorder="1"/>
    <xf numFmtId="0" fontId="46" fillId="0" borderId="54" xfId="0" applyFont="1" applyBorder="1"/>
    <xf numFmtId="166" fontId="31" fillId="0" borderId="54" xfId="0" applyNumberFormat="1" applyFont="1" applyBorder="1" applyAlignment="1">
      <alignment horizontal="center"/>
    </xf>
    <xf numFmtId="165" fontId="32" fillId="0" borderId="54" xfId="0" applyNumberFormat="1" applyFont="1" applyBorder="1" applyAlignment="1">
      <alignment horizontal="center"/>
    </xf>
    <xf numFmtId="11" fontId="1" fillId="0" borderId="55" xfId="0" applyNumberFormat="1" applyFont="1" applyBorder="1"/>
    <xf numFmtId="164" fontId="0" fillId="0" borderId="25" xfId="0" applyNumberFormat="1" applyBorder="1" applyAlignment="1">
      <alignment horizontal="center" vertical="center"/>
    </xf>
    <xf numFmtId="2" fontId="31" fillId="0" borderId="28" xfId="0" applyNumberFormat="1" applyFont="1" applyBorder="1" applyAlignment="1">
      <alignment horizontal="center"/>
    </xf>
    <xf numFmtId="164" fontId="0" fillId="0" borderId="55" xfId="0" applyNumberFormat="1" applyBorder="1" applyAlignment="1">
      <alignment horizontal="center" vertical="center"/>
    </xf>
    <xf numFmtId="2" fontId="31" fillId="0" borderId="54" xfId="0" applyNumberFormat="1" applyFont="1" applyBorder="1" applyAlignment="1">
      <alignment horizontal="center"/>
    </xf>
    <xf numFmtId="0" fontId="1" fillId="0" borderId="54" xfId="0" applyFont="1" applyBorder="1" applyAlignment="1">
      <alignment horizontal="right"/>
    </xf>
    <xf numFmtId="0" fontId="1" fillId="0" borderId="55" xfId="0" applyFont="1" applyBorder="1" applyAlignment="1">
      <alignment horizontal="right"/>
    </xf>
    <xf numFmtId="0" fontId="1" fillId="0" borderId="62" xfId="0" applyFont="1" applyBorder="1" applyAlignment="1">
      <alignment horizontal="right"/>
    </xf>
    <xf numFmtId="0" fontId="0" fillId="0" borderId="67" xfId="0" applyBorder="1" applyAlignment="1">
      <alignment horizontal="right"/>
    </xf>
    <xf numFmtId="0" fontId="1" fillId="7" borderId="54" xfId="0" applyFont="1" applyFill="1" applyBorder="1" applyAlignment="1">
      <alignment horizontal="right"/>
    </xf>
    <xf numFmtId="0" fontId="1" fillId="0" borderId="67" xfId="0" applyFont="1" applyBorder="1" applyAlignment="1">
      <alignment horizontal="right"/>
    </xf>
    <xf numFmtId="0" fontId="1" fillId="0" borderId="53" xfId="0" applyFont="1" applyBorder="1" applyAlignment="1">
      <alignment horizontal="right"/>
    </xf>
    <xf numFmtId="2" fontId="36" fillId="17" borderId="54" xfId="0" applyNumberFormat="1" applyFont="1" applyFill="1" applyBorder="1" applyAlignment="1">
      <alignment horizontal="center" vertical="center"/>
    </xf>
    <xf numFmtId="2" fontId="4" fillId="2" borderId="8" xfId="2" applyNumberFormat="1" applyFont="1" applyFill="1" applyBorder="1" applyAlignment="1">
      <alignment horizontal="center"/>
    </xf>
    <xf numFmtId="2" fontId="4" fillId="0" borderId="1" xfId="2" applyNumberFormat="1" applyFont="1" applyBorder="1" applyAlignment="1">
      <alignment horizontal="center"/>
    </xf>
    <xf numFmtId="2" fontId="4" fillId="0" borderId="8" xfId="2" applyNumberFormat="1" applyFont="1" applyBorder="1" applyAlignment="1">
      <alignment horizontal="center"/>
    </xf>
    <xf numFmtId="2" fontId="4" fillId="0" borderId="12" xfId="2" applyNumberFormat="1" applyFont="1" applyBorder="1" applyAlignment="1">
      <alignment horizontal="center"/>
    </xf>
    <xf numFmtId="2" fontId="4" fillId="0" borderId="18" xfId="2" applyNumberFormat="1" applyFont="1" applyBorder="1" applyAlignment="1">
      <alignment horizontal="center"/>
    </xf>
    <xf numFmtId="2" fontId="37" fillId="13" borderId="54" xfId="0" applyNumberFormat="1" applyFont="1" applyFill="1" applyBorder="1" applyAlignment="1">
      <alignment horizontal="center" vertical="center"/>
    </xf>
    <xf numFmtId="0" fontId="35" fillId="0" borderId="58" xfId="0" applyFont="1" applyBorder="1" applyAlignment="1">
      <alignment horizontal="center" vertical="center"/>
    </xf>
    <xf numFmtId="0" fontId="35" fillId="0" borderId="59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2" fontId="0" fillId="7" borderId="79" xfId="0" applyNumberFormat="1" applyFill="1" applyBorder="1" applyAlignment="1">
      <alignment horizontal="center" vertical="center"/>
    </xf>
    <xf numFmtId="2" fontId="0" fillId="7" borderId="71" xfId="0" applyNumberFormat="1" applyFill="1" applyBorder="1" applyAlignment="1">
      <alignment horizontal="center" vertical="center"/>
    </xf>
    <xf numFmtId="2" fontId="32" fillId="7" borderId="1" xfId="0" applyNumberFormat="1" applyFont="1" applyFill="1" applyBorder="1" applyAlignment="1">
      <alignment horizontal="center" vertical="center"/>
    </xf>
    <xf numFmtId="2" fontId="1" fillId="0" borderId="79" xfId="0" applyNumberFormat="1" applyFont="1" applyBorder="1" applyAlignment="1">
      <alignment horizontal="center"/>
    </xf>
    <xf numFmtId="2" fontId="1" fillId="0" borderId="7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64" fontId="37" fillId="13" borderId="1" xfId="0" applyNumberFormat="1" applyFont="1" applyFill="1" applyBorder="1" applyAlignment="1">
      <alignment horizontal="center" vertical="center"/>
    </xf>
    <xf numFmtId="9" fontId="29" fillId="0" borderId="0" xfId="2" applyNumberFormat="1" applyFont="1" applyAlignment="1">
      <alignment horizontal="right" vertical="top"/>
    </xf>
    <xf numFmtId="0" fontId="29" fillId="0" borderId="0" xfId="2" applyFont="1" applyAlignment="1">
      <alignment horizontal="right" vertical="top"/>
    </xf>
    <xf numFmtId="1" fontId="36" fillId="0" borderId="1" xfId="0" applyNumberFormat="1" applyFont="1" applyBorder="1" applyAlignment="1">
      <alignment horizontal="center"/>
    </xf>
    <xf numFmtId="2" fontId="0" fillId="0" borderId="79" xfId="0" applyNumberFormat="1" applyBorder="1" applyAlignment="1">
      <alignment horizontal="center" vertical="center"/>
    </xf>
    <xf numFmtId="0" fontId="52" fillId="0" borderId="10" xfId="0" applyFont="1" applyBorder="1" applyAlignment="1">
      <alignment horizontal="center"/>
    </xf>
    <xf numFmtId="166" fontId="9" fillId="20" borderId="11" xfId="2" applyNumberFormat="1" applyFont="1" applyFill="1" applyBorder="1" applyAlignment="1">
      <alignment horizontal="center"/>
    </xf>
    <xf numFmtId="2" fontId="9" fillId="20" borderId="11" xfId="2" applyNumberFormat="1" applyFont="1" applyFill="1" applyBorder="1" applyAlignment="1">
      <alignment horizontal="center"/>
    </xf>
    <xf numFmtId="0" fontId="9" fillId="20" borderId="11" xfId="2" applyFont="1" applyFill="1" applyBorder="1" applyAlignment="1">
      <alignment horizontal="center"/>
    </xf>
    <xf numFmtId="164" fontId="9" fillId="20" borderId="11" xfId="2" applyNumberFormat="1" applyFont="1" applyFill="1" applyBorder="1" applyAlignment="1">
      <alignment horizontal="center"/>
    </xf>
    <xf numFmtId="1" fontId="9" fillId="20" borderId="11" xfId="2" applyNumberFormat="1" applyFont="1" applyFill="1" applyBorder="1" applyAlignment="1">
      <alignment horizontal="center"/>
    </xf>
    <xf numFmtId="164" fontId="9" fillId="20" borderId="16" xfId="2" applyNumberFormat="1" applyFont="1" applyFill="1" applyBorder="1" applyAlignment="1">
      <alignment horizontal="center"/>
    </xf>
    <xf numFmtId="164" fontId="6" fillId="20" borderId="16" xfId="2" applyNumberFormat="1" applyFont="1" applyFill="1" applyBorder="1" applyAlignment="1">
      <alignment horizontal="center"/>
    </xf>
    <xf numFmtId="164" fontId="5" fillId="20" borderId="40" xfId="2" applyNumberFormat="1" applyFont="1" applyFill="1" applyBorder="1" applyAlignment="1">
      <alignment horizontal="center"/>
    </xf>
    <xf numFmtId="164" fontId="5" fillId="20" borderId="16" xfId="2" applyNumberFormat="1" applyFont="1" applyFill="1" applyBorder="1" applyAlignment="1">
      <alignment horizontal="center"/>
    </xf>
    <xf numFmtId="0" fontId="52" fillId="2" borderId="0" xfId="2" applyFont="1" applyFill="1" applyAlignment="1">
      <alignment horizontal="center"/>
    </xf>
    <xf numFmtId="164" fontId="9" fillId="0" borderId="39" xfId="2" applyNumberFormat="1" applyFont="1" applyBorder="1" applyAlignment="1">
      <alignment horizontal="center"/>
    </xf>
    <xf numFmtId="164" fontId="9" fillId="0" borderId="41" xfId="2" applyNumberFormat="1" applyFont="1" applyBorder="1" applyAlignment="1">
      <alignment horizontal="center"/>
    </xf>
    <xf numFmtId="164" fontId="9" fillId="0" borderId="19" xfId="2" applyNumberFormat="1" applyFont="1" applyBorder="1" applyAlignment="1">
      <alignment horizontal="center"/>
    </xf>
    <xf numFmtId="0" fontId="8" fillId="0" borderId="14" xfId="2" applyFont="1" applyBorder="1"/>
    <xf numFmtId="2" fontId="9" fillId="0" borderId="47" xfId="2" applyNumberFormat="1" applyFont="1" applyBorder="1" applyAlignment="1">
      <alignment horizontal="center"/>
    </xf>
    <xf numFmtId="0" fontId="9" fillId="10" borderId="47" xfId="2" applyFont="1" applyFill="1" applyBorder="1" applyAlignment="1">
      <alignment horizontal="center"/>
    </xf>
    <xf numFmtId="0" fontId="9" fillId="10" borderId="83" xfId="2" applyFont="1" applyFill="1" applyBorder="1" applyAlignment="1">
      <alignment horizontal="center"/>
    </xf>
    <xf numFmtId="0" fontId="9" fillId="10" borderId="43" xfId="2" applyFont="1" applyFill="1" applyBorder="1" applyAlignment="1">
      <alignment horizontal="center"/>
    </xf>
    <xf numFmtId="0" fontId="9" fillId="0" borderId="43" xfId="2" applyFont="1" applyBorder="1" applyAlignment="1">
      <alignment horizontal="center"/>
    </xf>
    <xf numFmtId="0" fontId="8" fillId="0" borderId="84" xfId="2" applyFont="1" applyBorder="1"/>
    <xf numFmtId="0" fontId="11" fillId="0" borderId="85" xfId="2" applyFont="1" applyBorder="1" applyAlignment="1">
      <alignment horizontal="center" vertical="center"/>
    </xf>
    <xf numFmtId="0" fontId="9" fillId="0" borderId="86" xfId="2" applyFont="1" applyBorder="1" applyAlignment="1">
      <alignment horizontal="center" vertical="center"/>
    </xf>
    <xf numFmtId="0" fontId="9" fillId="2" borderId="87" xfId="2" applyFont="1" applyFill="1" applyBorder="1" applyAlignment="1">
      <alignment horizontal="center"/>
    </xf>
    <xf numFmtId="164" fontId="9" fillId="0" borderId="87" xfId="2" applyNumberFormat="1" applyFont="1" applyBorder="1" applyAlignment="1">
      <alignment horizontal="center"/>
    </xf>
    <xf numFmtId="0" fontId="9" fillId="0" borderId="88" xfId="2" applyFont="1" applyBorder="1" applyAlignment="1">
      <alignment horizontal="center"/>
    </xf>
    <xf numFmtId="0" fontId="9" fillId="0" borderId="89" xfId="2" applyFont="1" applyBorder="1" applyAlignment="1">
      <alignment horizontal="center"/>
    </xf>
    <xf numFmtId="164" fontId="9" fillId="0" borderId="89" xfId="2" applyNumberFormat="1" applyFont="1" applyBorder="1" applyAlignment="1">
      <alignment horizontal="center"/>
    </xf>
    <xf numFmtId="0" fontId="9" fillId="0" borderId="86" xfId="2" applyFont="1" applyBorder="1" applyAlignment="1">
      <alignment horizontal="center"/>
    </xf>
    <xf numFmtId="0" fontId="0" fillId="0" borderId="0" xfId="0" quotePrefix="1" applyAlignment="1">
      <alignment horizontal="right"/>
    </xf>
    <xf numFmtId="0" fontId="1" fillId="17" borderId="0" xfId="0" applyFont="1" applyFill="1"/>
    <xf numFmtId="0" fontId="0" fillId="17" borderId="0" xfId="0" applyFill="1"/>
    <xf numFmtId="2" fontId="9" fillId="3" borderId="11" xfId="2" applyNumberFormat="1" applyFont="1" applyFill="1" applyBorder="1" applyAlignment="1">
      <alignment horizontal="center"/>
    </xf>
    <xf numFmtId="2" fontId="9" fillId="3" borderId="40" xfId="2" applyNumberFormat="1" applyFont="1" applyFill="1" applyBorder="1" applyAlignment="1">
      <alignment horizontal="center"/>
    </xf>
    <xf numFmtId="164" fontId="4" fillId="0" borderId="19" xfId="2" applyNumberFormat="1" applyFont="1" applyBorder="1" applyAlignment="1">
      <alignment horizontal="center"/>
    </xf>
    <xf numFmtId="164" fontId="9" fillId="0" borderId="37" xfId="2" applyNumberFormat="1" applyFont="1" applyBorder="1" applyAlignment="1">
      <alignment horizontal="center"/>
    </xf>
    <xf numFmtId="2" fontId="9" fillId="3" borderId="28" xfId="2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37" fillId="13" borderId="54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17" borderId="54" xfId="0" applyFill="1" applyBorder="1"/>
    <xf numFmtId="0" fontId="0" fillId="2" borderId="54" xfId="0" applyFill="1" applyBorder="1" applyAlignment="1">
      <alignment horizontal="center" vertical="center"/>
    </xf>
    <xf numFmtId="0" fontId="1" fillId="2" borderId="34" xfId="0" applyFont="1" applyFill="1" applyBorder="1"/>
    <xf numFmtId="0" fontId="0" fillId="2" borderId="35" xfId="0" applyFill="1" applyBorder="1"/>
    <xf numFmtId="0" fontId="0" fillId="2" borderId="90" xfId="0" applyFill="1" applyBorder="1"/>
    <xf numFmtId="0" fontId="0" fillId="0" borderId="10" xfId="0" applyBorder="1"/>
    <xf numFmtId="0" fontId="0" fillId="0" borderId="11" xfId="0" applyBorder="1"/>
    <xf numFmtId="0" fontId="1" fillId="0" borderId="38" xfId="0" applyFont="1" applyBorder="1"/>
    <xf numFmtId="0" fontId="0" fillId="0" borderId="72" xfId="0" applyBorder="1"/>
    <xf numFmtId="0" fontId="0" fillId="0" borderId="9" xfId="0" applyBorder="1"/>
    <xf numFmtId="0" fontId="1" fillId="0" borderId="15" xfId="0" applyFont="1" applyBorder="1"/>
    <xf numFmtId="0" fontId="1" fillId="0" borderId="13" xfId="0" applyFont="1" applyBorder="1"/>
    <xf numFmtId="0" fontId="1" fillId="0" borderId="13" xfId="0" quotePrefix="1" applyFont="1" applyBorder="1"/>
    <xf numFmtId="0" fontId="1" fillId="0" borderId="44" xfId="0" applyFont="1" applyBorder="1"/>
    <xf numFmtId="0" fontId="1" fillId="0" borderId="39" xfId="0" applyFont="1" applyBorder="1"/>
    <xf numFmtId="0" fontId="0" fillId="0" borderId="91" xfId="0" applyBorder="1"/>
    <xf numFmtId="0" fontId="0" fillId="0" borderId="18" xfId="0" applyBorder="1"/>
    <xf numFmtId="0" fontId="0" fillId="0" borderId="19" xfId="0" applyBorder="1"/>
    <xf numFmtId="0" fontId="0" fillId="0" borderId="4" xfId="0" applyBorder="1"/>
    <xf numFmtId="0" fontId="0" fillId="0" borderId="5" xfId="0" applyBorder="1"/>
    <xf numFmtId="0" fontId="0" fillId="0" borderId="33" xfId="0" applyBorder="1"/>
    <xf numFmtId="0" fontId="0" fillId="0" borderId="84" xfId="0" applyBorder="1"/>
    <xf numFmtId="0" fontId="0" fillId="0" borderId="86" xfId="0" applyBorder="1"/>
    <xf numFmtId="0" fontId="0" fillId="0" borderId="87" xfId="0" applyBorder="1"/>
    <xf numFmtId="0" fontId="0" fillId="0" borderId="92" xfId="0" applyBorder="1"/>
    <xf numFmtId="0" fontId="1" fillId="0" borderId="17" xfId="0" applyFont="1" applyBorder="1"/>
    <xf numFmtId="0" fontId="0" fillId="0" borderId="37" xfId="0" applyBorder="1"/>
    <xf numFmtId="0" fontId="0" fillId="0" borderId="39" xfId="0" applyBorder="1"/>
    <xf numFmtId="0" fontId="0" fillId="0" borderId="52" xfId="0" applyBorder="1"/>
    <xf numFmtId="0" fontId="0" fillId="0" borderId="93" xfId="0" applyBorder="1"/>
    <xf numFmtId="0" fontId="0" fillId="0" borderId="6" xfId="0" applyBorder="1"/>
    <xf numFmtId="0" fontId="31" fillId="0" borderId="0" xfId="0" applyFont="1"/>
    <xf numFmtId="0" fontId="1" fillId="23" borderId="0" xfId="0" applyFont="1" applyFill="1"/>
    <xf numFmtId="0" fontId="35" fillId="23" borderId="4" xfId="0" applyFont="1" applyFill="1" applyBorder="1"/>
    <xf numFmtId="169" fontId="35" fillId="23" borderId="6" xfId="0" applyNumberFormat="1" applyFont="1" applyFill="1" applyBorder="1"/>
    <xf numFmtId="11" fontId="0" fillId="0" borderId="0" xfId="0" applyNumberFormat="1"/>
    <xf numFmtId="11" fontId="0" fillId="0" borderId="92" xfId="0" applyNumberFormat="1" applyBorder="1"/>
    <xf numFmtId="11" fontId="0" fillId="0" borderId="6" xfId="0" applyNumberFormat="1" applyBorder="1"/>
    <xf numFmtId="165" fontId="9" fillId="0" borderId="11" xfId="2" applyNumberFormat="1" applyFont="1" applyBorder="1" applyAlignment="1">
      <alignment horizontal="center"/>
    </xf>
    <xf numFmtId="0" fontId="9" fillId="10" borderId="25" xfId="2" applyFont="1" applyFill="1" applyBorder="1" applyAlignment="1">
      <alignment horizontal="center"/>
    </xf>
    <xf numFmtId="2" fontId="36" fillId="0" borderId="79" xfId="0" applyNumberFormat="1" applyFont="1" applyBorder="1" applyAlignment="1">
      <alignment horizontal="center" vertical="center"/>
    </xf>
    <xf numFmtId="0" fontId="36" fillId="21" borderId="54" xfId="0" applyFont="1" applyFill="1" applyBorder="1" applyAlignment="1">
      <alignment horizontal="center" vertical="center"/>
    </xf>
    <xf numFmtId="2" fontId="36" fillId="21" borderId="1" xfId="0" applyNumberFormat="1" applyFont="1" applyFill="1" applyBorder="1" applyAlignment="1">
      <alignment horizontal="center" vertical="center"/>
    </xf>
    <xf numFmtId="2" fontId="36" fillId="21" borderId="54" xfId="0" applyNumberFormat="1" applyFont="1" applyFill="1" applyBorder="1" applyAlignment="1">
      <alignment horizontal="center" vertical="center"/>
    </xf>
    <xf numFmtId="2" fontId="4" fillId="2" borderId="26" xfId="2" applyNumberFormat="1" applyFont="1" applyFill="1" applyBorder="1" applyAlignment="1">
      <alignment horizontal="center"/>
    </xf>
    <xf numFmtId="2" fontId="4" fillId="0" borderId="28" xfId="2" applyNumberFormat="1" applyFont="1" applyBorder="1" applyAlignment="1">
      <alignment horizontal="center"/>
    </xf>
    <xf numFmtId="2" fontId="4" fillId="0" borderId="26" xfId="2" applyNumberFormat="1" applyFont="1" applyBorder="1" applyAlignment="1">
      <alignment horizontal="center"/>
    </xf>
    <xf numFmtId="2" fontId="4" fillId="0" borderId="25" xfId="2" applyNumberFormat="1" applyFont="1" applyBorder="1" applyAlignment="1">
      <alignment horizontal="center"/>
    </xf>
    <xf numFmtId="2" fontId="4" fillId="0" borderId="51" xfId="2" applyNumberFormat="1" applyFont="1" applyBorder="1" applyAlignment="1">
      <alignment horizontal="center"/>
    </xf>
    <xf numFmtId="2" fontId="4" fillId="0" borderId="37" xfId="2" applyNumberFormat="1" applyFont="1" applyBorder="1" applyAlignment="1">
      <alignment horizontal="center"/>
    </xf>
    <xf numFmtId="164" fontId="36" fillId="0" borderId="54" xfId="0" applyNumberFormat="1" applyFont="1" applyBorder="1"/>
    <xf numFmtId="164" fontId="36" fillId="0" borderId="1" xfId="0" applyNumberFormat="1" applyFont="1" applyBorder="1"/>
    <xf numFmtId="164" fontId="36" fillId="0" borderId="79" xfId="0" applyNumberFormat="1" applyFont="1" applyBorder="1"/>
    <xf numFmtId="0" fontId="36" fillId="21" borderId="54" xfId="0" applyFont="1" applyFill="1" applyBorder="1"/>
    <xf numFmtId="2" fontId="36" fillId="21" borderId="1" xfId="0" applyNumberFormat="1" applyFont="1" applyFill="1" applyBorder="1"/>
    <xf numFmtId="164" fontId="36" fillId="0" borderId="55" xfId="0" applyNumberFormat="1" applyFont="1" applyBorder="1"/>
    <xf numFmtId="164" fontId="36" fillId="0" borderId="12" xfId="0" applyNumberFormat="1" applyFont="1" applyBorder="1"/>
    <xf numFmtId="0" fontId="4" fillId="0" borderId="0" xfId="2" applyFont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165" fontId="8" fillId="0" borderId="16" xfId="2" applyNumberFormat="1" applyFont="1" applyBorder="1" applyAlignment="1">
      <alignment horizontal="center" vertical="center"/>
    </xf>
    <xf numFmtId="2" fontId="19" fillId="6" borderId="16" xfId="2" applyNumberFormat="1" applyFont="1" applyFill="1" applyBorder="1" applyAlignment="1">
      <alignment horizontal="center" vertical="center"/>
    </xf>
    <xf numFmtId="166" fontId="19" fillId="6" borderId="16" xfId="2" applyNumberFormat="1" applyFont="1" applyFill="1" applyBorder="1" applyAlignment="1">
      <alignment horizontal="center" vertical="center"/>
    </xf>
    <xf numFmtId="164" fontId="13" fillId="6" borderId="16" xfId="2" applyNumberFormat="1" applyFont="1" applyFill="1" applyBorder="1" applyAlignment="1">
      <alignment horizontal="center" vertical="center"/>
    </xf>
    <xf numFmtId="164" fontId="9" fillId="0" borderId="16" xfId="2" applyNumberFormat="1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164" fontId="6" fillId="0" borderId="16" xfId="2" applyNumberFormat="1" applyFont="1" applyBorder="1" applyAlignment="1">
      <alignment horizontal="center" vertical="center"/>
    </xf>
    <xf numFmtId="0" fontId="6" fillId="11" borderId="3" xfId="2" applyFont="1" applyFill="1" applyBorder="1" applyAlignment="1">
      <alignment horizontal="center" vertical="center"/>
    </xf>
    <xf numFmtId="0" fontId="5" fillId="11" borderId="16" xfId="2" applyFont="1" applyFill="1" applyBorder="1" applyAlignment="1">
      <alignment horizontal="center" vertical="center"/>
    </xf>
    <xf numFmtId="2" fontId="9" fillId="0" borderId="16" xfId="2" applyNumberFormat="1" applyFont="1" applyBorder="1" applyAlignment="1">
      <alignment horizontal="center" vertical="center"/>
    </xf>
    <xf numFmtId="0" fontId="4" fillId="13" borderId="0" xfId="2" applyFont="1" applyFill="1" applyAlignment="1">
      <alignment horizontal="center" vertical="center"/>
    </xf>
    <xf numFmtId="0" fontId="4" fillId="6" borderId="0" xfId="2" applyFont="1" applyFill="1" applyAlignment="1">
      <alignment horizontal="center" vertical="center"/>
    </xf>
    <xf numFmtId="0" fontId="4" fillId="9" borderId="16" xfId="2" applyFont="1" applyFill="1" applyBorder="1" applyAlignment="1">
      <alignment horizontal="center" vertical="center"/>
    </xf>
    <xf numFmtId="0" fontId="4" fillId="10" borderId="16" xfId="2" applyFont="1" applyFill="1" applyBorder="1" applyAlignment="1">
      <alignment horizontal="center" vertical="center"/>
    </xf>
    <xf numFmtId="0" fontId="4" fillId="3" borderId="16" xfId="2" applyFont="1" applyFill="1" applyBorder="1" applyAlignment="1">
      <alignment horizontal="center" vertical="center"/>
    </xf>
    <xf numFmtId="0" fontId="4" fillId="10" borderId="47" xfId="2" applyFont="1" applyFill="1" applyBorder="1" applyAlignment="1">
      <alignment horizontal="center" vertical="center"/>
    </xf>
    <xf numFmtId="0" fontId="4" fillId="0" borderId="87" xfId="2" applyFont="1" applyBorder="1" applyAlignment="1">
      <alignment horizontal="center" vertical="center"/>
    </xf>
    <xf numFmtId="164" fontId="4" fillId="0" borderId="39" xfId="2" applyNumberFormat="1" applyFont="1" applyBorder="1" applyAlignment="1">
      <alignment horizontal="center" vertical="center"/>
    </xf>
    <xf numFmtId="0" fontId="4" fillId="0" borderId="38" xfId="2" applyFont="1" applyBorder="1" applyAlignment="1">
      <alignment horizontal="center" vertical="center"/>
    </xf>
    <xf numFmtId="0" fontId="4" fillId="3" borderId="16" xfId="2" applyFont="1" applyFill="1" applyBorder="1" applyAlignment="1">
      <alignment horizontal="center"/>
    </xf>
    <xf numFmtId="0" fontId="4" fillId="10" borderId="47" xfId="2" applyFont="1" applyFill="1" applyBorder="1" applyAlignment="1">
      <alignment horizontal="center"/>
    </xf>
    <xf numFmtId="0" fontId="4" fillId="0" borderId="87" xfId="2" applyFont="1" applyBorder="1" applyAlignment="1">
      <alignment horizontal="center"/>
    </xf>
    <xf numFmtId="164" fontId="4" fillId="0" borderId="39" xfId="2" applyNumberFormat="1" applyFont="1" applyBorder="1" applyAlignment="1">
      <alignment horizontal="center"/>
    </xf>
    <xf numFmtId="0" fontId="4" fillId="0" borderId="48" xfId="2" applyFont="1" applyBorder="1" applyAlignment="1">
      <alignment horizontal="center"/>
    </xf>
    <xf numFmtId="164" fontId="5" fillId="7" borderId="16" xfId="2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4" fontId="36" fillId="21" borderId="1" xfId="0" applyNumberFormat="1" applyFont="1" applyFill="1" applyBorder="1"/>
    <xf numFmtId="0" fontId="36" fillId="0" borderId="0" xfId="0" applyFont="1"/>
    <xf numFmtId="166" fontId="35" fillId="0" borderId="1" xfId="0" applyNumberFormat="1" applyFont="1" applyBorder="1" applyAlignment="1">
      <alignment horizontal="center"/>
    </xf>
    <xf numFmtId="2" fontId="0" fillId="0" borderId="79" xfId="0" applyNumberFormat="1" applyBorder="1" applyAlignment="1">
      <alignment horizontal="center"/>
    </xf>
    <xf numFmtId="166" fontId="0" fillId="0" borderId="79" xfId="0" applyNumberFormat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1" fontId="0" fillId="0" borderId="1" xfId="0" applyNumberFormat="1" applyBorder="1" applyAlignment="1">
      <alignment horizontal="right"/>
    </xf>
    <xf numFmtId="0" fontId="0" fillId="0" borderId="28" xfId="0" applyBorder="1" applyAlignment="1">
      <alignment horizontal="right"/>
    </xf>
    <xf numFmtId="0" fontId="0" fillId="2" borderId="28" xfId="0" quotePrefix="1" applyFill="1" applyBorder="1" applyAlignment="1">
      <alignment horizontal="right"/>
    </xf>
    <xf numFmtId="0" fontId="0" fillId="2" borderId="28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2" borderId="11" xfId="0" applyFill="1" applyBorder="1"/>
    <xf numFmtId="0" fontId="0" fillId="2" borderId="10" xfId="0" quotePrefix="1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0" borderId="17" xfId="0" applyBorder="1" applyAlignment="1">
      <alignment horizontal="right"/>
    </xf>
    <xf numFmtId="0" fontId="0" fillId="2" borderId="19" xfId="0" applyFill="1" applyBorder="1"/>
    <xf numFmtId="0" fontId="0" fillId="2" borderId="28" xfId="0" applyFill="1" applyBorder="1"/>
    <xf numFmtId="0" fontId="0" fillId="2" borderId="10" xfId="0" applyFill="1" applyBorder="1"/>
    <xf numFmtId="0" fontId="0" fillId="2" borderId="11" xfId="0" quotePrefix="1" applyFill="1" applyBorder="1" applyAlignment="1">
      <alignment horizontal="right"/>
    </xf>
    <xf numFmtId="0" fontId="0" fillId="0" borderId="17" xfId="0" applyBorder="1"/>
    <xf numFmtId="0" fontId="0" fillId="20" borderId="11" xfId="0" applyFill="1" applyBorder="1"/>
    <xf numFmtId="0" fontId="0" fillId="2" borderId="89" xfId="0" applyFill="1" applyBorder="1"/>
    <xf numFmtId="0" fontId="1" fillId="17" borderId="10" xfId="0" applyFont="1" applyFill="1" applyBorder="1"/>
    <xf numFmtId="0" fontId="0" fillId="0" borderId="28" xfId="0" quotePrefix="1" applyBorder="1" applyAlignment="1">
      <alignment horizontal="right"/>
    </xf>
    <xf numFmtId="0" fontId="0" fillId="0" borderId="10" xfId="0" quotePrefix="1" applyBorder="1" applyAlignment="1">
      <alignment horizontal="right"/>
    </xf>
    <xf numFmtId="0" fontId="0" fillId="0" borderId="86" xfId="0" applyBorder="1" applyAlignment="1">
      <alignment horizontal="right"/>
    </xf>
    <xf numFmtId="0" fontId="0" fillId="0" borderId="37" xfId="0" applyBorder="1" applyAlignment="1">
      <alignment horizontal="right"/>
    </xf>
    <xf numFmtId="0" fontId="0" fillId="0" borderId="84" xfId="0" applyBorder="1" applyAlignment="1">
      <alignment horizontal="right"/>
    </xf>
    <xf numFmtId="0" fontId="1" fillId="0" borderId="33" xfId="0" applyFont="1" applyBorder="1"/>
    <xf numFmtId="0" fontId="0" fillId="0" borderId="15" xfId="0" applyBorder="1"/>
    <xf numFmtId="0" fontId="0" fillId="0" borderId="27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2" borderId="44" xfId="0" applyFill="1" applyBorder="1"/>
    <xf numFmtId="0" fontId="1" fillId="2" borderId="23" xfId="0" applyFont="1" applyFill="1" applyBorder="1" applyAlignment="1">
      <alignment horizontal="center"/>
    </xf>
    <xf numFmtId="0" fontId="1" fillId="2" borderId="94" xfId="0" applyFont="1" applyFill="1" applyBorder="1"/>
    <xf numFmtId="0" fontId="1" fillId="2" borderId="10" xfId="0" applyFont="1" applyFill="1" applyBorder="1"/>
    <xf numFmtId="0" fontId="1" fillId="0" borderId="10" xfId="0" applyFont="1" applyBorder="1"/>
    <xf numFmtId="2" fontId="0" fillId="2" borderId="11" xfId="0" applyNumberFormat="1" applyFill="1" applyBorder="1"/>
    <xf numFmtId="2" fontId="0" fillId="0" borderId="10" xfId="0" applyNumberFormat="1" applyBorder="1"/>
    <xf numFmtId="0" fontId="1" fillId="2" borderId="95" xfId="0" applyFont="1" applyFill="1" applyBorder="1" applyAlignment="1">
      <alignment horizontal="center"/>
    </xf>
    <xf numFmtId="0" fontId="0" fillId="20" borderId="28" xfId="0" quotePrefix="1" applyFill="1" applyBorder="1" applyAlignment="1">
      <alignment horizontal="right"/>
    </xf>
    <xf numFmtId="2" fontId="0" fillId="0" borderId="10" xfId="0" applyNumberFormat="1" applyBorder="1" applyAlignment="1">
      <alignment horizontal="right"/>
    </xf>
    <xf numFmtId="0" fontId="0" fillId="0" borderId="71" xfId="0" applyBorder="1"/>
    <xf numFmtId="0" fontId="0" fillId="0" borderId="29" xfId="0" applyBorder="1"/>
    <xf numFmtId="2" fontId="0" fillId="0" borderId="71" xfId="0" applyNumberFormat="1" applyBorder="1"/>
    <xf numFmtId="166" fontId="0" fillId="0" borderId="10" xfId="0" applyNumberFormat="1" applyBorder="1"/>
    <xf numFmtId="166" fontId="0" fillId="0" borderId="17" xfId="0" applyNumberFormat="1" applyBorder="1"/>
    <xf numFmtId="2" fontId="0" fillId="0" borderId="91" xfId="0" applyNumberFormat="1" applyBorder="1"/>
    <xf numFmtId="166" fontId="0" fillId="0" borderId="11" xfId="0" applyNumberFormat="1" applyBorder="1"/>
    <xf numFmtId="166" fontId="0" fillId="0" borderId="19" xfId="0" applyNumberFormat="1" applyBorder="1"/>
    <xf numFmtId="2" fontId="36" fillId="0" borderId="71" xfId="0" applyNumberFormat="1" applyFont="1" applyBorder="1" applyAlignment="1">
      <alignment horizontal="center"/>
    </xf>
    <xf numFmtId="2" fontId="36" fillId="0" borderId="79" xfId="0" applyNumberFormat="1" applyFont="1" applyBorder="1" applyAlignment="1">
      <alignment horizontal="center"/>
    </xf>
    <xf numFmtId="2" fontId="0" fillId="21" borderId="55" xfId="0" applyNumberFormat="1" applyFill="1" applyBorder="1" applyAlignment="1">
      <alignment horizontal="center" vertical="center"/>
    </xf>
    <xf numFmtId="2" fontId="0" fillId="21" borderId="12" xfId="0" applyNumberFormat="1" applyFill="1" applyBorder="1" applyAlignment="1">
      <alignment horizontal="center" vertical="center"/>
    </xf>
    <xf numFmtId="0" fontId="1" fillId="0" borderId="22" xfId="0" applyFont="1" applyBorder="1" applyAlignment="1">
      <alignment horizontal="right"/>
    </xf>
    <xf numFmtId="9" fontId="1" fillId="0" borderId="22" xfId="0" applyNumberFormat="1" applyFont="1" applyBorder="1" applyAlignment="1">
      <alignment horizontal="right"/>
    </xf>
    <xf numFmtId="2" fontId="0" fillId="0" borderId="97" xfId="0" applyNumberFormat="1" applyBorder="1" applyAlignment="1">
      <alignment horizontal="center" vertical="center"/>
    </xf>
    <xf numFmtId="2" fontId="0" fillId="0" borderId="81" xfId="0" applyNumberFormat="1" applyBorder="1" applyAlignment="1">
      <alignment horizontal="center" vertical="center"/>
    </xf>
    <xf numFmtId="0" fontId="34" fillId="7" borderId="22" xfId="0" applyFont="1" applyFill="1" applyBorder="1"/>
    <xf numFmtId="2" fontId="0" fillId="17" borderId="79" xfId="0" applyNumberFormat="1" applyFill="1" applyBorder="1" applyAlignment="1">
      <alignment horizontal="center" vertical="center"/>
    </xf>
    <xf numFmtId="2" fontId="0" fillId="17" borderId="3" xfId="0" applyNumberFormat="1" applyFill="1" applyBorder="1" applyAlignment="1">
      <alignment horizontal="center" vertical="center"/>
    </xf>
    <xf numFmtId="2" fontId="0" fillId="17" borderId="71" xfId="0" applyNumberFormat="1" applyFill="1" applyBorder="1" applyAlignment="1">
      <alignment horizontal="center" vertical="center"/>
    </xf>
    <xf numFmtId="0" fontId="1" fillId="0" borderId="23" xfId="0" applyFont="1" applyBorder="1" applyAlignment="1">
      <alignment horizontal="right"/>
    </xf>
    <xf numFmtId="0" fontId="1" fillId="0" borderId="24" xfId="0" applyFont="1" applyBorder="1" applyAlignment="1">
      <alignment horizontal="right"/>
    </xf>
    <xf numFmtId="0" fontId="1" fillId="0" borderId="94" xfId="0" applyFont="1" applyBorder="1" applyAlignment="1">
      <alignment horizontal="right"/>
    </xf>
    <xf numFmtId="164" fontId="36" fillId="21" borderId="54" xfId="0" applyNumberFormat="1" applyFont="1" applyFill="1" applyBorder="1"/>
    <xf numFmtId="164" fontId="36" fillId="21" borderId="1" xfId="0" applyNumberFormat="1" applyFont="1" applyFill="1" applyBorder="1" applyAlignment="1">
      <alignment horizontal="center" vertical="center"/>
    </xf>
    <xf numFmtId="166" fontId="0" fillId="0" borderId="71" xfId="0" applyNumberFormat="1" applyBorder="1"/>
    <xf numFmtId="0" fontId="1" fillId="0" borderId="35" xfId="0" applyFont="1" applyBorder="1" applyAlignment="1">
      <alignment horizontal="right"/>
    </xf>
    <xf numFmtId="0" fontId="0" fillId="0" borderId="3" xfId="0" applyBorder="1"/>
    <xf numFmtId="166" fontId="0" fillId="0" borderId="3" xfId="0" applyNumberFormat="1" applyBorder="1"/>
    <xf numFmtId="166" fontId="0" fillId="0" borderId="99" xfId="0" applyNumberFormat="1" applyBorder="1"/>
    <xf numFmtId="0" fontId="0" fillId="0" borderId="30" xfId="0" applyBorder="1"/>
    <xf numFmtId="0" fontId="0" fillId="0" borderId="32" xfId="0" applyBorder="1"/>
    <xf numFmtId="0" fontId="1" fillId="0" borderId="90" xfId="0" applyFont="1" applyBorder="1" applyAlignment="1">
      <alignment horizontal="right"/>
    </xf>
    <xf numFmtId="0" fontId="0" fillId="0" borderId="40" xfId="0" applyBorder="1"/>
    <xf numFmtId="166" fontId="0" fillId="0" borderId="40" xfId="0" applyNumberFormat="1" applyBorder="1"/>
    <xf numFmtId="166" fontId="0" fillId="0" borderId="41" xfId="0" applyNumberFormat="1" applyBorder="1"/>
    <xf numFmtId="166" fontId="0" fillId="0" borderId="36" xfId="0" applyNumberFormat="1" applyBorder="1"/>
    <xf numFmtId="0" fontId="0" fillId="0" borderId="88" xfId="0" applyBorder="1" applyAlignment="1">
      <alignment horizontal="right"/>
    </xf>
    <xf numFmtId="0" fontId="1" fillId="0" borderId="34" xfId="0" applyFont="1" applyBorder="1" applyAlignment="1">
      <alignment horizontal="right"/>
    </xf>
    <xf numFmtId="166" fontId="0" fillId="20" borderId="46" xfId="0" applyNumberFormat="1" applyFill="1" applyBorder="1"/>
    <xf numFmtId="0" fontId="0" fillId="0" borderId="46" xfId="0" applyBorder="1"/>
    <xf numFmtId="0" fontId="31" fillId="20" borderId="46" xfId="0" applyFont="1" applyFill="1" applyBorder="1"/>
    <xf numFmtId="0" fontId="31" fillId="0" borderId="46" xfId="0" applyFont="1" applyBorder="1"/>
    <xf numFmtId="2" fontId="31" fillId="20" borderId="46" xfId="0" applyNumberFormat="1" applyFont="1" applyFill="1" applyBorder="1"/>
    <xf numFmtId="2" fontId="0" fillId="0" borderId="101" xfId="0" applyNumberFormat="1" applyBorder="1"/>
    <xf numFmtId="166" fontId="0" fillId="20" borderId="11" xfId="0" applyNumberFormat="1" applyFill="1" applyBorder="1"/>
    <xf numFmtId="0" fontId="31" fillId="20" borderId="11" xfId="0" applyFont="1" applyFill="1" applyBorder="1"/>
    <xf numFmtId="0" fontId="31" fillId="0" borderId="11" xfId="0" applyFont="1" applyBorder="1"/>
    <xf numFmtId="2" fontId="31" fillId="20" borderId="11" xfId="0" applyNumberFormat="1" applyFont="1" applyFill="1" applyBorder="1"/>
    <xf numFmtId="2" fontId="0" fillId="0" borderId="19" xfId="0" applyNumberFormat="1" applyBorder="1"/>
    <xf numFmtId="0" fontId="0" fillId="0" borderId="98" xfId="0" applyBorder="1" applyAlignment="1">
      <alignment horizontal="right"/>
    </xf>
    <xf numFmtId="2" fontId="0" fillId="0" borderId="99" xfId="0" applyNumberFormat="1" applyBorder="1"/>
    <xf numFmtId="0" fontId="1" fillId="0" borderId="34" xfId="0" applyFont="1" applyBorder="1" applyAlignment="1">
      <alignment horizontal="right" wrapText="1"/>
    </xf>
    <xf numFmtId="0" fontId="1" fillId="0" borderId="94" xfId="0" applyFont="1" applyBorder="1" applyAlignment="1">
      <alignment horizontal="right" wrapText="1"/>
    </xf>
    <xf numFmtId="0" fontId="0" fillId="0" borderId="100" xfId="0" applyBorder="1" applyAlignment="1">
      <alignment horizontal="right"/>
    </xf>
    <xf numFmtId="0" fontId="0" fillId="0" borderId="89" xfId="0" applyBorder="1" applyAlignment="1">
      <alignment horizontal="right"/>
    </xf>
    <xf numFmtId="0" fontId="0" fillId="20" borderId="46" xfId="0" applyFill="1" applyBorder="1"/>
    <xf numFmtId="0" fontId="0" fillId="0" borderId="46" xfId="0" quotePrefix="1" applyBorder="1" applyAlignment="1">
      <alignment horizontal="right"/>
    </xf>
    <xf numFmtId="0" fontId="0" fillId="0" borderId="11" xfId="0" quotePrefix="1" applyBorder="1" applyAlignment="1">
      <alignment horizontal="right"/>
    </xf>
    <xf numFmtId="2" fontId="0" fillId="0" borderId="3" xfId="0" applyNumberFormat="1" applyBorder="1"/>
    <xf numFmtId="0" fontId="0" fillId="0" borderId="102" xfId="0" applyBorder="1"/>
    <xf numFmtId="0" fontId="0" fillId="2" borderId="86" xfId="0" applyFill="1" applyBorder="1" applyAlignment="1">
      <alignment horizontal="right"/>
    </xf>
    <xf numFmtId="0" fontId="0" fillId="2" borderId="84" xfId="0" applyFill="1" applyBorder="1" applyAlignment="1">
      <alignment horizontal="right"/>
    </xf>
    <xf numFmtId="0" fontId="0" fillId="2" borderId="89" xfId="0" applyFill="1" applyBorder="1" applyAlignment="1">
      <alignment horizontal="right"/>
    </xf>
    <xf numFmtId="0" fontId="0" fillId="0" borderId="96" xfId="0" applyBorder="1" applyAlignment="1">
      <alignment horizontal="right"/>
    </xf>
    <xf numFmtId="0" fontId="1" fillId="2" borderId="84" xfId="0" applyFont="1" applyFill="1" applyBorder="1" applyAlignment="1">
      <alignment horizontal="left"/>
    </xf>
    <xf numFmtId="0" fontId="1" fillId="0" borderId="14" xfId="0" applyFont="1" applyBorder="1"/>
    <xf numFmtId="2" fontId="0" fillId="0" borderId="14" xfId="0" applyNumberFormat="1" applyBorder="1"/>
    <xf numFmtId="2" fontId="0" fillId="0" borderId="25" xfId="0" applyNumberForma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2" fontId="0" fillId="2" borderId="43" xfId="0" applyNumberFormat="1" applyFill="1" applyBorder="1"/>
    <xf numFmtId="2" fontId="0" fillId="2" borderId="1" xfId="0" applyNumberFormat="1" applyFill="1" applyBorder="1"/>
    <xf numFmtId="0" fontId="0" fillId="0" borderId="11" xfId="0" applyBorder="1" applyAlignment="1">
      <alignment horizontal="right"/>
    </xf>
    <xf numFmtId="0" fontId="0" fillId="0" borderId="43" xfId="0" applyBorder="1"/>
    <xf numFmtId="164" fontId="0" fillId="0" borderId="6" xfId="0" applyNumberFormat="1" applyBorder="1"/>
    <xf numFmtId="164" fontId="0" fillId="0" borderId="52" xfId="0" applyNumberFormat="1" applyBorder="1"/>
    <xf numFmtId="164" fontId="0" fillId="0" borderId="36" xfId="0" applyNumberFormat="1" applyBorder="1"/>
    <xf numFmtId="164" fontId="0" fillId="0" borderId="102" xfId="0" applyNumberFormat="1" applyBorder="1"/>
    <xf numFmtId="0" fontId="12" fillId="0" borderId="27" xfId="2" applyFont="1" applyBorder="1" applyAlignment="1">
      <alignment horizontal="center" wrapText="1"/>
    </xf>
    <xf numFmtId="0" fontId="9" fillId="0" borderId="0" xfId="2" applyFont="1" applyAlignment="1">
      <alignment horizontal="center"/>
    </xf>
    <xf numFmtId="0" fontId="29" fillId="0" borderId="0" xfId="2" applyFont="1" applyAlignment="1">
      <alignment horizontal="center" vertical="top"/>
    </xf>
    <xf numFmtId="0" fontId="4" fillId="2" borderId="0" xfId="2" applyFont="1" applyFill="1" applyAlignment="1">
      <alignment horizontal="center" vertical="center"/>
    </xf>
    <xf numFmtId="0" fontId="54" fillId="9" borderId="0" xfId="0" applyFont="1" applyFill="1"/>
    <xf numFmtId="0" fontId="54" fillId="0" borderId="0" xfId="0" applyFont="1"/>
    <xf numFmtId="0" fontId="54" fillId="0" borderId="0" xfId="0" applyFont="1" applyAlignment="1">
      <alignment horizontal="center"/>
    </xf>
    <xf numFmtId="0" fontId="54" fillId="2" borderId="0" xfId="0" applyFont="1" applyFill="1" applyAlignment="1">
      <alignment horizontal="center"/>
    </xf>
    <xf numFmtId="164" fontId="59" fillId="0" borderId="0" xfId="0" applyNumberFormat="1" applyFont="1" applyAlignment="1">
      <alignment horizontal="left"/>
    </xf>
    <xf numFmtId="164" fontId="54" fillId="0" borderId="85" xfId="0" applyNumberFormat="1" applyFont="1" applyBorder="1" applyAlignment="1">
      <alignment horizontal="center"/>
    </xf>
    <xf numFmtId="164" fontId="54" fillId="2" borderId="0" xfId="0" applyNumberFormat="1" applyFont="1" applyFill="1" applyAlignment="1">
      <alignment horizontal="center"/>
    </xf>
    <xf numFmtId="164" fontId="54" fillId="2" borderId="84" xfId="0" applyNumberFormat="1" applyFont="1" applyFill="1" applyBorder="1"/>
    <xf numFmtId="164" fontId="59" fillId="0" borderId="0" xfId="0" applyNumberFormat="1" applyFont="1" applyAlignment="1">
      <alignment horizontal="center"/>
    </xf>
    <xf numFmtId="0" fontId="54" fillId="2" borderId="10" xfId="0" applyFont="1" applyFill="1" applyBorder="1"/>
    <xf numFmtId="0" fontId="61" fillId="2" borderId="10" xfId="0" applyFont="1" applyFill="1" applyBorder="1"/>
    <xf numFmtId="0" fontId="61" fillId="2" borderId="0" xfId="0" applyFont="1" applyFill="1" applyAlignment="1">
      <alignment horizontal="center"/>
    </xf>
    <xf numFmtId="164" fontId="61" fillId="2" borderId="10" xfId="0" applyNumberFormat="1" applyFont="1" applyFill="1" applyBorder="1"/>
    <xf numFmtId="164" fontId="61" fillId="2" borderId="0" xfId="0" applyNumberFormat="1" applyFont="1" applyFill="1" applyAlignment="1">
      <alignment horizontal="center"/>
    </xf>
    <xf numFmtId="2" fontId="61" fillId="2" borderId="10" xfId="0" applyNumberFormat="1" applyFont="1" applyFill="1" applyBorder="1"/>
    <xf numFmtId="0" fontId="61" fillId="2" borderId="17" xfId="0" applyFont="1" applyFill="1" applyBorder="1"/>
    <xf numFmtId="0" fontId="61" fillId="2" borderId="0" xfId="0" applyFont="1" applyFill="1"/>
    <xf numFmtId="164" fontId="59" fillId="0" borderId="0" xfId="0" applyNumberFormat="1" applyFont="1" applyAlignment="1">
      <alignment horizontal="left" indent="2"/>
    </xf>
    <xf numFmtId="0" fontId="54" fillId="2" borderId="10" xfId="0" applyFont="1" applyFill="1" applyBorder="1" applyAlignment="1">
      <alignment horizontal="left" vertical="top"/>
    </xf>
    <xf numFmtId="2" fontId="61" fillId="2" borderId="0" xfId="0" applyNumberFormat="1" applyFont="1" applyFill="1" applyAlignment="1">
      <alignment horizontal="center"/>
    </xf>
    <xf numFmtId="2" fontId="61" fillId="2" borderId="10" xfId="0" applyNumberFormat="1" applyFont="1" applyFill="1" applyBorder="1" applyAlignment="1">
      <alignment horizontal="left" vertical="top"/>
    </xf>
    <xf numFmtId="0" fontId="61" fillId="2" borderId="10" xfId="0" applyFont="1" applyFill="1" applyBorder="1" applyAlignment="1">
      <alignment horizontal="left" vertical="top"/>
    </xf>
    <xf numFmtId="0" fontId="61" fillId="11" borderId="85" xfId="0" applyFont="1" applyFill="1" applyBorder="1" applyAlignment="1">
      <alignment horizontal="center"/>
    </xf>
    <xf numFmtId="0" fontId="61" fillId="9" borderId="1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58" fillId="10" borderId="18" xfId="0" applyFont="1" applyFill="1" applyBorder="1" applyAlignment="1">
      <alignment horizontal="center"/>
    </xf>
    <xf numFmtId="164" fontId="58" fillId="10" borderId="1" xfId="0" applyNumberFormat="1" applyFont="1" applyFill="1" applyBorder="1" applyAlignment="1">
      <alignment horizontal="center"/>
    </xf>
    <xf numFmtId="0" fontId="58" fillId="10" borderId="1" xfId="0" applyFont="1" applyFill="1" applyBorder="1" applyAlignment="1">
      <alignment horizontal="center"/>
    </xf>
    <xf numFmtId="0" fontId="58" fillId="10" borderId="89" xfId="0" applyFont="1" applyFill="1" applyBorder="1" applyAlignment="1">
      <alignment horizontal="center"/>
    </xf>
    <xf numFmtId="0" fontId="58" fillId="10" borderId="11" xfId="0" applyFont="1" applyFill="1" applyBorder="1" applyAlignment="1">
      <alignment horizontal="center"/>
    </xf>
    <xf numFmtId="0" fontId="64" fillId="4" borderId="84" xfId="0" applyFont="1" applyFill="1" applyBorder="1" applyAlignment="1">
      <alignment horizontal="center" vertical="center"/>
    </xf>
    <xf numFmtId="0" fontId="64" fillId="4" borderId="85" xfId="0" applyFont="1" applyFill="1" applyBorder="1" applyAlignment="1">
      <alignment horizontal="center" vertical="center"/>
    </xf>
    <xf numFmtId="0" fontId="64" fillId="4" borderId="89" xfId="0" applyFont="1" applyFill="1" applyBorder="1" applyAlignment="1">
      <alignment horizontal="center" vertical="center"/>
    </xf>
    <xf numFmtId="0" fontId="64" fillId="4" borderId="17" xfId="0" applyFont="1" applyFill="1" applyBorder="1" applyAlignment="1">
      <alignment horizontal="center" vertical="center"/>
    </xf>
    <xf numFmtId="0" fontId="64" fillId="4" borderId="18" xfId="0" applyFont="1" applyFill="1" applyBorder="1" applyAlignment="1">
      <alignment horizontal="center" vertical="center"/>
    </xf>
    <xf numFmtId="0" fontId="64" fillId="4" borderId="6" xfId="0" applyFont="1" applyFill="1" applyBorder="1" applyAlignment="1">
      <alignment horizontal="center" vertical="center"/>
    </xf>
    <xf numFmtId="0" fontId="64" fillId="4" borderId="87" xfId="0" applyFont="1" applyFill="1" applyBorder="1" applyAlignment="1">
      <alignment horizontal="center" vertical="center"/>
    </xf>
    <xf numFmtId="0" fontId="64" fillId="4" borderId="39" xfId="0" applyFont="1" applyFill="1" applyBorder="1" applyAlignment="1">
      <alignment horizontal="center" vertical="center"/>
    </xf>
    <xf numFmtId="0" fontId="58" fillId="10" borderId="5" xfId="0" applyFont="1" applyFill="1" applyBorder="1" applyAlignment="1">
      <alignment horizontal="center"/>
    </xf>
    <xf numFmtId="0" fontId="58" fillId="10" borderId="6" xfId="0" applyFont="1" applyFill="1" applyBorder="1" applyAlignment="1">
      <alignment horizontal="center"/>
    </xf>
    <xf numFmtId="0" fontId="58" fillId="10" borderId="85" xfId="0" applyFont="1" applyFill="1" applyBorder="1" applyAlignment="1">
      <alignment horizontal="center"/>
    </xf>
    <xf numFmtId="0" fontId="58" fillId="10" borderId="19" xfId="0" applyFont="1" applyFill="1" applyBorder="1" applyAlignment="1">
      <alignment horizontal="center"/>
    </xf>
    <xf numFmtId="2" fontId="58" fillId="10" borderId="18" xfId="0" applyNumberFormat="1" applyFont="1" applyFill="1" applyBorder="1" applyAlignment="1">
      <alignment horizontal="center"/>
    </xf>
    <xf numFmtId="1" fontId="58" fillId="10" borderId="18" xfId="0" applyNumberFormat="1" applyFont="1" applyFill="1" applyBorder="1" applyAlignment="1">
      <alignment horizontal="center"/>
    </xf>
    <xf numFmtId="0" fontId="58" fillId="10" borderId="12" xfId="0" applyFont="1" applyFill="1" applyBorder="1" applyAlignment="1">
      <alignment horizontal="center"/>
    </xf>
    <xf numFmtId="0" fontId="58" fillId="10" borderId="8" xfId="0" applyFont="1" applyFill="1" applyBorder="1" applyAlignment="1">
      <alignment horizontal="center"/>
    </xf>
    <xf numFmtId="166" fontId="58" fillId="10" borderId="85" xfId="0" applyNumberFormat="1" applyFont="1" applyFill="1" applyBorder="1" applyAlignment="1">
      <alignment horizontal="center"/>
    </xf>
    <xf numFmtId="164" fontId="58" fillId="10" borderId="12" xfId="0" applyNumberFormat="1" applyFont="1" applyFill="1" applyBorder="1" applyAlignment="1">
      <alignment horizontal="center"/>
    </xf>
    <xf numFmtId="0" fontId="58" fillId="10" borderId="9" xfId="0" applyFont="1" applyFill="1" applyBorder="1" applyAlignment="1">
      <alignment horizontal="center"/>
    </xf>
    <xf numFmtId="0" fontId="58" fillId="10" borderId="43" xfId="0" applyFont="1" applyFill="1" applyBorder="1" applyAlignment="1">
      <alignment horizontal="center"/>
    </xf>
    <xf numFmtId="0" fontId="54" fillId="25" borderId="8" xfId="0" applyFont="1" applyFill="1" applyBorder="1" applyAlignment="1">
      <alignment horizontal="center"/>
    </xf>
    <xf numFmtId="0" fontId="54" fillId="25" borderId="1" xfId="0" applyFont="1" applyFill="1" applyBorder="1" applyAlignment="1">
      <alignment horizontal="center"/>
    </xf>
    <xf numFmtId="0" fontId="54" fillId="25" borderId="18" xfId="0" applyFont="1" applyFill="1" applyBorder="1" applyAlignment="1">
      <alignment horizontal="center"/>
    </xf>
    <xf numFmtId="164" fontId="58" fillId="25" borderId="1" xfId="0" applyNumberFormat="1" applyFont="1" applyFill="1" applyBorder="1" applyAlignment="1">
      <alignment horizontal="center"/>
    </xf>
    <xf numFmtId="0" fontId="58" fillId="25" borderId="1" xfId="0" applyFont="1" applyFill="1" applyBorder="1" applyAlignment="1">
      <alignment horizontal="center"/>
    </xf>
    <xf numFmtId="0" fontId="58" fillId="25" borderId="18" xfId="0" applyFont="1" applyFill="1" applyBorder="1" applyAlignment="1">
      <alignment horizontal="center"/>
    </xf>
    <xf numFmtId="0" fontId="54" fillId="25" borderId="5" xfId="0" applyFont="1" applyFill="1" applyBorder="1" applyAlignment="1">
      <alignment horizontal="center"/>
    </xf>
    <xf numFmtId="0" fontId="54" fillId="3" borderId="85" xfId="0" applyFont="1" applyFill="1" applyBorder="1" applyAlignment="1">
      <alignment horizontal="center"/>
    </xf>
    <xf numFmtId="0" fontId="54" fillId="3" borderId="18" xfId="0" applyFont="1" applyFill="1" applyBorder="1" applyAlignment="1">
      <alignment horizontal="center"/>
    </xf>
    <xf numFmtId="0" fontId="54" fillId="25" borderId="85" xfId="0" applyFont="1" applyFill="1" applyBorder="1" applyAlignment="1">
      <alignment horizontal="center"/>
    </xf>
    <xf numFmtId="164" fontId="58" fillId="25" borderId="5" xfId="0" applyNumberFormat="1" applyFont="1" applyFill="1" applyBorder="1" applyAlignment="1">
      <alignment horizontal="center"/>
    </xf>
    <xf numFmtId="164" fontId="58" fillId="25" borderId="85" xfId="0" applyNumberFormat="1" applyFont="1" applyFill="1" applyBorder="1" applyAlignment="1">
      <alignment horizontal="center"/>
    </xf>
    <xf numFmtId="164" fontId="58" fillId="25" borderId="18" xfId="0" applyNumberFormat="1" applyFont="1" applyFill="1" applyBorder="1" applyAlignment="1">
      <alignment horizontal="center"/>
    </xf>
    <xf numFmtId="164" fontId="58" fillId="3" borderId="18" xfId="0" applyNumberFormat="1" applyFont="1" applyFill="1" applyBorder="1" applyAlignment="1">
      <alignment horizontal="center"/>
    </xf>
    <xf numFmtId="164" fontId="58" fillId="3" borderId="19" xfId="0" applyNumberFormat="1" applyFont="1" applyFill="1" applyBorder="1" applyAlignment="1">
      <alignment horizontal="center"/>
    </xf>
    <xf numFmtId="0" fontId="54" fillId="3" borderId="5" xfId="0" applyFont="1" applyFill="1" applyBorder="1" applyAlignment="1">
      <alignment horizontal="center"/>
    </xf>
    <xf numFmtId="164" fontId="58" fillId="3" borderId="5" xfId="0" applyNumberFormat="1" applyFont="1" applyFill="1" applyBorder="1" applyAlignment="1">
      <alignment horizontal="center"/>
    </xf>
    <xf numFmtId="164" fontId="58" fillId="25" borderId="11" xfId="0" applyNumberFormat="1" applyFont="1" applyFill="1" applyBorder="1" applyAlignment="1">
      <alignment horizontal="center"/>
    </xf>
    <xf numFmtId="164" fontId="58" fillId="25" borderId="19" xfId="0" applyNumberFormat="1" applyFont="1" applyFill="1" applyBorder="1" applyAlignment="1">
      <alignment horizontal="center"/>
    </xf>
    <xf numFmtId="0" fontId="64" fillId="4" borderId="17" xfId="0" applyFont="1" applyFill="1" applyBorder="1" applyAlignment="1">
      <alignment horizontal="center"/>
    </xf>
    <xf numFmtId="0" fontId="58" fillId="25" borderId="8" xfId="0" applyFont="1" applyFill="1" applyBorder="1" applyAlignment="1">
      <alignment horizontal="center"/>
    </xf>
    <xf numFmtId="0" fontId="54" fillId="10" borderId="85" xfId="0" applyFont="1" applyFill="1" applyBorder="1" applyAlignment="1">
      <alignment horizontal="center"/>
    </xf>
    <xf numFmtId="164" fontId="54" fillId="3" borderId="16" xfId="0" applyNumberFormat="1" applyFont="1" applyFill="1" applyBorder="1" applyAlignment="1">
      <alignment horizontal="center"/>
    </xf>
    <xf numFmtId="0" fontId="54" fillId="10" borderId="16" xfId="0" applyFont="1" applyFill="1" applyBorder="1" applyAlignment="1">
      <alignment horizontal="center"/>
    </xf>
    <xf numFmtId="166" fontId="61" fillId="10" borderId="16" xfId="0" applyNumberFormat="1" applyFont="1" applyFill="1" applyBorder="1" applyAlignment="1">
      <alignment horizontal="center"/>
    </xf>
    <xf numFmtId="2" fontId="61" fillId="10" borderId="16" xfId="0" applyNumberFormat="1" applyFont="1" applyFill="1" applyBorder="1" applyAlignment="1">
      <alignment horizontal="center"/>
    </xf>
    <xf numFmtId="0" fontId="61" fillId="10" borderId="16" xfId="0" applyFont="1" applyFill="1" applyBorder="1" applyAlignment="1">
      <alignment horizontal="center"/>
    </xf>
    <xf numFmtId="1" fontId="61" fillId="10" borderId="16" xfId="0" applyNumberFormat="1" applyFont="1" applyFill="1" applyBorder="1" applyAlignment="1">
      <alignment horizontal="center"/>
    </xf>
    <xf numFmtId="0" fontId="54" fillId="10" borderId="39" xfId="0" applyFont="1" applyFill="1" applyBorder="1" applyAlignment="1">
      <alignment horizontal="center"/>
    </xf>
    <xf numFmtId="0" fontId="64" fillId="4" borderId="18" xfId="0" applyFont="1" applyFill="1" applyBorder="1" applyAlignment="1">
      <alignment horizontal="center"/>
    </xf>
    <xf numFmtId="0" fontId="54" fillId="2" borderId="84" xfId="0" applyFont="1" applyFill="1" applyBorder="1" applyAlignment="1">
      <alignment horizontal="left"/>
    </xf>
    <xf numFmtId="0" fontId="54" fillId="2" borderId="17" xfId="0" applyFont="1" applyFill="1" applyBorder="1" applyAlignment="1">
      <alignment horizontal="left"/>
    </xf>
    <xf numFmtId="0" fontId="54" fillId="2" borderId="17" xfId="0" applyFont="1" applyFill="1" applyBorder="1" applyAlignment="1">
      <alignment horizontal="left" vertical="center"/>
    </xf>
    <xf numFmtId="0" fontId="54" fillId="2" borderId="4" xfId="0" applyFont="1" applyFill="1" applyBorder="1" applyAlignment="1">
      <alignment horizontal="left"/>
    </xf>
    <xf numFmtId="0" fontId="54" fillId="2" borderId="10" xfId="0" applyFont="1" applyFill="1" applyBorder="1" applyAlignment="1">
      <alignment horizontal="left"/>
    </xf>
    <xf numFmtId="0" fontId="54" fillId="2" borderId="14" xfId="0" applyFont="1" applyFill="1" applyBorder="1" applyAlignment="1">
      <alignment horizontal="left"/>
    </xf>
    <xf numFmtId="0" fontId="54" fillId="2" borderId="7" xfId="0" applyFont="1" applyFill="1" applyBorder="1" applyAlignment="1">
      <alignment horizontal="left"/>
    </xf>
    <xf numFmtId="0" fontId="54" fillId="2" borderId="14" xfId="0" applyFont="1" applyFill="1" applyBorder="1" applyAlignment="1">
      <alignment horizontal="left" vertical="center"/>
    </xf>
    <xf numFmtId="0" fontId="54" fillId="2" borderId="85" xfId="0" applyFont="1" applyFill="1" applyBorder="1" applyAlignment="1">
      <alignment horizontal="center"/>
    </xf>
    <xf numFmtId="0" fontId="54" fillId="2" borderId="18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54" fillId="2" borderId="5" xfId="0" applyFont="1" applyFill="1" applyBorder="1" applyAlignment="1">
      <alignment horizontal="center"/>
    </xf>
    <xf numFmtId="0" fontId="61" fillId="2" borderId="5" xfId="0" applyFont="1" applyFill="1" applyBorder="1" applyAlignment="1">
      <alignment horizontal="center" vertical="center"/>
    </xf>
    <xf numFmtId="0" fontId="61" fillId="2" borderId="85" xfId="0" applyFont="1" applyFill="1" applyBorder="1" applyAlignment="1">
      <alignment horizontal="center" vertical="center"/>
    </xf>
    <xf numFmtId="0" fontId="61" fillId="2" borderId="18" xfId="0" applyFont="1" applyFill="1" applyBorder="1" applyAlignment="1">
      <alignment horizontal="center" vertical="center"/>
    </xf>
    <xf numFmtId="0" fontId="54" fillId="2" borderId="13" xfId="0" applyFont="1" applyFill="1" applyBorder="1" applyAlignment="1">
      <alignment horizontal="center" vertical="center"/>
    </xf>
    <xf numFmtId="0" fontId="54" fillId="2" borderId="8" xfId="0" applyFont="1" applyFill="1" applyBorder="1" applyAlignment="1">
      <alignment horizontal="center"/>
    </xf>
    <xf numFmtId="164" fontId="58" fillId="2" borderId="1" xfId="0" applyNumberFormat="1" applyFont="1" applyFill="1" applyBorder="1" applyAlignment="1">
      <alignment horizontal="center"/>
    </xf>
    <xf numFmtId="0" fontId="58" fillId="2" borderId="1" xfId="0" applyFont="1" applyFill="1" applyBorder="1" applyAlignment="1">
      <alignment horizontal="center"/>
    </xf>
    <xf numFmtId="164" fontId="58" fillId="2" borderId="11" xfId="0" applyNumberFormat="1" applyFont="1" applyFill="1" applyBorder="1" applyAlignment="1">
      <alignment horizontal="center"/>
    </xf>
    <xf numFmtId="164" fontId="58" fillId="2" borderId="8" xfId="0" applyNumberFormat="1" applyFont="1" applyFill="1" applyBorder="1" applyAlignment="1">
      <alignment horizontal="center"/>
    </xf>
    <xf numFmtId="164" fontId="58" fillId="2" borderId="9" xfId="0" applyNumberFormat="1" applyFont="1" applyFill="1" applyBorder="1" applyAlignment="1">
      <alignment horizontal="center"/>
    </xf>
    <xf numFmtId="164" fontId="58" fillId="2" borderId="85" xfId="0" applyNumberFormat="1" applyFont="1" applyFill="1" applyBorder="1" applyAlignment="1">
      <alignment horizontal="center"/>
    </xf>
    <xf numFmtId="164" fontId="58" fillId="2" borderId="12" xfId="0" applyNumberFormat="1" applyFont="1" applyFill="1" applyBorder="1" applyAlignment="1">
      <alignment horizontal="center"/>
    </xf>
    <xf numFmtId="164" fontId="58" fillId="2" borderId="18" xfId="0" applyNumberFormat="1" applyFont="1" applyFill="1" applyBorder="1" applyAlignment="1">
      <alignment horizontal="center"/>
    </xf>
    <xf numFmtId="0" fontId="58" fillId="2" borderId="12" xfId="0" applyFont="1" applyFill="1" applyBorder="1" applyAlignment="1">
      <alignment horizontal="center"/>
    </xf>
    <xf numFmtId="0" fontId="58" fillId="2" borderId="85" xfId="0" applyFont="1" applyFill="1" applyBorder="1" applyAlignment="1">
      <alignment horizontal="center"/>
    </xf>
    <xf numFmtId="164" fontId="54" fillId="2" borderId="85" xfId="0" applyNumberFormat="1" applyFont="1" applyFill="1" applyBorder="1" applyAlignment="1">
      <alignment horizontal="center"/>
    </xf>
    <xf numFmtId="164" fontId="54" fillId="2" borderId="89" xfId="0" applyNumberFormat="1" applyFont="1" applyFill="1" applyBorder="1" applyAlignment="1">
      <alignment horizontal="center"/>
    </xf>
    <xf numFmtId="0" fontId="58" fillId="2" borderId="18" xfId="0" applyFont="1" applyFill="1" applyBorder="1" applyAlignment="1">
      <alignment horizontal="center"/>
    </xf>
    <xf numFmtId="164" fontId="58" fillId="2" borderId="19" xfId="0" applyNumberFormat="1" applyFont="1" applyFill="1" applyBorder="1" applyAlignment="1">
      <alignment horizontal="center"/>
    </xf>
    <xf numFmtId="0" fontId="54" fillId="2" borderId="38" xfId="0" applyFont="1" applyFill="1" applyBorder="1" applyAlignment="1">
      <alignment horizontal="center"/>
    </xf>
    <xf numFmtId="164" fontId="54" fillId="2" borderId="16" xfId="0" applyNumberFormat="1" applyFont="1" applyFill="1" applyBorder="1" applyAlignment="1">
      <alignment horizontal="center"/>
    </xf>
    <xf numFmtId="164" fontId="58" fillId="2" borderId="89" xfId="0" applyNumberFormat="1" applyFont="1" applyFill="1" applyBorder="1" applyAlignment="1">
      <alignment horizontal="center"/>
    </xf>
    <xf numFmtId="0" fontId="54" fillId="2" borderId="7" xfId="0" applyFont="1" applyFill="1" applyBorder="1" applyAlignment="1">
      <alignment horizontal="left" vertical="top"/>
    </xf>
    <xf numFmtId="0" fontId="61" fillId="2" borderId="17" xfId="0" applyFont="1" applyFill="1" applyBorder="1" applyAlignment="1">
      <alignment horizontal="left" vertical="top"/>
    </xf>
    <xf numFmtId="164" fontId="54" fillId="25" borderId="89" xfId="0" applyNumberFormat="1" applyFont="1" applyFill="1" applyBorder="1" applyAlignment="1">
      <alignment horizontal="center"/>
    </xf>
    <xf numFmtId="164" fontId="54" fillId="25" borderId="11" xfId="0" applyNumberFormat="1" applyFont="1" applyFill="1" applyBorder="1" applyAlignment="1">
      <alignment horizontal="center"/>
    </xf>
    <xf numFmtId="164" fontId="54" fillId="25" borderId="19" xfId="0" applyNumberFormat="1" applyFont="1" applyFill="1" applyBorder="1" applyAlignment="1">
      <alignment horizontal="center"/>
    </xf>
    <xf numFmtId="0" fontId="61" fillId="25" borderId="8" xfId="0" applyFont="1" applyFill="1" applyBorder="1" applyAlignment="1">
      <alignment horizontal="center"/>
    </xf>
    <xf numFmtId="0" fontId="61" fillId="25" borderId="1" xfId="0" applyFont="1" applyFill="1" applyBorder="1" applyAlignment="1">
      <alignment horizontal="center"/>
    </xf>
    <xf numFmtId="0" fontId="56" fillId="2" borderId="18" xfId="0" applyFont="1" applyFill="1" applyBorder="1" applyAlignment="1">
      <alignment horizontal="center"/>
    </xf>
    <xf numFmtId="0" fontId="53" fillId="2" borderId="0" xfId="0" applyFont="1" applyFill="1" applyAlignment="1">
      <alignment horizontal="center"/>
    </xf>
    <xf numFmtId="0" fontId="54" fillId="2" borderId="0" xfId="0" applyFont="1" applyFill="1" applyAlignment="1">
      <alignment horizontal="left" vertical="center"/>
    </xf>
    <xf numFmtId="0" fontId="55" fillId="2" borderId="0" xfId="0" applyFont="1" applyFill="1" applyAlignment="1">
      <alignment horizontal="left" vertical="center"/>
    </xf>
    <xf numFmtId="0" fontId="54" fillId="2" borderId="0" xfId="0" applyFont="1" applyFill="1"/>
    <xf numFmtId="0" fontId="54" fillId="2" borderId="0" xfId="0" applyFont="1" applyFill="1" applyAlignment="1">
      <alignment horizontal="left" indent="7"/>
    </xf>
    <xf numFmtId="0" fontId="54" fillId="2" borderId="0" xfId="0" applyFont="1" applyFill="1" applyAlignment="1">
      <alignment horizontal="left"/>
    </xf>
    <xf numFmtId="14" fontId="55" fillId="2" borderId="0" xfId="0" applyNumberFormat="1" applyFont="1" applyFill="1" applyAlignment="1">
      <alignment horizontal="left" vertical="center"/>
    </xf>
    <xf numFmtId="170" fontId="54" fillId="2" borderId="0" xfId="0" applyNumberFormat="1" applyFont="1" applyFill="1" applyAlignment="1">
      <alignment horizontal="left"/>
    </xf>
    <xf numFmtId="14" fontId="54" fillId="2" borderId="0" xfId="0" applyNumberFormat="1" applyFont="1" applyFill="1" applyAlignment="1">
      <alignment horizontal="left"/>
    </xf>
    <xf numFmtId="0" fontId="54" fillId="2" borderId="35" xfId="0" applyFont="1" applyFill="1" applyBorder="1"/>
    <xf numFmtId="0" fontId="54" fillId="2" borderId="52" xfId="0" applyFont="1" applyFill="1" applyBorder="1"/>
    <xf numFmtId="0" fontId="56" fillId="2" borderId="0" xfId="0" applyFont="1" applyFill="1" applyAlignment="1">
      <alignment horizontal="center"/>
    </xf>
    <xf numFmtId="0" fontId="63" fillId="2" borderId="0" xfId="0" applyFont="1" applyFill="1" applyAlignment="1">
      <alignment horizontal="center"/>
    </xf>
    <xf numFmtId="164" fontId="58" fillId="25" borderId="85" xfId="0" applyNumberFormat="1" applyFont="1" applyFill="1" applyBorder="1"/>
    <xf numFmtId="164" fontId="58" fillId="25" borderId="1" xfId="0" applyNumberFormat="1" applyFont="1" applyFill="1" applyBorder="1"/>
    <xf numFmtId="164" fontId="58" fillId="25" borderId="18" xfId="0" applyNumberFormat="1" applyFont="1" applyFill="1" applyBorder="1"/>
    <xf numFmtId="164" fontId="54" fillId="10" borderId="85" xfId="0" applyNumberFormat="1" applyFont="1" applyFill="1" applyBorder="1" applyAlignment="1">
      <alignment horizontal="center"/>
    </xf>
    <xf numFmtId="164" fontId="58" fillId="10" borderId="18" xfId="0" applyNumberFormat="1" applyFont="1" applyFill="1" applyBorder="1" applyAlignment="1">
      <alignment horizontal="center"/>
    </xf>
    <xf numFmtId="164" fontId="58" fillId="10" borderId="85" xfId="0" applyNumberFormat="1" applyFont="1" applyFill="1" applyBorder="1" applyAlignment="1">
      <alignment horizontal="center"/>
    </xf>
    <xf numFmtId="164" fontId="58" fillId="10" borderId="85" xfId="0" applyNumberFormat="1" applyFont="1" applyFill="1" applyBorder="1"/>
    <xf numFmtId="164" fontId="58" fillId="10" borderId="1" xfId="0" applyNumberFormat="1" applyFont="1" applyFill="1" applyBorder="1"/>
    <xf numFmtId="164" fontId="58" fillId="10" borderId="18" xfId="0" applyNumberFormat="1" applyFont="1" applyFill="1" applyBorder="1"/>
    <xf numFmtId="0" fontId="54" fillId="5" borderId="10" xfId="0" applyFont="1" applyFill="1" applyBorder="1" applyAlignment="1">
      <alignment horizontal="left"/>
    </xf>
    <xf numFmtId="0" fontId="54" fillId="5" borderId="1" xfId="0" applyFont="1" applyFill="1" applyBorder="1" applyAlignment="1">
      <alignment horizontal="center"/>
    </xf>
    <xf numFmtId="1" fontId="58" fillId="10" borderId="21" xfId="0" applyNumberFormat="1" applyFont="1" applyFill="1" applyBorder="1" applyAlignment="1">
      <alignment horizontal="center"/>
    </xf>
    <xf numFmtId="1" fontId="58" fillId="10" borderId="13" xfId="0" applyNumberFormat="1" applyFont="1" applyFill="1" applyBorder="1" applyAlignment="1">
      <alignment horizontal="center"/>
    </xf>
    <xf numFmtId="1" fontId="58" fillId="10" borderId="1" xfId="0" applyNumberFormat="1" applyFont="1" applyFill="1" applyBorder="1" applyAlignment="1">
      <alignment horizontal="center"/>
    </xf>
    <xf numFmtId="164" fontId="58" fillId="10" borderId="11" xfId="0" applyNumberFormat="1" applyFont="1" applyFill="1" applyBorder="1" applyAlignment="1">
      <alignment horizontal="center"/>
    </xf>
    <xf numFmtId="0" fontId="54" fillId="5" borderId="15" xfId="0" applyFont="1" applyFill="1" applyBorder="1" applyAlignment="1">
      <alignment horizontal="left"/>
    </xf>
    <xf numFmtId="0" fontId="54" fillId="5" borderId="13" xfId="0" applyFont="1" applyFill="1" applyBorder="1" applyAlignment="1">
      <alignment horizontal="center"/>
    </xf>
    <xf numFmtId="164" fontId="58" fillId="5" borderId="13" xfId="0" applyNumberFormat="1" applyFont="1" applyFill="1" applyBorder="1" applyAlignment="1">
      <alignment horizontal="center"/>
    </xf>
    <xf numFmtId="164" fontId="58" fillId="5" borderId="1" xfId="0" applyNumberFormat="1" applyFont="1" applyFill="1" applyBorder="1" applyAlignment="1">
      <alignment horizontal="center"/>
    </xf>
    <xf numFmtId="0" fontId="54" fillId="5" borderId="103" xfId="0" applyFont="1" applyFill="1" applyBorder="1" applyAlignment="1">
      <alignment horizontal="left"/>
    </xf>
    <xf numFmtId="0" fontId="54" fillId="5" borderId="21" xfId="0" applyFont="1" applyFill="1" applyBorder="1" applyAlignment="1">
      <alignment horizontal="center"/>
    </xf>
    <xf numFmtId="164" fontId="58" fillId="5" borderId="21" xfId="0" applyNumberFormat="1" applyFont="1" applyFill="1" applyBorder="1" applyAlignment="1">
      <alignment horizontal="center"/>
    </xf>
    <xf numFmtId="164" fontId="58" fillId="10" borderId="43" xfId="0" applyNumberFormat="1" applyFont="1" applyFill="1" applyBorder="1" applyAlignment="1">
      <alignment horizontal="center"/>
    </xf>
    <xf numFmtId="164" fontId="58" fillId="25" borderId="8" xfId="0" applyNumberFormat="1" applyFont="1" applyFill="1" applyBorder="1" applyAlignment="1">
      <alignment horizontal="center"/>
    </xf>
    <xf numFmtId="0" fontId="64" fillId="4" borderId="102" xfId="0" applyFont="1" applyFill="1" applyBorder="1" applyAlignment="1">
      <alignment horizontal="center" vertical="center"/>
    </xf>
    <xf numFmtId="0" fontId="56" fillId="25" borderId="18" xfId="0" applyFont="1" applyFill="1" applyBorder="1" applyAlignment="1">
      <alignment horizontal="center"/>
    </xf>
    <xf numFmtId="0" fontId="58" fillId="2" borderId="11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 vertical="center"/>
    </xf>
    <xf numFmtId="164" fontId="58" fillId="22" borderId="18" xfId="0" applyNumberFormat="1" applyFont="1" applyFill="1" applyBorder="1" applyAlignment="1">
      <alignment horizontal="center"/>
    </xf>
    <xf numFmtId="164" fontId="58" fillId="22" borderId="19" xfId="0" applyNumberFormat="1" applyFont="1" applyFill="1" applyBorder="1" applyAlignment="1">
      <alignment horizontal="center"/>
    </xf>
    <xf numFmtId="0" fontId="54" fillId="2" borderId="12" xfId="0" applyFont="1" applyFill="1" applyBorder="1" applyAlignment="1">
      <alignment horizontal="center"/>
    </xf>
    <xf numFmtId="166" fontId="58" fillId="2" borderId="85" xfId="0" applyNumberFormat="1" applyFont="1" applyFill="1" applyBorder="1" applyAlignment="1">
      <alignment horizontal="center"/>
    </xf>
    <xf numFmtId="165" fontId="58" fillId="2" borderId="85" xfId="0" applyNumberFormat="1" applyFont="1" applyFill="1" applyBorder="1" applyAlignment="1">
      <alignment horizontal="center"/>
    </xf>
    <xf numFmtId="0" fontId="58" fillId="2" borderId="89" xfId="0" applyFont="1" applyFill="1" applyBorder="1" applyAlignment="1">
      <alignment horizontal="center"/>
    </xf>
    <xf numFmtId="2" fontId="58" fillId="2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15" fontId="0" fillId="0" borderId="0" xfId="0" applyNumberFormat="1"/>
    <xf numFmtId="0" fontId="65" fillId="0" borderId="104" xfId="0" applyFont="1" applyBorder="1" applyAlignment="1">
      <alignment horizontal="center" vertical="center"/>
    </xf>
    <xf numFmtId="0" fontId="66" fillId="0" borderId="105" xfId="0" applyFont="1" applyBorder="1" applyAlignment="1">
      <alignment horizontal="center" vertical="center"/>
    </xf>
    <xf numFmtId="0" fontId="66" fillId="0" borderId="104" xfId="0" applyFont="1" applyBorder="1" applyAlignment="1">
      <alignment horizontal="center" vertical="center"/>
    </xf>
    <xf numFmtId="0" fontId="66" fillId="26" borderId="104" xfId="0" applyFont="1" applyFill="1" applyBorder="1" applyAlignment="1">
      <alignment horizontal="center" vertical="center"/>
    </xf>
    <xf numFmtId="0" fontId="66" fillId="26" borderId="105" xfId="0" applyFont="1" applyFill="1" applyBorder="1" applyAlignment="1">
      <alignment horizontal="center" vertical="center"/>
    </xf>
    <xf numFmtId="0" fontId="66" fillId="26" borderId="106" xfId="0" applyFont="1" applyFill="1" applyBorder="1" applyAlignment="1">
      <alignment horizontal="center" vertical="center"/>
    </xf>
    <xf numFmtId="0" fontId="66" fillId="26" borderId="107" xfId="0" applyFont="1" applyFill="1" applyBorder="1" applyAlignment="1">
      <alignment horizontal="center" vertical="center"/>
    </xf>
    <xf numFmtId="0" fontId="66" fillId="0" borderId="107" xfId="0" applyFont="1" applyBorder="1" applyAlignment="1">
      <alignment horizontal="center" vertical="center"/>
    </xf>
    <xf numFmtId="0" fontId="67" fillId="0" borderId="108" xfId="0" applyFont="1" applyBorder="1" applyAlignment="1">
      <alignment horizontal="center" vertical="center"/>
    </xf>
    <xf numFmtId="0" fontId="38" fillId="0" borderId="108" xfId="0" applyFont="1" applyBorder="1" applyAlignment="1">
      <alignment horizontal="center" vertical="center"/>
    </xf>
    <xf numFmtId="0" fontId="66" fillId="0" borderId="106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27" borderId="105" xfId="0" applyFont="1" applyFill="1" applyBorder="1" applyAlignment="1">
      <alignment horizontal="center" vertical="center"/>
    </xf>
    <xf numFmtId="0" fontId="66" fillId="28" borderId="105" xfId="0" applyFont="1" applyFill="1" applyBorder="1" applyAlignment="1">
      <alignment horizontal="center" vertical="center"/>
    </xf>
    <xf numFmtId="0" fontId="67" fillId="0" borderId="108" xfId="0" applyFont="1" applyBorder="1" applyAlignment="1">
      <alignment horizontal="right" vertical="center"/>
    </xf>
    <xf numFmtId="166" fontId="4" fillId="10" borderId="16" xfId="2" applyNumberFormat="1" applyFont="1" applyFill="1" applyBorder="1" applyAlignment="1">
      <alignment horizontal="center"/>
    </xf>
    <xf numFmtId="0" fontId="0" fillId="0" borderId="110" xfId="0" applyBorder="1"/>
    <xf numFmtId="0" fontId="1" fillId="0" borderId="50" xfId="0" applyFont="1" applyBorder="1" applyAlignment="1">
      <alignment horizontal="center"/>
    </xf>
    <xf numFmtId="166" fontId="4" fillId="2" borderId="16" xfId="2" applyNumberFormat="1" applyFont="1" applyFill="1" applyBorder="1" applyAlignment="1">
      <alignment horizontal="center"/>
    </xf>
    <xf numFmtId="166" fontId="0" fillId="0" borderId="0" xfId="0" applyNumberFormat="1"/>
    <xf numFmtId="167" fontId="0" fillId="0" borderId="0" xfId="0" applyNumberFormat="1"/>
    <xf numFmtId="167" fontId="0" fillId="0" borderId="54" xfId="0" applyNumberFormat="1" applyBorder="1"/>
    <xf numFmtId="2" fontId="0" fillId="17" borderId="54" xfId="0" applyNumberFormat="1" applyFill="1" applyBorder="1" applyAlignment="1">
      <alignment horizontal="center" vertical="center"/>
    </xf>
    <xf numFmtId="167" fontId="1" fillId="17" borderId="67" xfId="0" applyNumberFormat="1" applyFont="1" applyFill="1" applyBorder="1"/>
    <xf numFmtId="0" fontId="1" fillId="0" borderId="81" xfId="0" applyFont="1" applyBorder="1"/>
    <xf numFmtId="0" fontId="1" fillId="0" borderId="82" xfId="0" applyFont="1" applyBorder="1"/>
    <xf numFmtId="0" fontId="1" fillId="3" borderId="25" xfId="0" applyFont="1" applyFill="1" applyBorder="1"/>
    <xf numFmtId="0" fontId="1" fillId="3" borderId="12" xfId="0" applyFont="1" applyFill="1" applyBorder="1"/>
    <xf numFmtId="165" fontId="0" fillId="0" borderId="8" xfId="0" applyNumberFormat="1" applyBorder="1"/>
    <xf numFmtId="167" fontId="0" fillId="0" borderId="8" xfId="0" applyNumberFormat="1" applyBorder="1"/>
    <xf numFmtId="167" fontId="0" fillId="0" borderId="109" xfId="0" applyNumberFormat="1" applyBorder="1"/>
    <xf numFmtId="168" fontId="0" fillId="0" borderId="72" xfId="0" applyNumberFormat="1" applyBorder="1"/>
    <xf numFmtId="165" fontId="0" fillId="0" borderId="81" xfId="0" applyNumberFormat="1" applyBorder="1" applyAlignment="1">
      <alignment horizontal="center" vertical="center"/>
    </xf>
    <xf numFmtId="0" fontId="0" fillId="0" borderId="113" xfId="0" applyBorder="1"/>
    <xf numFmtId="168" fontId="0" fillId="0" borderId="71" xfId="0" applyNumberFormat="1" applyBorder="1"/>
    <xf numFmtId="0" fontId="1" fillId="0" borderId="114" xfId="0" applyFont="1" applyBorder="1"/>
    <xf numFmtId="0" fontId="0" fillId="0" borderId="115" xfId="0" applyBorder="1"/>
    <xf numFmtId="0" fontId="0" fillId="0" borderId="116" xfId="0" applyBorder="1"/>
    <xf numFmtId="0" fontId="0" fillId="3" borderId="116" xfId="0" applyFill="1" applyBorder="1"/>
    <xf numFmtId="0" fontId="0" fillId="3" borderId="113" xfId="0" applyFill="1" applyBorder="1"/>
    <xf numFmtId="0" fontId="0" fillId="0" borderId="113" xfId="0" applyBorder="1" applyAlignment="1">
      <alignment horizontal="right"/>
    </xf>
    <xf numFmtId="166" fontId="0" fillId="0" borderId="115" xfId="0" applyNumberFormat="1" applyBorder="1" applyAlignment="1">
      <alignment horizontal="center" vertical="center"/>
    </xf>
    <xf numFmtId="166" fontId="0" fillId="0" borderId="113" xfId="0" applyNumberFormat="1" applyBorder="1" applyAlignment="1">
      <alignment horizontal="center" vertical="center"/>
    </xf>
    <xf numFmtId="0" fontId="0" fillId="0" borderId="114" xfId="0" applyBorder="1"/>
    <xf numFmtId="0" fontId="37" fillId="0" borderId="0" xfId="0" applyFont="1"/>
    <xf numFmtId="9" fontId="37" fillId="0" borderId="0" xfId="0" applyNumberFormat="1" applyFont="1"/>
    <xf numFmtId="164" fontId="0" fillId="2" borderId="11" xfId="0" applyNumberFormat="1" applyFill="1" applyBorder="1"/>
    <xf numFmtId="171" fontId="0" fillId="0" borderId="1" xfId="4" applyNumberFormat="1" applyFont="1" applyBorder="1"/>
    <xf numFmtId="2" fontId="0" fillId="0" borderId="15" xfId="0" applyNumberFormat="1" applyBorder="1"/>
    <xf numFmtId="2" fontId="0" fillId="0" borderId="27" xfId="0" applyNumberFormat="1" applyBorder="1" applyAlignment="1">
      <alignment horizontal="right"/>
    </xf>
    <xf numFmtId="2" fontId="0" fillId="0" borderId="15" xfId="0" applyNumberFormat="1" applyBorder="1" applyAlignment="1">
      <alignment horizontal="right"/>
    </xf>
    <xf numFmtId="2" fontId="0" fillId="2" borderId="27" xfId="0" applyNumberFormat="1" applyFill="1" applyBorder="1"/>
    <xf numFmtId="164" fontId="0" fillId="0" borderId="32" xfId="0" applyNumberFormat="1" applyBorder="1"/>
    <xf numFmtId="164" fontId="0" fillId="0" borderId="80" xfId="0" applyNumberFormat="1" applyBorder="1"/>
    <xf numFmtId="164" fontId="0" fillId="0" borderId="93" xfId="0" applyNumberFormat="1" applyBorder="1"/>
    <xf numFmtId="0" fontId="0" fillId="0" borderId="0" xfId="0" applyAlignment="1">
      <alignment horizontal="left"/>
    </xf>
    <xf numFmtId="0" fontId="1" fillId="8" borderId="0" xfId="0" applyFont="1" applyFill="1"/>
    <xf numFmtId="0" fontId="0" fillId="8" borderId="54" xfId="0" applyFill="1" applyBorder="1"/>
    <xf numFmtId="0" fontId="0" fillId="8" borderId="1" xfId="0" applyFill="1" applyBorder="1"/>
    <xf numFmtId="0" fontId="0" fillId="8" borderId="28" xfId="0" applyFill="1" applyBorder="1"/>
    <xf numFmtId="0" fontId="43" fillId="17" borderId="28" xfId="0" applyFont="1" applyFill="1" applyBorder="1"/>
    <xf numFmtId="16" fontId="0" fillId="17" borderId="28" xfId="0" applyNumberFormat="1" applyFill="1" applyBorder="1"/>
    <xf numFmtId="16" fontId="0" fillId="17" borderId="25" xfId="0" applyNumberFormat="1" applyFill="1" applyBorder="1"/>
    <xf numFmtId="0" fontId="1" fillId="17" borderId="65" xfId="0" applyFont="1" applyFill="1" applyBorder="1" applyAlignment="1">
      <alignment horizontal="center" vertical="center"/>
    </xf>
    <xf numFmtId="164" fontId="36" fillId="17" borderId="26" xfId="0" applyNumberFormat="1" applyFont="1" applyFill="1" applyBorder="1" applyAlignment="1">
      <alignment horizontal="center"/>
    </xf>
    <xf numFmtId="164" fontId="36" fillId="17" borderId="28" xfId="0" applyNumberFormat="1" applyFont="1" applyFill="1" applyBorder="1" applyAlignment="1">
      <alignment horizontal="center"/>
    </xf>
    <xf numFmtId="164" fontId="0" fillId="17" borderId="25" xfId="0" applyNumberFormat="1" applyFill="1" applyBorder="1" applyAlignment="1">
      <alignment horizontal="center"/>
    </xf>
    <xf numFmtId="0" fontId="1" fillId="17" borderId="59" xfId="0" applyFont="1" applyFill="1" applyBorder="1" applyAlignment="1">
      <alignment horizontal="center"/>
    </xf>
    <xf numFmtId="0" fontId="1" fillId="17" borderId="26" xfId="0" applyFont="1" applyFill="1" applyBorder="1" applyAlignment="1">
      <alignment horizontal="center"/>
    </xf>
    <xf numFmtId="0" fontId="0" fillId="17" borderId="69" xfId="0" applyFill="1" applyBorder="1"/>
    <xf numFmtId="0" fontId="0" fillId="17" borderId="26" xfId="0" applyFill="1" applyBorder="1" applyAlignment="1">
      <alignment horizontal="center" vertical="center"/>
    </xf>
    <xf numFmtId="0" fontId="0" fillId="17" borderId="28" xfId="0" applyFill="1" applyBorder="1"/>
    <xf numFmtId="0" fontId="0" fillId="17" borderId="28" xfId="0" applyFill="1" applyBorder="1" applyAlignment="1">
      <alignment horizontal="center" vertical="center"/>
    </xf>
    <xf numFmtId="0" fontId="0" fillId="17" borderId="25" xfId="0" applyFill="1" applyBorder="1" applyAlignment="1">
      <alignment horizontal="center" vertical="center"/>
    </xf>
    <xf numFmtId="0" fontId="0" fillId="17" borderId="59" xfId="0" applyFill="1" applyBorder="1"/>
    <xf numFmtId="0" fontId="0" fillId="17" borderId="59" xfId="0" applyFill="1" applyBorder="1" applyAlignment="1">
      <alignment horizontal="center" vertical="center"/>
    </xf>
    <xf numFmtId="2" fontId="0" fillId="17" borderId="26" xfId="0" applyNumberFormat="1" applyFill="1" applyBorder="1" applyAlignment="1">
      <alignment horizontal="center" vertical="center"/>
    </xf>
    <xf numFmtId="2" fontId="0" fillId="17" borderId="25" xfId="0" applyNumberFormat="1" applyFill="1" applyBorder="1" applyAlignment="1">
      <alignment horizontal="center" vertical="center"/>
    </xf>
    <xf numFmtId="2" fontId="0" fillId="17" borderId="28" xfId="0" applyNumberFormat="1" applyFill="1" applyBorder="1" applyAlignment="1">
      <alignment horizontal="center" vertical="center"/>
    </xf>
    <xf numFmtId="2" fontId="0" fillId="17" borderId="59" xfId="0" applyNumberFormat="1" applyFill="1" applyBorder="1" applyAlignment="1">
      <alignment horizontal="center" vertical="center"/>
    </xf>
    <xf numFmtId="0" fontId="0" fillId="17" borderId="111" xfId="0" applyFill="1" applyBorder="1"/>
    <xf numFmtId="0" fontId="0" fillId="17" borderId="51" xfId="0" applyFill="1" applyBorder="1" applyAlignment="1">
      <alignment horizontal="center" vertical="center"/>
    </xf>
    <xf numFmtId="0" fontId="1" fillId="17" borderId="28" xfId="0" applyFont="1" applyFill="1" applyBorder="1" applyAlignment="1">
      <alignment horizontal="center"/>
    </xf>
    <xf numFmtId="2" fontId="36" fillId="17" borderId="28" xfId="0" applyNumberFormat="1" applyFont="1" applyFill="1" applyBorder="1" applyAlignment="1">
      <alignment horizontal="center"/>
    </xf>
    <xf numFmtId="2" fontId="36" fillId="17" borderId="71" xfId="0" applyNumberFormat="1" applyFont="1" applyFill="1" applyBorder="1" applyAlignment="1">
      <alignment horizontal="center"/>
    </xf>
    <xf numFmtId="164" fontId="35" fillId="17" borderId="28" xfId="0" applyNumberFormat="1" applyFont="1" applyFill="1" applyBorder="1" applyAlignment="1">
      <alignment horizontal="center"/>
    </xf>
    <xf numFmtId="2" fontId="36" fillId="17" borderId="28" xfId="0" applyNumberFormat="1" applyFont="1" applyFill="1" applyBorder="1" applyAlignment="1">
      <alignment horizontal="center" vertical="center"/>
    </xf>
    <xf numFmtId="2" fontId="36" fillId="17" borderId="3" xfId="0" applyNumberFormat="1" applyFont="1" applyFill="1" applyBorder="1" applyAlignment="1">
      <alignment horizontal="center" vertical="center"/>
    </xf>
    <xf numFmtId="2" fontId="36" fillId="17" borderId="71" xfId="0" applyNumberFormat="1" applyFont="1" applyFill="1" applyBorder="1" applyAlignment="1">
      <alignment horizontal="center" vertical="center"/>
    </xf>
    <xf numFmtId="164" fontId="36" fillId="17" borderId="28" xfId="0" applyNumberFormat="1" applyFont="1" applyFill="1" applyBorder="1" applyAlignment="1">
      <alignment horizontal="center" vertical="center"/>
    </xf>
    <xf numFmtId="164" fontId="36" fillId="17" borderId="1" xfId="0" applyNumberFormat="1" applyFont="1" applyFill="1" applyBorder="1"/>
    <xf numFmtId="164" fontId="36" fillId="17" borderId="28" xfId="0" applyNumberFormat="1" applyFont="1" applyFill="1" applyBorder="1"/>
    <xf numFmtId="164" fontId="36" fillId="17" borderId="25" xfId="0" applyNumberFormat="1" applyFont="1" applyFill="1" applyBorder="1"/>
    <xf numFmtId="2" fontId="36" fillId="17" borderId="59" xfId="0" applyNumberFormat="1" applyFont="1" applyFill="1" applyBorder="1"/>
    <xf numFmtId="2" fontId="1" fillId="17" borderId="25" xfId="0" applyNumberFormat="1" applyFont="1" applyFill="1" applyBorder="1" applyAlignment="1">
      <alignment horizontal="center" vertical="center"/>
    </xf>
    <xf numFmtId="0" fontId="0" fillId="17" borderId="112" xfId="0" applyFill="1" applyBorder="1"/>
    <xf numFmtId="165" fontId="0" fillId="17" borderId="9" xfId="0" applyNumberFormat="1" applyFill="1" applyBorder="1"/>
    <xf numFmtId="0" fontId="0" fillId="17" borderId="9" xfId="0" applyFill="1" applyBorder="1"/>
    <xf numFmtId="0" fontId="1" fillId="17" borderId="81" xfId="0" applyFont="1" applyFill="1" applyBorder="1"/>
    <xf numFmtId="166" fontId="0" fillId="17" borderId="26" xfId="0" applyNumberFormat="1" applyFill="1" applyBorder="1" applyAlignment="1">
      <alignment horizontal="center" vertical="center"/>
    </xf>
    <xf numFmtId="166" fontId="0" fillId="17" borderId="28" xfId="0" applyNumberFormat="1" applyFill="1" applyBorder="1" applyAlignment="1">
      <alignment horizontal="center" vertical="center"/>
    </xf>
    <xf numFmtId="166" fontId="1" fillId="17" borderId="28" xfId="0" applyNumberFormat="1" applyFont="1" applyFill="1" applyBorder="1" applyAlignment="1">
      <alignment horizontal="center" vertical="center"/>
    </xf>
    <xf numFmtId="0" fontId="0" fillId="17" borderId="25" xfId="0" applyFill="1" applyBorder="1"/>
    <xf numFmtId="166" fontId="0" fillId="17" borderId="51" xfId="0" applyNumberFormat="1" applyFill="1" applyBorder="1" applyAlignment="1">
      <alignment horizontal="center" vertical="center"/>
    </xf>
    <xf numFmtId="166" fontId="0" fillId="17" borderId="69" xfId="0" applyNumberFormat="1" applyFill="1" applyBorder="1" applyAlignment="1">
      <alignment horizontal="center" vertical="center"/>
    </xf>
    <xf numFmtId="166" fontId="0" fillId="17" borderId="25" xfId="0" applyNumberFormat="1" applyFill="1" applyBorder="1" applyAlignment="1">
      <alignment horizontal="center" vertical="center"/>
    </xf>
    <xf numFmtId="0" fontId="0" fillId="17" borderId="26" xfId="0" applyFill="1" applyBorder="1"/>
    <xf numFmtId="0" fontId="0" fillId="17" borderId="28" xfId="0" applyFill="1" applyBorder="1" applyAlignment="1">
      <alignment horizontal="center"/>
    </xf>
    <xf numFmtId="0" fontId="0" fillId="17" borderId="25" xfId="0" applyFill="1" applyBorder="1" applyAlignment="1">
      <alignment horizontal="center"/>
    </xf>
    <xf numFmtId="0" fontId="0" fillId="17" borderId="51" xfId="0" applyFill="1" applyBorder="1" applyAlignment="1">
      <alignment horizontal="center"/>
    </xf>
    <xf numFmtId="0" fontId="0" fillId="17" borderId="69" xfId="0" applyFill="1" applyBorder="1" applyAlignment="1">
      <alignment horizontal="center"/>
    </xf>
    <xf numFmtId="0" fontId="36" fillId="17" borderId="28" xfId="0" applyFont="1" applyFill="1" applyBorder="1"/>
    <xf numFmtId="0" fontId="0" fillId="17" borderId="51" xfId="0" applyFill="1" applyBorder="1"/>
    <xf numFmtId="164" fontId="0" fillId="17" borderId="28" xfId="0" applyNumberFormat="1" applyFill="1" applyBorder="1"/>
    <xf numFmtId="2" fontId="0" fillId="17" borderId="28" xfId="0" applyNumberFormat="1" applyFill="1" applyBorder="1" applyAlignment="1">
      <alignment horizontal="center"/>
    </xf>
    <xf numFmtId="2" fontId="1" fillId="17" borderId="28" xfId="0" applyNumberFormat="1" applyFont="1" applyFill="1" applyBorder="1" applyAlignment="1">
      <alignment horizontal="center"/>
    </xf>
    <xf numFmtId="2" fontId="0" fillId="17" borderId="69" xfId="0" applyNumberFormat="1" applyFill="1" applyBorder="1" applyAlignment="1">
      <alignment horizontal="center" vertical="center"/>
    </xf>
    <xf numFmtId="2" fontId="0" fillId="17" borderId="51" xfId="0" applyNumberFormat="1" applyFill="1" applyBorder="1" applyAlignment="1">
      <alignment horizontal="center" vertical="center"/>
    </xf>
    <xf numFmtId="164" fontId="0" fillId="17" borderId="28" xfId="0" applyNumberFormat="1" applyFill="1" applyBorder="1" applyAlignment="1">
      <alignment horizontal="center" vertical="center"/>
    </xf>
    <xf numFmtId="2" fontId="0" fillId="17" borderId="22" xfId="0" applyNumberFormat="1" applyFill="1" applyBorder="1" applyAlignment="1">
      <alignment horizontal="center" vertical="center"/>
    </xf>
    <xf numFmtId="165" fontId="0" fillId="17" borderId="81" xfId="0" applyNumberFormat="1" applyFill="1" applyBorder="1" applyAlignment="1">
      <alignment horizontal="center" vertical="center"/>
    </xf>
    <xf numFmtId="2" fontId="0" fillId="17" borderId="26" xfId="0" applyNumberFormat="1" applyFill="1" applyBorder="1" applyAlignment="1">
      <alignment horizontal="center"/>
    </xf>
    <xf numFmtId="164" fontId="0" fillId="17" borderId="26" xfId="0" applyNumberFormat="1" applyFill="1" applyBorder="1" applyAlignment="1">
      <alignment horizontal="center"/>
    </xf>
    <xf numFmtId="2" fontId="0" fillId="17" borderId="76" xfId="0" applyNumberFormat="1" applyFill="1" applyBorder="1" applyAlignment="1">
      <alignment horizontal="center" vertical="center"/>
    </xf>
    <xf numFmtId="2" fontId="0" fillId="17" borderId="78" xfId="0" applyNumberFormat="1" applyFill="1" applyBorder="1" applyAlignment="1">
      <alignment horizontal="center" vertical="center"/>
    </xf>
    <xf numFmtId="2" fontId="0" fillId="17" borderId="69" xfId="0" applyNumberFormat="1" applyFill="1" applyBorder="1" applyAlignment="1">
      <alignment horizontal="center"/>
    </xf>
    <xf numFmtId="2" fontId="0" fillId="17" borderId="71" xfId="0" applyNumberFormat="1" applyFill="1" applyBorder="1" applyAlignment="1">
      <alignment horizontal="center"/>
    </xf>
    <xf numFmtId="2" fontId="0" fillId="17" borderId="3" xfId="0" applyNumberFormat="1" applyFill="1" applyBorder="1" applyAlignment="1">
      <alignment horizontal="center"/>
    </xf>
    <xf numFmtId="2" fontId="0" fillId="17" borderId="28" xfId="0" applyNumberFormat="1" applyFill="1" applyBorder="1"/>
    <xf numFmtId="1" fontId="0" fillId="17" borderId="28" xfId="0" applyNumberFormat="1" applyFill="1" applyBorder="1" applyAlignment="1">
      <alignment horizontal="center" vertical="center"/>
    </xf>
    <xf numFmtId="166" fontId="0" fillId="17" borderId="71" xfId="0" applyNumberFormat="1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166" fontId="0" fillId="17" borderId="3" xfId="0" applyNumberFormat="1" applyFill="1" applyBorder="1" applyAlignment="1">
      <alignment horizontal="center" vertical="center"/>
    </xf>
    <xf numFmtId="0" fontId="0" fillId="17" borderId="71" xfId="0" applyFill="1" applyBorder="1" applyAlignment="1">
      <alignment horizontal="center" vertical="center"/>
    </xf>
    <xf numFmtId="2" fontId="0" fillId="17" borderId="28" xfId="0" applyNumberFormat="1" applyFill="1" applyBorder="1" applyAlignment="1">
      <alignment horizontal="right"/>
    </xf>
    <xf numFmtId="0" fontId="43" fillId="17" borderId="1" xfId="0" applyFont="1" applyFill="1" applyBorder="1"/>
    <xf numFmtId="16" fontId="0" fillId="17" borderId="1" xfId="0" applyNumberFormat="1" applyFill="1" applyBorder="1"/>
    <xf numFmtId="16" fontId="0" fillId="17" borderId="12" xfId="0" applyNumberFormat="1" applyFill="1" applyBorder="1"/>
    <xf numFmtId="0" fontId="1" fillId="17" borderId="58" xfId="0" applyFont="1" applyFill="1" applyBorder="1" applyAlignment="1">
      <alignment horizontal="center" vertical="center"/>
    </xf>
    <xf numFmtId="0" fontId="1" fillId="17" borderId="59" xfId="0" applyFont="1" applyFill="1" applyBorder="1" applyAlignment="1">
      <alignment horizontal="center" vertical="center"/>
    </xf>
    <xf numFmtId="164" fontId="36" fillId="17" borderId="8" xfId="0" applyNumberFormat="1" applyFont="1" applyFill="1" applyBorder="1" applyAlignment="1">
      <alignment horizontal="center"/>
    </xf>
    <xf numFmtId="164" fontId="36" fillId="17" borderId="1" xfId="0" applyNumberFormat="1" applyFont="1" applyFill="1" applyBorder="1" applyAlignment="1">
      <alignment horizontal="center"/>
    </xf>
    <xf numFmtId="164" fontId="0" fillId="17" borderId="12" xfId="0" applyNumberFormat="1" applyFill="1" applyBorder="1" applyAlignment="1">
      <alignment horizontal="center"/>
    </xf>
    <xf numFmtId="0" fontId="1" fillId="17" borderId="58" xfId="0" applyFont="1" applyFill="1" applyBorder="1" applyAlignment="1">
      <alignment horizontal="center"/>
    </xf>
    <xf numFmtId="0" fontId="1" fillId="17" borderId="8" xfId="0" applyFont="1" applyFill="1" applyBorder="1" applyAlignment="1">
      <alignment horizontal="center"/>
    </xf>
    <xf numFmtId="0" fontId="0" fillId="17" borderId="68" xfId="0" applyFill="1" applyBorder="1"/>
    <xf numFmtId="0" fontId="0" fillId="17" borderId="8" xfId="0" applyFill="1" applyBorder="1" applyAlignment="1">
      <alignment vertical="center"/>
    </xf>
    <xf numFmtId="0" fontId="0" fillId="17" borderId="26" xfId="0" applyFill="1" applyBorder="1" applyAlignment="1">
      <alignment vertical="center"/>
    </xf>
    <xf numFmtId="0" fontId="0" fillId="17" borderId="1" xfId="0" applyFill="1" applyBorder="1"/>
    <xf numFmtId="0" fontId="0" fillId="17" borderId="1" xfId="0" applyFill="1" applyBorder="1" applyAlignment="1">
      <alignment vertical="center"/>
    </xf>
    <xf numFmtId="0" fontId="0" fillId="17" borderId="12" xfId="0" applyFill="1" applyBorder="1" applyAlignment="1">
      <alignment vertical="center"/>
    </xf>
    <xf numFmtId="0" fontId="0" fillId="17" borderId="25" xfId="0" applyFill="1" applyBorder="1" applyAlignment="1">
      <alignment vertical="center"/>
    </xf>
    <xf numFmtId="0" fontId="0" fillId="17" borderId="58" xfId="0" applyFill="1" applyBorder="1"/>
    <xf numFmtId="0" fontId="0" fillId="17" borderId="8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0" fillId="17" borderId="58" xfId="0" applyFill="1" applyBorder="1" applyAlignment="1">
      <alignment horizontal="center" vertical="center"/>
    </xf>
    <xf numFmtId="2" fontId="0" fillId="17" borderId="8" xfId="0" applyNumberFormat="1" applyFill="1" applyBorder="1" applyAlignment="1">
      <alignment horizontal="center" vertical="center"/>
    </xf>
    <xf numFmtId="2" fontId="0" fillId="17" borderId="12" xfId="0" applyNumberFormat="1" applyFill="1" applyBorder="1" applyAlignment="1">
      <alignment horizontal="center" vertical="center"/>
    </xf>
    <xf numFmtId="2" fontId="0" fillId="17" borderId="1" xfId="0" applyNumberFormat="1" applyFill="1" applyBorder="1" applyAlignment="1">
      <alignment horizontal="center" vertical="center"/>
    </xf>
    <xf numFmtId="2" fontId="0" fillId="17" borderId="58" xfId="0" applyNumberFormat="1" applyFill="1" applyBorder="1" applyAlignment="1">
      <alignment horizontal="center" vertical="center"/>
    </xf>
    <xf numFmtId="0" fontId="0" fillId="17" borderId="50" xfId="0" applyFill="1" applyBorder="1"/>
    <xf numFmtId="0" fontId="0" fillId="17" borderId="50" xfId="0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/>
    </xf>
    <xf numFmtId="2" fontId="36" fillId="17" borderId="1" xfId="0" applyNumberFormat="1" applyFont="1" applyFill="1" applyBorder="1" applyAlignment="1">
      <alignment horizontal="center"/>
    </xf>
    <xf numFmtId="2" fontId="35" fillId="17" borderId="1" xfId="0" applyNumberFormat="1" applyFont="1" applyFill="1" applyBorder="1" applyAlignment="1">
      <alignment horizontal="center"/>
    </xf>
    <xf numFmtId="2" fontId="35" fillId="17" borderId="28" xfId="0" applyNumberFormat="1" applyFont="1" applyFill="1" applyBorder="1" applyAlignment="1">
      <alignment horizontal="center"/>
    </xf>
    <xf numFmtId="2" fontId="36" fillId="17" borderId="1" xfId="0" applyNumberFormat="1" applyFont="1" applyFill="1" applyBorder="1" applyAlignment="1">
      <alignment horizontal="center" vertical="center"/>
    </xf>
    <xf numFmtId="0" fontId="36" fillId="17" borderId="1" xfId="0" applyFont="1" applyFill="1" applyBorder="1" applyAlignment="1">
      <alignment horizontal="center" vertical="center"/>
    </xf>
    <xf numFmtId="0" fontId="36" fillId="17" borderId="28" xfId="0" applyFont="1" applyFill="1" applyBorder="1" applyAlignment="1">
      <alignment horizontal="center" vertical="center"/>
    </xf>
    <xf numFmtId="164" fontId="36" fillId="17" borderId="1" xfId="0" applyNumberFormat="1" applyFont="1" applyFill="1" applyBorder="1" applyAlignment="1">
      <alignment horizontal="center" vertical="center"/>
    </xf>
    <xf numFmtId="164" fontId="36" fillId="17" borderId="12" xfId="0" applyNumberFormat="1" applyFont="1" applyFill="1" applyBorder="1"/>
    <xf numFmtId="2" fontId="36" fillId="17" borderId="58" xfId="0" applyNumberFormat="1" applyFont="1" applyFill="1" applyBorder="1"/>
    <xf numFmtId="2" fontId="1" fillId="17" borderId="12" xfId="0" applyNumberFormat="1" applyFont="1" applyFill="1" applyBorder="1" applyAlignment="1">
      <alignment horizontal="center" vertical="center"/>
    </xf>
    <xf numFmtId="0" fontId="0" fillId="17" borderId="113" xfId="0" applyFill="1" applyBorder="1"/>
    <xf numFmtId="0" fontId="0" fillId="17" borderId="116" xfId="0" applyFill="1" applyBorder="1"/>
    <xf numFmtId="168" fontId="0" fillId="17" borderId="8" xfId="0" applyNumberFormat="1" applyFill="1" applyBorder="1"/>
    <xf numFmtId="168" fontId="0" fillId="17" borderId="26" xfId="0" applyNumberFormat="1" applyFill="1" applyBorder="1"/>
    <xf numFmtId="168" fontId="0" fillId="17" borderId="1" xfId="0" applyNumberFormat="1" applyFill="1" applyBorder="1"/>
    <xf numFmtId="168" fontId="0" fillId="17" borderId="28" xfId="0" applyNumberFormat="1" applyFill="1" applyBorder="1"/>
    <xf numFmtId="0" fontId="1" fillId="17" borderId="82" xfId="0" applyFont="1" applyFill="1" applyBorder="1"/>
    <xf numFmtId="166" fontId="0" fillId="17" borderId="8" xfId="0" applyNumberFormat="1" applyFill="1" applyBorder="1" applyAlignment="1">
      <alignment horizontal="center" vertical="center"/>
    </xf>
    <xf numFmtId="166" fontId="0" fillId="17" borderId="1" xfId="0" applyNumberFormat="1" applyFill="1" applyBorder="1" applyAlignment="1">
      <alignment horizontal="center" vertical="center"/>
    </xf>
    <xf numFmtId="166" fontId="1" fillId="17" borderId="1" xfId="0" applyNumberFormat="1" applyFont="1" applyFill="1" applyBorder="1" applyAlignment="1">
      <alignment horizontal="center" vertical="center"/>
    </xf>
    <xf numFmtId="0" fontId="0" fillId="17" borderId="12" xfId="0" applyFill="1" applyBorder="1"/>
    <xf numFmtId="166" fontId="0" fillId="17" borderId="50" xfId="0" applyNumberFormat="1" applyFill="1" applyBorder="1" applyAlignment="1">
      <alignment horizontal="center" vertical="center"/>
    </xf>
    <xf numFmtId="166" fontId="0" fillId="17" borderId="68" xfId="0" applyNumberFormat="1" applyFill="1" applyBorder="1" applyAlignment="1">
      <alignment horizontal="center" vertical="center"/>
    </xf>
    <xf numFmtId="166" fontId="0" fillId="17" borderId="12" xfId="0" applyNumberFormat="1" applyFill="1" applyBorder="1" applyAlignment="1">
      <alignment horizontal="center" vertical="center"/>
    </xf>
    <xf numFmtId="0" fontId="0" fillId="17" borderId="8" xfId="0" applyFill="1" applyBorder="1"/>
    <xf numFmtId="0" fontId="36" fillId="17" borderId="8" xfId="0" applyFont="1" applyFill="1" applyBorder="1"/>
    <xf numFmtId="0" fontId="36" fillId="17" borderId="26" xfId="0" applyFont="1" applyFill="1" applyBorder="1"/>
    <xf numFmtId="0" fontId="36" fillId="17" borderId="1" xfId="0" applyFont="1" applyFill="1" applyBorder="1"/>
    <xf numFmtId="164" fontId="0" fillId="17" borderId="1" xfId="0" applyNumberFormat="1" applyFill="1" applyBorder="1"/>
    <xf numFmtId="2" fontId="0" fillId="17" borderId="1" xfId="0" applyNumberFormat="1" applyFill="1" applyBorder="1" applyAlignment="1">
      <alignment horizontal="center"/>
    </xf>
    <xf numFmtId="2" fontId="1" fillId="17" borderId="1" xfId="0" applyNumberFormat="1" applyFont="1" applyFill="1" applyBorder="1" applyAlignment="1">
      <alignment horizontal="center"/>
    </xf>
    <xf numFmtId="2" fontId="1" fillId="17" borderId="71" xfId="0" applyNumberFormat="1" applyFont="1" applyFill="1" applyBorder="1" applyAlignment="1">
      <alignment horizontal="center"/>
    </xf>
    <xf numFmtId="2" fontId="0" fillId="17" borderId="68" xfId="0" applyNumberFormat="1" applyFill="1" applyBorder="1" applyAlignment="1">
      <alignment horizontal="center" vertical="center"/>
    </xf>
    <xf numFmtId="2" fontId="0" fillId="17" borderId="50" xfId="0" applyNumberFormat="1" applyFill="1" applyBorder="1" applyAlignment="1">
      <alignment horizontal="center" vertical="center"/>
    </xf>
    <xf numFmtId="2" fontId="0" fillId="17" borderId="81" xfId="0" applyNumberFormat="1" applyFill="1" applyBorder="1" applyAlignment="1">
      <alignment horizontal="center" vertical="center"/>
    </xf>
    <xf numFmtId="2" fontId="0" fillId="17" borderId="8" xfId="0" applyNumberFormat="1" applyFill="1" applyBorder="1" applyAlignment="1">
      <alignment horizontal="center"/>
    </xf>
    <xf numFmtId="164" fontId="0" fillId="17" borderId="8" xfId="0" applyNumberFormat="1" applyFill="1" applyBorder="1" applyAlignment="1">
      <alignment horizontal="center"/>
    </xf>
    <xf numFmtId="164" fontId="0" fillId="17" borderId="1" xfId="0" applyNumberFormat="1" applyFill="1" applyBorder="1" applyAlignment="1">
      <alignment horizontal="center" vertical="center"/>
    </xf>
    <xf numFmtId="2" fontId="0" fillId="17" borderId="13" xfId="0" applyNumberFormat="1" applyFill="1" applyBorder="1" applyAlignment="1">
      <alignment horizontal="center" vertical="center"/>
    </xf>
    <xf numFmtId="2" fontId="0" fillId="17" borderId="68" xfId="0" applyNumberFormat="1" applyFill="1" applyBorder="1" applyAlignment="1">
      <alignment horizontal="center"/>
    </xf>
    <xf numFmtId="2" fontId="0" fillId="17" borderId="27" xfId="0" applyNumberFormat="1" applyFill="1" applyBorder="1" applyAlignment="1">
      <alignment horizontal="center"/>
    </xf>
    <xf numFmtId="2" fontId="0" fillId="17" borderId="73" xfId="0" applyNumberFormat="1" applyFill="1" applyBorder="1" applyAlignment="1">
      <alignment horizontal="center" vertical="center"/>
    </xf>
    <xf numFmtId="2" fontId="0" fillId="17" borderId="1" xfId="0" applyNumberFormat="1" applyFill="1" applyBorder="1"/>
    <xf numFmtId="1" fontId="0" fillId="17" borderId="1" xfId="0" applyNumberFormat="1" applyFill="1" applyBorder="1" applyAlignment="1">
      <alignment horizontal="center" vertical="center"/>
    </xf>
    <xf numFmtId="2" fontId="0" fillId="17" borderId="1" xfId="0" applyNumberFormat="1" applyFill="1" applyBorder="1" applyAlignment="1">
      <alignment horizontal="right"/>
    </xf>
    <xf numFmtId="164" fontId="35" fillId="17" borderId="1" xfId="0" applyNumberFormat="1" applyFont="1" applyFill="1" applyBorder="1" applyAlignment="1">
      <alignment horizontal="center"/>
    </xf>
    <xf numFmtId="2" fontId="36" fillId="17" borderId="1" xfId="0" applyNumberFormat="1" applyFont="1" applyFill="1" applyBorder="1"/>
    <xf numFmtId="0" fontId="1" fillId="17" borderId="68" xfId="0" applyFont="1" applyFill="1" applyBorder="1"/>
    <xf numFmtId="1" fontId="0" fillId="17" borderId="50" xfId="0" applyNumberFormat="1" applyFill="1" applyBorder="1" applyAlignment="1">
      <alignment horizontal="center" vertical="center"/>
    </xf>
    <xf numFmtId="1" fontId="0" fillId="17" borderId="12" xfId="0" applyNumberFormat="1" applyFill="1" applyBorder="1" applyAlignment="1">
      <alignment horizontal="center" vertical="center"/>
    </xf>
    <xf numFmtId="0" fontId="58" fillId="2" borderId="43" xfId="0" applyFont="1" applyFill="1" applyBorder="1" applyAlignment="1">
      <alignment horizontal="center"/>
    </xf>
    <xf numFmtId="164" fontId="58" fillId="25" borderId="9" xfId="0" applyNumberFormat="1" applyFont="1" applyFill="1" applyBorder="1" applyAlignment="1">
      <alignment horizontal="center"/>
    </xf>
    <xf numFmtId="164" fontId="58" fillId="2" borderId="84" xfId="0" applyNumberFormat="1" applyFont="1" applyFill="1" applyBorder="1" applyAlignment="1">
      <alignment horizontal="center"/>
    </xf>
    <xf numFmtId="164" fontId="58" fillId="2" borderId="10" xfId="0" applyNumberFormat="1" applyFont="1" applyFill="1" applyBorder="1" applyAlignment="1">
      <alignment horizontal="center"/>
    </xf>
    <xf numFmtId="164" fontId="58" fillId="2" borderId="14" xfId="0" applyNumberFormat="1" applyFont="1" applyFill="1" applyBorder="1" applyAlignment="1">
      <alignment horizontal="center"/>
    </xf>
    <xf numFmtId="164" fontId="58" fillId="2" borderId="17" xfId="0" applyNumberFormat="1" applyFont="1" applyFill="1" applyBorder="1" applyAlignment="1">
      <alignment horizontal="center"/>
    </xf>
    <xf numFmtId="0" fontId="58" fillId="2" borderId="19" xfId="0" applyFont="1" applyFill="1" applyBorder="1" applyAlignment="1">
      <alignment horizontal="center"/>
    </xf>
    <xf numFmtId="2" fontId="54" fillId="0" borderId="0" xfId="0" applyNumberFormat="1" applyFont="1" applyAlignment="1">
      <alignment horizontal="center" vertical="center"/>
    </xf>
    <xf numFmtId="0" fontId="54" fillId="0" borderId="4" xfId="0" applyFont="1" applyBorder="1" applyAlignment="1">
      <alignment horizontal="center"/>
    </xf>
    <xf numFmtId="0" fontId="54" fillId="0" borderId="5" xfId="0" applyFont="1" applyBorder="1" applyAlignment="1">
      <alignment horizontal="center"/>
    </xf>
    <xf numFmtId="0" fontId="54" fillId="0" borderId="6" xfId="0" applyFont="1" applyBorder="1" applyAlignment="1">
      <alignment horizontal="center"/>
    </xf>
    <xf numFmtId="0" fontId="58" fillId="2" borderId="44" xfId="0" applyFont="1" applyFill="1" applyBorder="1" applyAlignment="1">
      <alignment horizontal="center"/>
    </xf>
    <xf numFmtId="164" fontId="58" fillId="2" borderId="13" xfId="0" applyNumberFormat="1" applyFont="1" applyFill="1" applyBorder="1" applyAlignment="1">
      <alignment horizontal="center"/>
    </xf>
    <xf numFmtId="166" fontId="58" fillId="2" borderId="1" xfId="0" applyNumberFormat="1" applyFont="1" applyFill="1" applyBorder="1" applyAlignment="1">
      <alignment horizontal="center"/>
    </xf>
    <xf numFmtId="164" fontId="68" fillId="2" borderId="21" xfId="0" applyNumberFormat="1" applyFont="1" applyFill="1" applyBorder="1" applyAlignment="1">
      <alignment horizontal="center"/>
    </xf>
    <xf numFmtId="0" fontId="61" fillId="2" borderId="0" xfId="0" applyFont="1" applyFill="1" applyAlignment="1">
      <alignment horizontal="center" wrapText="1"/>
    </xf>
    <xf numFmtId="0" fontId="68" fillId="2" borderId="102" xfId="0" applyFont="1" applyFill="1" applyBorder="1" applyAlignment="1">
      <alignment horizontal="center"/>
    </xf>
    <xf numFmtId="164" fontId="58" fillId="17" borderId="11" xfId="0" applyNumberFormat="1" applyFont="1" applyFill="1" applyBorder="1" applyAlignment="1">
      <alignment horizontal="center"/>
    </xf>
    <xf numFmtId="164" fontId="58" fillId="17" borderId="19" xfId="0" applyNumberFormat="1" applyFont="1" applyFill="1" applyBorder="1" applyAlignment="1">
      <alignment horizontal="center"/>
    </xf>
    <xf numFmtId="166" fontId="54" fillId="2" borderId="0" xfId="0" applyNumberFormat="1" applyFont="1" applyFill="1"/>
    <xf numFmtId="166" fontId="54" fillId="2" borderId="0" xfId="0" applyNumberFormat="1" applyFont="1" applyFill="1" applyAlignment="1">
      <alignment horizontal="center"/>
    </xf>
    <xf numFmtId="0" fontId="54" fillId="2" borderId="0" xfId="0" applyFont="1" applyFill="1" applyAlignment="1">
      <alignment horizontal="left" indent="1"/>
    </xf>
    <xf numFmtId="164" fontId="58" fillId="11" borderId="1" xfId="0" applyNumberFormat="1" applyFont="1" applyFill="1" applyBorder="1" applyAlignment="1">
      <alignment horizontal="center"/>
    </xf>
    <xf numFmtId="164" fontId="58" fillId="11" borderId="10" xfId="0" applyNumberFormat="1" applyFont="1" applyFill="1" applyBorder="1" applyAlignment="1">
      <alignment horizontal="center"/>
    </xf>
    <xf numFmtId="0" fontId="54" fillId="17" borderId="0" xfId="0" applyFont="1" applyFill="1"/>
    <xf numFmtId="0" fontId="23" fillId="17" borderId="1" xfId="2" applyFont="1" applyFill="1" applyBorder="1" applyAlignment="1">
      <alignment horizontal="center" vertical="center"/>
    </xf>
    <xf numFmtId="0" fontId="15" fillId="17" borderId="1" xfId="2" applyFont="1" applyFill="1" applyBorder="1" applyAlignment="1">
      <alignment horizontal="center" vertical="center"/>
    </xf>
    <xf numFmtId="0" fontId="4" fillId="17" borderId="1" xfId="2" applyFont="1" applyFill="1" applyBorder="1" applyAlignment="1">
      <alignment horizontal="center" vertical="center"/>
    </xf>
    <xf numFmtId="164" fontId="0" fillId="0" borderId="1" xfId="0" applyNumberFormat="1" applyBorder="1"/>
    <xf numFmtId="1" fontId="0" fillId="17" borderId="1" xfId="0" applyNumberFormat="1" applyFill="1" applyBorder="1"/>
    <xf numFmtId="0" fontId="0" fillId="11" borderId="1" xfId="0" applyFill="1" applyBorder="1"/>
    <xf numFmtId="0" fontId="0" fillId="11" borderId="8" xfId="0" applyFill="1" applyBorder="1"/>
    <xf numFmtId="2" fontId="0" fillId="17" borderId="12" xfId="0" applyNumberFormat="1" applyFill="1" applyBorder="1"/>
    <xf numFmtId="2" fontId="0" fillId="17" borderId="50" xfId="0" applyNumberFormat="1" applyFill="1" applyBorder="1"/>
    <xf numFmtId="164" fontId="0" fillId="17" borderId="8" xfId="0" applyNumberFormat="1" applyFill="1" applyBorder="1"/>
    <xf numFmtId="2" fontId="36" fillId="13" borderId="1" xfId="0" applyNumberFormat="1" applyFont="1" applyFill="1" applyBorder="1" applyAlignment="1">
      <alignment horizontal="center"/>
    </xf>
    <xf numFmtId="165" fontId="36" fillId="13" borderId="28" xfId="0" applyNumberFormat="1" applyFont="1" applyFill="1" applyBorder="1" applyAlignment="1">
      <alignment horizontal="center"/>
    </xf>
    <xf numFmtId="0" fontId="22" fillId="6" borderId="0" xfId="2" applyFont="1" applyFill="1"/>
    <xf numFmtId="0" fontId="5" fillId="13" borderId="0" xfId="2" applyFont="1" applyFill="1" applyAlignment="1">
      <alignment vertical="center"/>
    </xf>
    <xf numFmtId="166" fontId="0" fillId="0" borderId="8" xfId="0" applyNumberForma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35" fillId="0" borderId="58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42" fillId="2" borderId="79" xfId="0" applyFont="1" applyFill="1" applyBorder="1" applyAlignment="1">
      <alignment horizontal="left"/>
    </xf>
    <xf numFmtId="0" fontId="42" fillId="2" borderId="71" xfId="0" applyFont="1" applyFill="1" applyBorder="1" applyAlignment="1">
      <alignment horizontal="left"/>
    </xf>
    <xf numFmtId="0" fontId="42" fillId="0" borderId="79" xfId="0" applyFont="1" applyBorder="1" applyAlignment="1">
      <alignment horizontal="left"/>
    </xf>
    <xf numFmtId="0" fontId="42" fillId="0" borderId="71" xfId="0" applyFont="1" applyBorder="1" applyAlignment="1">
      <alignment horizontal="left"/>
    </xf>
    <xf numFmtId="0" fontId="38" fillId="0" borderId="79" xfId="0" applyFont="1" applyBorder="1" applyAlignment="1">
      <alignment horizontal="left"/>
    </xf>
    <xf numFmtId="0" fontId="38" fillId="0" borderId="71" xfId="0" applyFont="1" applyBorder="1" applyAlignment="1">
      <alignment horizontal="left"/>
    </xf>
    <xf numFmtId="0" fontId="30" fillId="0" borderId="79" xfId="0" applyFont="1" applyBorder="1" applyAlignment="1">
      <alignment horizontal="left"/>
    </xf>
    <xf numFmtId="0" fontId="30" fillId="0" borderId="71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60" xfId="0" applyFont="1" applyFill="1" applyBorder="1" applyAlignment="1">
      <alignment horizontal="center"/>
    </xf>
    <xf numFmtId="0" fontId="1" fillId="2" borderId="58" xfId="0" applyFont="1" applyFill="1" applyBorder="1" applyAlignment="1">
      <alignment horizontal="center"/>
    </xf>
    <xf numFmtId="0" fontId="30" fillId="0" borderId="28" xfId="0" applyFont="1" applyBorder="1" applyAlignment="1">
      <alignment horizontal="left"/>
    </xf>
    <xf numFmtId="0" fontId="46" fillId="0" borderId="28" xfId="0" applyFont="1" applyBorder="1" applyAlignment="1">
      <alignment horizontal="left"/>
    </xf>
    <xf numFmtId="0" fontId="46" fillId="0" borderId="71" xfId="0" applyFont="1" applyBorder="1" applyAlignment="1">
      <alignment horizontal="left"/>
    </xf>
    <xf numFmtId="0" fontId="41" fillId="0" borderId="28" xfId="0" applyFont="1" applyBorder="1" applyAlignment="1">
      <alignment horizontal="left"/>
    </xf>
    <xf numFmtId="0" fontId="41" fillId="0" borderId="71" xfId="0" applyFont="1" applyBorder="1" applyAlignment="1">
      <alignment horizontal="left"/>
    </xf>
    <xf numFmtId="0" fontId="11" fillId="0" borderId="1" xfId="2" applyFont="1" applyBorder="1" applyAlignment="1">
      <alignment horizontal="center" vertical="center"/>
    </xf>
    <xf numFmtId="0" fontId="9" fillId="0" borderId="28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 wrapText="1"/>
    </xf>
    <xf numFmtId="0" fontId="11" fillId="0" borderId="13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0" fontId="4" fillId="0" borderId="26" xfId="2" applyFont="1" applyBorder="1" applyAlignment="1">
      <alignment horizontal="center" vertical="center"/>
    </xf>
    <xf numFmtId="0" fontId="11" fillId="5" borderId="12" xfId="2" applyFont="1" applyFill="1" applyBorder="1" applyAlignment="1">
      <alignment horizontal="center" vertical="center" wrapText="1"/>
    </xf>
    <xf numFmtId="0" fontId="11" fillId="5" borderId="13" xfId="2" applyFont="1" applyFill="1" applyBorder="1" applyAlignment="1">
      <alignment horizontal="center" vertical="center"/>
    </xf>
    <xf numFmtId="0" fontId="11" fillId="5" borderId="8" xfId="2" applyFont="1" applyFill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0" fontId="9" fillId="0" borderId="27" xfId="2" applyFont="1" applyBorder="1" applyAlignment="1">
      <alignment horizontal="center" vertical="center"/>
    </xf>
    <xf numFmtId="0" fontId="9" fillId="0" borderId="26" xfId="2" applyFont="1" applyBorder="1" applyAlignment="1">
      <alignment horizontal="center" vertical="center"/>
    </xf>
    <xf numFmtId="0" fontId="11" fillId="5" borderId="13" xfId="2" applyFont="1" applyFill="1" applyBorder="1" applyAlignment="1">
      <alignment horizontal="center" vertical="center" wrapText="1"/>
    </xf>
    <xf numFmtId="0" fontId="11" fillId="7" borderId="12" xfId="2" applyFont="1" applyFill="1" applyBorder="1" applyAlignment="1">
      <alignment horizontal="center" vertical="center" wrapText="1"/>
    </xf>
    <xf numFmtId="0" fontId="11" fillId="7" borderId="13" xfId="2" applyFont="1" applyFill="1" applyBorder="1" applyAlignment="1">
      <alignment horizontal="center" vertical="center"/>
    </xf>
    <xf numFmtId="0" fontId="11" fillId="7" borderId="8" xfId="2" applyFont="1" applyFill="1" applyBorder="1" applyAlignment="1">
      <alignment horizontal="center" vertical="center"/>
    </xf>
    <xf numFmtId="0" fontId="9" fillId="7" borderId="43" xfId="2" applyFont="1" applyFill="1" applyBorder="1" applyAlignment="1">
      <alignment horizontal="center" vertical="center"/>
    </xf>
    <xf numFmtId="0" fontId="9" fillId="7" borderId="44" xfId="2" applyFont="1" applyFill="1" applyBorder="1" applyAlignment="1">
      <alignment horizontal="center" vertical="center"/>
    </xf>
    <xf numFmtId="0" fontId="9" fillId="7" borderId="9" xfId="2" applyFont="1" applyFill="1" applyBorder="1" applyAlignment="1">
      <alignment horizontal="center" vertical="center"/>
    </xf>
    <xf numFmtId="0" fontId="2" fillId="0" borderId="0" xfId="2" applyFont="1" applyAlignment="1">
      <alignment horizontal="center"/>
    </xf>
    <xf numFmtId="0" fontId="5" fillId="13" borderId="0" xfId="2" applyFont="1" applyFill="1" applyAlignment="1">
      <alignment horizontal="center" vertical="center"/>
    </xf>
    <xf numFmtId="0" fontId="26" fillId="7" borderId="0" xfId="2" applyFont="1" applyFill="1" applyAlignment="1">
      <alignment horizontal="center"/>
    </xf>
    <xf numFmtId="0" fontId="22" fillId="6" borderId="0" xfId="2" applyFont="1" applyFill="1" applyAlignment="1">
      <alignment horizontal="center"/>
    </xf>
    <xf numFmtId="0" fontId="11" fillId="0" borderId="12" xfId="2" applyFont="1" applyBorder="1" applyAlignment="1">
      <alignment horizontal="center" vertical="center"/>
    </xf>
    <xf numFmtId="0" fontId="8" fillId="0" borderId="10" xfId="2" applyFont="1" applyBorder="1" applyAlignment="1">
      <alignment horizontal="left" vertical="center"/>
    </xf>
    <xf numFmtId="0" fontId="8" fillId="0" borderId="14" xfId="2" applyFont="1" applyBorder="1" applyAlignment="1">
      <alignment horizontal="left" vertical="center"/>
    </xf>
    <xf numFmtId="0" fontId="8" fillId="0" borderId="15" xfId="2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5" fillId="5" borderId="20" xfId="2" applyFont="1" applyFill="1" applyBorder="1" applyAlignment="1">
      <alignment horizontal="center" vertical="center"/>
    </xf>
    <xf numFmtId="0" fontId="5" fillId="5" borderId="13" xfId="2" applyFont="1" applyFill="1" applyBorder="1" applyAlignment="1">
      <alignment horizontal="center" vertical="center"/>
    </xf>
    <xf numFmtId="0" fontId="5" fillId="5" borderId="21" xfId="2" applyFont="1" applyFill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54" fillId="25" borderId="8" xfId="0" applyFont="1" applyFill="1" applyBorder="1" applyAlignment="1">
      <alignment horizontal="center" vertical="center" wrapText="1"/>
    </xf>
    <xf numFmtId="0" fontId="54" fillId="25" borderId="1" xfId="0" applyFont="1" applyFill="1" applyBorder="1" applyAlignment="1">
      <alignment horizontal="center" vertical="center"/>
    </xf>
    <xf numFmtId="0" fontId="54" fillId="25" borderId="12" xfId="0" applyFont="1" applyFill="1" applyBorder="1" applyAlignment="1">
      <alignment horizontal="center" vertical="center"/>
    </xf>
    <xf numFmtId="0" fontId="54" fillId="25" borderId="18" xfId="0" applyFont="1" applyFill="1" applyBorder="1" applyAlignment="1">
      <alignment horizontal="center" vertical="center"/>
    </xf>
    <xf numFmtId="0" fontId="54" fillId="2" borderId="8" xfId="0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 vertical="center"/>
    </xf>
    <xf numFmtId="0" fontId="54" fillId="2" borderId="12" xfId="0" applyFont="1" applyFill="1" applyBorder="1" applyAlignment="1">
      <alignment horizontal="center" vertical="center"/>
    </xf>
    <xf numFmtId="0" fontId="54" fillId="2" borderId="18" xfId="0" applyFont="1" applyFill="1" applyBorder="1" applyAlignment="1">
      <alignment horizontal="center" vertical="center"/>
    </xf>
    <xf numFmtId="0" fontId="54" fillId="25" borderId="85" xfId="0" applyFont="1" applyFill="1" applyBorder="1" applyAlignment="1">
      <alignment horizontal="center" vertical="center"/>
    </xf>
    <xf numFmtId="0" fontId="54" fillId="2" borderId="85" xfId="0" applyFont="1" applyFill="1" applyBorder="1" applyAlignment="1">
      <alignment horizontal="center" vertical="center"/>
    </xf>
    <xf numFmtId="0" fontId="54" fillId="2" borderId="20" xfId="0" applyFont="1" applyFill="1" applyBorder="1" applyAlignment="1">
      <alignment horizontal="center" vertical="center"/>
    </xf>
    <xf numFmtId="0" fontId="54" fillId="2" borderId="13" xfId="0" applyFont="1" applyFill="1" applyBorder="1" applyAlignment="1">
      <alignment horizontal="center" vertical="center"/>
    </xf>
    <xf numFmtId="0" fontId="54" fillId="2" borderId="21" xfId="0" applyFont="1" applyFill="1" applyBorder="1" applyAlignment="1">
      <alignment horizontal="center" vertical="center"/>
    </xf>
    <xf numFmtId="0" fontId="54" fillId="5" borderId="20" xfId="0" applyFont="1" applyFill="1" applyBorder="1" applyAlignment="1">
      <alignment horizontal="center" vertical="center"/>
    </xf>
    <xf numFmtId="0" fontId="54" fillId="5" borderId="13" xfId="0" applyFont="1" applyFill="1" applyBorder="1" applyAlignment="1">
      <alignment horizontal="center" vertical="center"/>
    </xf>
    <xf numFmtId="0" fontId="54" fillId="5" borderId="21" xfId="0" applyFont="1" applyFill="1" applyBorder="1" applyAlignment="1">
      <alignment horizontal="center" vertical="center"/>
    </xf>
    <xf numFmtId="0" fontId="54" fillId="25" borderId="20" xfId="0" applyFont="1" applyFill="1" applyBorder="1" applyAlignment="1">
      <alignment horizontal="center" vertical="center" wrapText="1"/>
    </xf>
    <xf numFmtId="0" fontId="54" fillId="25" borderId="13" xfId="0" applyFont="1" applyFill="1" applyBorder="1" applyAlignment="1">
      <alignment horizontal="center" vertical="center" wrapText="1"/>
    </xf>
    <xf numFmtId="0" fontId="54" fillId="25" borderId="21" xfId="0" applyFont="1" applyFill="1" applyBorder="1" applyAlignment="1">
      <alignment horizontal="center" vertical="center" wrapText="1"/>
    </xf>
    <xf numFmtId="0" fontId="54" fillId="2" borderId="84" xfId="0" applyFont="1" applyFill="1" applyBorder="1" applyAlignment="1">
      <alignment horizontal="left" vertical="center"/>
    </xf>
    <xf numFmtId="0" fontId="54" fillId="2" borderId="10" xfId="0" applyFont="1" applyFill="1" applyBorder="1" applyAlignment="1">
      <alignment horizontal="left" vertical="center"/>
    </xf>
    <xf numFmtId="0" fontId="54" fillId="2" borderId="17" xfId="0" applyFont="1" applyFill="1" applyBorder="1" applyAlignment="1">
      <alignment horizontal="left" vertical="center"/>
    </xf>
    <xf numFmtId="0" fontId="63" fillId="24" borderId="84" xfId="0" applyFont="1" applyFill="1" applyBorder="1" applyAlignment="1">
      <alignment horizontal="center"/>
    </xf>
    <xf numFmtId="0" fontId="63" fillId="24" borderId="85" xfId="0" applyFont="1" applyFill="1" applyBorder="1" applyAlignment="1">
      <alignment horizontal="center"/>
    </xf>
    <xf numFmtId="0" fontId="54" fillId="2" borderId="23" xfId="0" applyFont="1" applyFill="1" applyBorder="1" applyAlignment="1">
      <alignment horizontal="left" vertical="center"/>
    </xf>
    <xf numFmtId="0" fontId="54" fillId="2" borderId="103" xfId="0" applyFont="1" applyFill="1" applyBorder="1" applyAlignment="1">
      <alignment horizontal="left" vertical="center"/>
    </xf>
    <xf numFmtId="0" fontId="53" fillId="2" borderId="0" xfId="0" applyFont="1" applyFill="1" applyAlignment="1">
      <alignment horizontal="center"/>
    </xf>
    <xf numFmtId="0" fontId="56" fillId="5" borderId="100" xfId="0" applyFont="1" applyFill="1" applyBorder="1" applyAlignment="1">
      <alignment horizontal="center"/>
    </xf>
    <xf numFmtId="0" fontId="56" fillId="5" borderId="88" xfId="0" applyFont="1" applyFill="1" applyBorder="1" applyAlignment="1">
      <alignment horizontal="center"/>
    </xf>
    <xf numFmtId="164" fontId="64" fillId="4" borderId="101" xfId="0" applyNumberFormat="1" applyFont="1" applyFill="1" applyBorder="1" applyAlignment="1">
      <alignment horizontal="center"/>
    </xf>
    <xf numFmtId="164" fontId="64" fillId="4" borderId="41" xfId="0" applyNumberFormat="1" applyFont="1" applyFill="1" applyBorder="1" applyAlignment="1">
      <alignment horizontal="center"/>
    </xf>
    <xf numFmtId="164" fontId="58" fillId="25" borderId="85" xfId="0" applyNumberFormat="1" applyFont="1" applyFill="1" applyBorder="1" applyAlignment="1">
      <alignment horizontal="center"/>
    </xf>
    <xf numFmtId="164" fontId="58" fillId="25" borderId="1" xfId="0" applyNumberFormat="1" applyFont="1" applyFill="1" applyBorder="1" applyAlignment="1">
      <alignment horizontal="center"/>
    </xf>
    <xf numFmtId="164" fontId="58" fillId="25" borderId="18" xfId="0" applyNumberFormat="1" applyFont="1" applyFill="1" applyBorder="1" applyAlignment="1">
      <alignment horizontal="center"/>
    </xf>
    <xf numFmtId="0" fontId="23" fillId="0" borderId="0" xfId="2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8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90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0" xfId="0" applyFont="1" applyAlignment="1">
      <alignment horizontal="center"/>
    </xf>
  </cellXfs>
  <cellStyles count="5">
    <cellStyle name="Comma" xfId="4" builtinId="3"/>
    <cellStyle name="Normal" xfId="0" builtinId="0"/>
    <cellStyle name="Normal 2" xfId="2" xr:uid="{D517E60C-4C17-4E66-9FA5-EA08CA629E08}"/>
    <cellStyle name="Normal 3" xfId="1" xr:uid="{D8E85A78-EDBD-48AD-9C93-4B088D8D4018}"/>
    <cellStyle name="Normal 9 13" xfId="3" xr:uid="{46EC1CF9-A551-4434-AAE6-AAA68393E9AF}"/>
  </cellStyles>
  <dxfs count="0"/>
  <tableStyles count="0" defaultTableStyle="TableStyleMedium2" defaultPivotStyle="PivotStyleLight16"/>
  <colors>
    <mruColors>
      <color rgb="FF2D0DA3"/>
      <color rgb="FFFF5050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5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9.xml"/><Relationship Id="rId1" Type="http://schemas.openxmlformats.org/officeDocument/2006/relationships/image" Target="../media/image10.png"/></Relationships>
</file>

<file path=xl/charts/_rels/chart5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0.xml"/><Relationship Id="rId1" Type="http://schemas.openxmlformats.org/officeDocument/2006/relationships/image" Target="../media/image10.png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7.xml"/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LCF PRODUCT_High Sedimentation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7"/>
          <c:order val="1"/>
          <c:tx>
            <c:strRef>
              <c:f>'LCF ABQ3358 Products'!$K$72</c:f>
              <c:strCache>
                <c:ptCount val="1"/>
                <c:pt idx="0">
                  <c:v>560+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'LCF ABQ3358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ABQ3358 Products'!$K$73:$K$136</c:f>
              <c:numCache>
                <c:formatCode>General</c:formatCode>
                <c:ptCount val="6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A9-4442-8E8D-C8928C450527}"/>
            </c:ext>
          </c:extLst>
        </c:ser>
        <c:ser>
          <c:idx val="6"/>
          <c:order val="2"/>
          <c:tx>
            <c:strRef>
              <c:f>'LCF ABQ3358 Products'!$J$72</c:f>
              <c:strCache>
                <c:ptCount val="1"/>
                <c:pt idx="0">
                  <c:v>360-560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'LCF ABQ3358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ABQ3358 Products'!$J$73:$J$173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A9-4442-8E8D-C8928C450527}"/>
            </c:ext>
          </c:extLst>
        </c:ser>
        <c:ser>
          <c:idx val="4"/>
          <c:order val="3"/>
          <c:tx>
            <c:strRef>
              <c:f>'LCF ABQ3358 Products'!$H$72</c:f>
              <c:strCache>
                <c:ptCount val="1"/>
                <c:pt idx="0">
                  <c:v>250-360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'LCF ABQ3358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ABQ3358 Products'!$H$73:$H$173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A9-4442-8E8D-C8928C450527}"/>
            </c:ext>
          </c:extLst>
        </c:ser>
        <c:ser>
          <c:idx val="3"/>
          <c:order val="4"/>
          <c:tx>
            <c:strRef>
              <c:f>'LCF ABQ3358 Products'!$G$72</c:f>
              <c:strCache>
                <c:ptCount val="1"/>
                <c:pt idx="0">
                  <c:v>160-250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'LCF ABQ3358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ABQ3358 Products'!$G$73:$G$173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CA9-4442-8E8D-C8928C450527}"/>
            </c:ext>
          </c:extLst>
        </c:ser>
        <c:ser>
          <c:idx val="1"/>
          <c:order val="5"/>
          <c:tx>
            <c:strRef>
              <c:f>'LCF ABQ3358 Products'!$E$72</c:f>
              <c:strCache>
                <c:ptCount val="1"/>
                <c:pt idx="0">
                  <c:v>IBP-160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'LCF ABQ3358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ABQ3358 Products'!$E$73:$E$173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CA9-4442-8E8D-C8928C450527}"/>
            </c:ext>
          </c:extLst>
        </c:ser>
        <c:ser>
          <c:idx val="8"/>
          <c:order val="8"/>
          <c:tx>
            <c:v>5%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CA9-4442-8E8D-C8928C450527}"/>
              </c:ext>
            </c:extLst>
          </c:dPt>
          <c:xVal>
            <c:numRef>
              <c:f>'LCF ABQ3358 Products'!$X$75:$X$76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'LCF ABQ3358 Products'!$Y$75:$Y$76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CA9-4442-8E8D-C8928C450527}"/>
            </c:ext>
          </c:extLst>
        </c:ser>
        <c:ser>
          <c:idx val="9"/>
          <c:order val="9"/>
          <c:tx>
            <c:v>95%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CA9-4442-8E8D-C8928C450527}"/>
              </c:ext>
            </c:extLst>
          </c:dPt>
          <c:xVal>
            <c:numRef>
              <c:f>'LCF ABQ3358 Products'!$X$78:$X$79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'LCF ABQ3358 Products'!$Y$78:$Y$79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CA9-4442-8E8D-C8928C450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9136"/>
        <c:axId val="272082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'LCF ABQ3358 Products'!$D$72</c15:sqref>
                        </c15:formulaRef>
                      </c:ext>
                    </c:extLst>
                    <c:strCache>
                      <c:ptCount val="1"/>
                      <c:pt idx="0">
                        <c:v>LCF FEED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'LCF ABQ3358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'LCF ABQ3358 Products'!$D$73:$D$155</c15:sqref>
                        </c15:formulaRef>
                      </c:ext>
                    </c:extLst>
                    <c:numCache>
                      <c:formatCode>General</c:formatCode>
                      <c:ptCount val="83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B-2CA9-4442-8E8D-C8928C450527}"/>
                  </c:ext>
                </c:extLst>
              </c15:ser>
            </c15:filteredScatterSeries>
            <c15:filteredScatterSeries>
              <c15:ser>
                <c:idx val="2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ABQ3358 Products'!$F$72</c15:sqref>
                        </c15:formulaRef>
                      </c:ext>
                    </c:extLst>
                    <c:strCache>
                      <c:ptCount val="1"/>
                      <c:pt idx="0">
                        <c:v>160-FBP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ABQ3358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ABQ3358 Products'!$F$73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CA9-4442-8E8D-C8928C450527}"/>
                  </c:ext>
                </c:extLst>
              </c15:ser>
            </c15:filteredScatterSeries>
            <c15:filteredScatter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ABQ3358 Products'!$I$72</c15:sqref>
                        </c15:formulaRef>
                      </c:ext>
                    </c:extLst>
                    <c:strCache>
                      <c:ptCount val="1"/>
                      <c:pt idx="0">
                        <c:v>360-FBP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ABQ3358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ABQ3358 Products'!$I$73:$I$155</c15:sqref>
                        </c15:formulaRef>
                      </c:ext>
                    </c:extLst>
                    <c:numCache>
                      <c:formatCode>General</c:formatCode>
                      <c:ptCount val="83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CA9-4442-8E8D-C8928C450527}"/>
                  </c:ext>
                </c:extLst>
              </c15:ser>
            </c15:filteredScatterSeries>
          </c:ext>
        </c:extLst>
      </c:scatterChart>
      <c:valAx>
        <c:axId val="271991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256"/>
        <c:crosses val="autoZero"/>
        <c:crossBetween val="midCat"/>
        <c:majorUnit val="10"/>
      </c:valAx>
      <c:valAx>
        <c:axId val="272082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Boiling Temp (deg.C)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80523600174978116"/>
          <c:y val="0.26322761738116063"/>
          <c:w val="0.16698622047244094"/>
          <c:h val="0.39062773403324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LCF HS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5"/>
          <c:order val="0"/>
          <c:tx>
            <c:strRef>
              <c:f>'LCF ABQ3358 Products'!$I$72</c:f>
              <c:strCache>
                <c:ptCount val="1"/>
                <c:pt idx="0">
                  <c:v>360-FBP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'LCF ABQ3358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ABQ3358 Products'!$I$73:$I$155</c:f>
              <c:numCache>
                <c:formatCode>General</c:formatCode>
                <c:ptCount val="8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E9-42B1-8D32-8E98A54EBD3D}"/>
            </c:ext>
          </c:extLst>
        </c:ser>
        <c:ser>
          <c:idx val="2"/>
          <c:order val="1"/>
          <c:tx>
            <c:strRef>
              <c:f>'LCF ABQ3358 Products'!$F$72</c:f>
              <c:strCache>
                <c:ptCount val="1"/>
                <c:pt idx="0">
                  <c:v>160-FBP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'LCF ABQ3358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ABQ3358 Products'!$F$73:$F$163</c:f>
              <c:numCache>
                <c:formatCode>General</c:formatCode>
                <c:ptCount val="9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E9-42B1-8D32-8E98A54EBD3D}"/>
            </c:ext>
          </c:extLst>
        </c:ser>
        <c:ser>
          <c:idx val="0"/>
          <c:order val="2"/>
          <c:tx>
            <c:strRef>
              <c:f>'LCF ABQ3358 Products'!$D$72</c:f>
              <c:strCache>
                <c:ptCount val="1"/>
                <c:pt idx="0">
                  <c:v>LCF FEED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'LCF ABQ3358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ABQ3358 Products'!$D$73:$D$155</c:f>
              <c:numCache>
                <c:formatCode>General</c:formatCode>
                <c:ptCount val="8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0E9-42B1-8D32-8E98A54EBD3D}"/>
            </c:ext>
          </c:extLst>
        </c:ser>
        <c:ser>
          <c:idx val="8"/>
          <c:order val="8"/>
          <c:tx>
            <c:v>5%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0E9-42B1-8D32-8E98A54EBD3D}"/>
              </c:ext>
            </c:extLst>
          </c:dPt>
          <c:xVal>
            <c:numRef>
              <c:f>'LCF ABQ3358 Products'!$X$75:$X$76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'LCF ABQ3358 Products'!$Y$75:$Y$76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0E9-42B1-8D32-8E98A54EBD3D}"/>
            </c:ext>
          </c:extLst>
        </c:ser>
        <c:ser>
          <c:idx val="9"/>
          <c:order val="9"/>
          <c:tx>
            <c:v>95%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0E9-42B1-8D32-8E98A54EBD3D}"/>
              </c:ext>
            </c:extLst>
          </c:dPt>
          <c:xVal>
            <c:numRef>
              <c:f>'LCF ABQ3358 Products'!$X$78:$X$79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'LCF ABQ3358 Products'!$Y$78:$Y$79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0E9-42B1-8D32-8E98A54EB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9136"/>
        <c:axId val="2720825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3"/>
                <c:tx>
                  <c:strRef>
                    <c:extLst>
                      <c:ext uri="{02D57815-91ED-43cb-92C2-25804820EDAC}">
                        <c15:formulaRef>
                          <c15:sqref>'LCF ABQ3358 Products'!$E$72</c15:sqref>
                        </c15:formulaRef>
                      </c:ext>
                    </c:extLst>
                    <c:strCache>
                      <c:ptCount val="1"/>
                      <c:pt idx="0">
                        <c:v>IBP-160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'LCF ABQ3358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'LCF ABQ3358 Products'!$E$73:$E$173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9-50E9-42B1-8D32-8E98A54EBD3D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ABQ3358 Products'!$G$72</c15:sqref>
                        </c15:formulaRef>
                      </c:ext>
                    </c:extLst>
                    <c:strCache>
                      <c:ptCount val="1"/>
                      <c:pt idx="0">
                        <c:v>160-250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ABQ3358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ABQ3358 Products'!$G$73:$G$173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0E9-42B1-8D32-8E98A54EBD3D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ABQ3358 Products'!$H$72</c15:sqref>
                        </c15:formulaRef>
                      </c:ext>
                    </c:extLst>
                    <c:strCache>
                      <c:ptCount val="1"/>
                      <c:pt idx="0">
                        <c:v>250-360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ABQ3358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ABQ3358 Products'!$H$73:$H$173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0E9-42B1-8D32-8E98A54EBD3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ABQ3358 Products'!$J$72</c15:sqref>
                        </c15:formulaRef>
                      </c:ext>
                    </c:extLst>
                    <c:strCache>
                      <c:ptCount val="1"/>
                      <c:pt idx="0">
                        <c:v>360-560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ABQ3358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ABQ3358 Products'!$J$73:$J$173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0E9-42B1-8D32-8E98A54EBD3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ABQ3358 Products'!$K$72</c15:sqref>
                        </c15:formulaRef>
                      </c:ext>
                    </c:extLst>
                    <c:strCache>
                      <c:ptCount val="1"/>
                      <c:pt idx="0">
                        <c:v>560+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ABQ3358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ABQ3358 Products'!$K$73:$K$136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0E9-42B1-8D32-8E98A54EBD3D}"/>
                  </c:ext>
                </c:extLst>
              </c15:ser>
            </c15:filteredScatterSeries>
          </c:ext>
        </c:extLst>
      </c:scatterChart>
      <c:valAx>
        <c:axId val="271991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256"/>
        <c:crosses val="autoZero"/>
        <c:crossBetween val="midCat"/>
        <c:majorUnit val="10"/>
      </c:valAx>
      <c:valAx>
        <c:axId val="272082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Boiling Temp (deg.C)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LCF PRODUCT_Low Sedimentation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7"/>
          <c:order val="1"/>
          <c:tx>
            <c:strRef>
              <c:f>'LCF LS Products'!$K$72</c:f>
              <c:strCache>
                <c:ptCount val="1"/>
                <c:pt idx="0">
                  <c:v>560+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'LCF LS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LS Products'!$K$73:$K$136</c:f>
              <c:numCache>
                <c:formatCode>General</c:formatCode>
                <c:ptCount val="64"/>
                <c:pt idx="0">
                  <c:v>506.7</c:v>
                </c:pt>
                <c:pt idx="1">
                  <c:v>521.1</c:v>
                </c:pt>
                <c:pt idx="2">
                  <c:v>532.29999999999995</c:v>
                </c:pt>
                <c:pt idx="3">
                  <c:v>539.20000000000005</c:v>
                </c:pt>
                <c:pt idx="4">
                  <c:v>544.6</c:v>
                </c:pt>
                <c:pt idx="5">
                  <c:v>549.20000000000005</c:v>
                </c:pt>
                <c:pt idx="6">
                  <c:v>553.1</c:v>
                </c:pt>
                <c:pt idx="7">
                  <c:v>556.6</c:v>
                </c:pt>
                <c:pt idx="8">
                  <c:v>559.70000000000005</c:v>
                </c:pt>
                <c:pt idx="9">
                  <c:v>562.70000000000005</c:v>
                </c:pt>
                <c:pt idx="10">
                  <c:v>565.4</c:v>
                </c:pt>
                <c:pt idx="11">
                  <c:v>567.79999999999995</c:v>
                </c:pt>
                <c:pt idx="12">
                  <c:v>570</c:v>
                </c:pt>
                <c:pt idx="13">
                  <c:v>572.20000000000005</c:v>
                </c:pt>
                <c:pt idx="14">
                  <c:v>574.29999999999995</c:v>
                </c:pt>
                <c:pt idx="15">
                  <c:v>576.4</c:v>
                </c:pt>
                <c:pt idx="16">
                  <c:v>578.5</c:v>
                </c:pt>
                <c:pt idx="17">
                  <c:v>580.6</c:v>
                </c:pt>
                <c:pt idx="18">
                  <c:v>582.6</c:v>
                </c:pt>
                <c:pt idx="19">
                  <c:v>584.5</c:v>
                </c:pt>
                <c:pt idx="20">
                  <c:v>586.4</c:v>
                </c:pt>
                <c:pt idx="21">
                  <c:v>588.29999999999995</c:v>
                </c:pt>
                <c:pt idx="22">
                  <c:v>590.20000000000005</c:v>
                </c:pt>
                <c:pt idx="23">
                  <c:v>592.1</c:v>
                </c:pt>
                <c:pt idx="24">
                  <c:v>593.9</c:v>
                </c:pt>
                <c:pt idx="25">
                  <c:v>595.6</c:v>
                </c:pt>
                <c:pt idx="26">
                  <c:v>597.5</c:v>
                </c:pt>
                <c:pt idx="27">
                  <c:v>599.20000000000005</c:v>
                </c:pt>
                <c:pt idx="28">
                  <c:v>601.1</c:v>
                </c:pt>
                <c:pt idx="29">
                  <c:v>602.9</c:v>
                </c:pt>
                <c:pt idx="30">
                  <c:v>604.9</c:v>
                </c:pt>
                <c:pt idx="31">
                  <c:v>606.79999999999995</c:v>
                </c:pt>
                <c:pt idx="32">
                  <c:v>608.70000000000005</c:v>
                </c:pt>
                <c:pt idx="33">
                  <c:v>610.5</c:v>
                </c:pt>
                <c:pt idx="34">
                  <c:v>612.4</c:v>
                </c:pt>
                <c:pt idx="35">
                  <c:v>614.29999999999995</c:v>
                </c:pt>
                <c:pt idx="36">
                  <c:v>616.29999999999995</c:v>
                </c:pt>
                <c:pt idx="37">
                  <c:v>618.29999999999995</c:v>
                </c:pt>
                <c:pt idx="38">
                  <c:v>620.29999999999995</c:v>
                </c:pt>
                <c:pt idx="39">
                  <c:v>622.4</c:v>
                </c:pt>
                <c:pt idx="40">
                  <c:v>624.4</c:v>
                </c:pt>
                <c:pt idx="41">
                  <c:v>626.5</c:v>
                </c:pt>
                <c:pt idx="42">
                  <c:v>628.6</c:v>
                </c:pt>
                <c:pt idx="43">
                  <c:v>630.70000000000005</c:v>
                </c:pt>
                <c:pt idx="44">
                  <c:v>632.79999999999995</c:v>
                </c:pt>
                <c:pt idx="45">
                  <c:v>635</c:v>
                </c:pt>
                <c:pt idx="46">
                  <c:v>637.29999999999995</c:v>
                </c:pt>
                <c:pt idx="47">
                  <c:v>639.6</c:v>
                </c:pt>
                <c:pt idx="48">
                  <c:v>642.1</c:v>
                </c:pt>
                <c:pt idx="49">
                  <c:v>644.70000000000005</c:v>
                </c:pt>
                <c:pt idx="50">
                  <c:v>647.29999999999995</c:v>
                </c:pt>
                <c:pt idx="51">
                  <c:v>650</c:v>
                </c:pt>
                <c:pt idx="52">
                  <c:v>652.70000000000005</c:v>
                </c:pt>
                <c:pt idx="53">
                  <c:v>655.29999999999995</c:v>
                </c:pt>
                <c:pt idx="54">
                  <c:v>658.1</c:v>
                </c:pt>
                <c:pt idx="55">
                  <c:v>661.7</c:v>
                </c:pt>
                <c:pt idx="56">
                  <c:v>665.6</c:v>
                </c:pt>
                <c:pt idx="57">
                  <c:v>669.8</c:v>
                </c:pt>
                <c:pt idx="58">
                  <c:v>673.6</c:v>
                </c:pt>
                <c:pt idx="59">
                  <c:v>678.5</c:v>
                </c:pt>
                <c:pt idx="60">
                  <c:v>683.9</c:v>
                </c:pt>
                <c:pt idx="61">
                  <c:v>689.6</c:v>
                </c:pt>
                <c:pt idx="62">
                  <c:v>696</c:v>
                </c:pt>
                <c:pt idx="63">
                  <c:v>705.1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6E7-42A2-81A5-4D3753E5A413}"/>
            </c:ext>
          </c:extLst>
        </c:ser>
        <c:ser>
          <c:idx val="6"/>
          <c:order val="2"/>
          <c:tx>
            <c:strRef>
              <c:f>'LCF LS Products'!$J$72</c:f>
              <c:strCache>
                <c:ptCount val="1"/>
                <c:pt idx="0">
                  <c:v>360-560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'LCF LS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LS Products'!$J$73:$J$173</c:f>
              <c:numCache>
                <c:formatCode>General</c:formatCode>
                <c:ptCount val="101"/>
                <c:pt idx="0">
                  <c:v>310.89999999999998</c:v>
                </c:pt>
                <c:pt idx="1">
                  <c:v>320.5</c:v>
                </c:pt>
                <c:pt idx="2">
                  <c:v>330.1</c:v>
                </c:pt>
                <c:pt idx="3">
                  <c:v>336.9</c:v>
                </c:pt>
                <c:pt idx="4">
                  <c:v>341.8</c:v>
                </c:pt>
                <c:pt idx="5">
                  <c:v>347</c:v>
                </c:pt>
                <c:pt idx="6">
                  <c:v>351.3</c:v>
                </c:pt>
                <c:pt idx="7">
                  <c:v>355.2</c:v>
                </c:pt>
                <c:pt idx="8">
                  <c:v>359</c:v>
                </c:pt>
                <c:pt idx="9">
                  <c:v>362.7</c:v>
                </c:pt>
                <c:pt idx="10">
                  <c:v>365.5</c:v>
                </c:pt>
                <c:pt idx="11">
                  <c:v>369.1</c:v>
                </c:pt>
                <c:pt idx="12">
                  <c:v>372.2</c:v>
                </c:pt>
                <c:pt idx="13">
                  <c:v>375.3</c:v>
                </c:pt>
                <c:pt idx="14">
                  <c:v>377.6</c:v>
                </c:pt>
                <c:pt idx="15">
                  <c:v>380.8</c:v>
                </c:pt>
                <c:pt idx="16">
                  <c:v>383.7</c:v>
                </c:pt>
                <c:pt idx="17">
                  <c:v>386.5</c:v>
                </c:pt>
                <c:pt idx="18">
                  <c:v>388.5</c:v>
                </c:pt>
                <c:pt idx="19">
                  <c:v>391.4</c:v>
                </c:pt>
                <c:pt idx="20">
                  <c:v>393.5</c:v>
                </c:pt>
                <c:pt idx="21">
                  <c:v>395.7</c:v>
                </c:pt>
                <c:pt idx="22">
                  <c:v>397.4</c:v>
                </c:pt>
                <c:pt idx="23">
                  <c:v>399.3</c:v>
                </c:pt>
                <c:pt idx="24">
                  <c:v>401.4</c:v>
                </c:pt>
                <c:pt idx="25">
                  <c:v>403.4</c:v>
                </c:pt>
                <c:pt idx="26">
                  <c:v>405.4</c:v>
                </c:pt>
                <c:pt idx="27">
                  <c:v>406.9</c:v>
                </c:pt>
                <c:pt idx="28">
                  <c:v>408.9</c:v>
                </c:pt>
                <c:pt idx="29">
                  <c:v>410.8</c:v>
                </c:pt>
                <c:pt idx="30">
                  <c:v>412.9</c:v>
                </c:pt>
                <c:pt idx="31">
                  <c:v>415.3</c:v>
                </c:pt>
                <c:pt idx="32">
                  <c:v>417.4</c:v>
                </c:pt>
                <c:pt idx="33">
                  <c:v>420</c:v>
                </c:pt>
                <c:pt idx="34">
                  <c:v>422.5</c:v>
                </c:pt>
                <c:pt idx="35">
                  <c:v>425</c:v>
                </c:pt>
                <c:pt idx="36">
                  <c:v>427.2</c:v>
                </c:pt>
                <c:pt idx="37">
                  <c:v>429.5</c:v>
                </c:pt>
                <c:pt idx="38">
                  <c:v>431.8</c:v>
                </c:pt>
                <c:pt idx="39">
                  <c:v>433.6</c:v>
                </c:pt>
                <c:pt idx="40">
                  <c:v>435.4</c:v>
                </c:pt>
                <c:pt idx="41">
                  <c:v>436.8</c:v>
                </c:pt>
                <c:pt idx="42">
                  <c:v>438.7</c:v>
                </c:pt>
                <c:pt idx="43">
                  <c:v>440.4</c:v>
                </c:pt>
                <c:pt idx="44">
                  <c:v>442.2</c:v>
                </c:pt>
                <c:pt idx="45">
                  <c:v>443.7</c:v>
                </c:pt>
                <c:pt idx="46">
                  <c:v>445.5</c:v>
                </c:pt>
                <c:pt idx="47">
                  <c:v>447.3</c:v>
                </c:pt>
                <c:pt idx="48">
                  <c:v>449.1</c:v>
                </c:pt>
                <c:pt idx="49">
                  <c:v>451.7</c:v>
                </c:pt>
                <c:pt idx="50">
                  <c:v>454.2</c:v>
                </c:pt>
                <c:pt idx="51">
                  <c:v>456.8</c:v>
                </c:pt>
                <c:pt idx="52">
                  <c:v>459.5</c:v>
                </c:pt>
                <c:pt idx="53">
                  <c:v>462.1</c:v>
                </c:pt>
                <c:pt idx="54">
                  <c:v>464.6</c:v>
                </c:pt>
                <c:pt idx="55">
                  <c:v>466.8</c:v>
                </c:pt>
                <c:pt idx="56">
                  <c:v>468.6</c:v>
                </c:pt>
                <c:pt idx="57">
                  <c:v>470.4</c:v>
                </c:pt>
                <c:pt idx="58">
                  <c:v>472.2</c:v>
                </c:pt>
                <c:pt idx="59">
                  <c:v>474</c:v>
                </c:pt>
                <c:pt idx="60">
                  <c:v>475.9</c:v>
                </c:pt>
                <c:pt idx="61">
                  <c:v>477.7</c:v>
                </c:pt>
                <c:pt idx="62">
                  <c:v>479.5</c:v>
                </c:pt>
                <c:pt idx="63">
                  <c:v>481.4</c:v>
                </c:pt>
                <c:pt idx="64">
                  <c:v>483.8</c:v>
                </c:pt>
                <c:pt idx="65">
                  <c:v>486</c:v>
                </c:pt>
                <c:pt idx="66">
                  <c:v>488.4</c:v>
                </c:pt>
                <c:pt idx="67">
                  <c:v>490.7</c:v>
                </c:pt>
                <c:pt idx="68">
                  <c:v>493.1</c:v>
                </c:pt>
                <c:pt idx="69">
                  <c:v>495.4</c:v>
                </c:pt>
                <c:pt idx="70">
                  <c:v>497.4</c:v>
                </c:pt>
                <c:pt idx="71">
                  <c:v>499.2</c:v>
                </c:pt>
                <c:pt idx="72">
                  <c:v>500.9</c:v>
                </c:pt>
                <c:pt idx="73">
                  <c:v>502.7</c:v>
                </c:pt>
                <c:pt idx="74">
                  <c:v>504.5</c:v>
                </c:pt>
                <c:pt idx="75">
                  <c:v>506.3</c:v>
                </c:pt>
                <c:pt idx="76">
                  <c:v>508.1</c:v>
                </c:pt>
                <c:pt idx="77">
                  <c:v>510.2</c:v>
                </c:pt>
                <c:pt idx="78">
                  <c:v>512.5</c:v>
                </c:pt>
                <c:pt idx="79">
                  <c:v>514.79999999999995</c:v>
                </c:pt>
                <c:pt idx="80">
                  <c:v>517.20000000000005</c:v>
                </c:pt>
                <c:pt idx="81">
                  <c:v>519.6</c:v>
                </c:pt>
                <c:pt idx="82">
                  <c:v>522</c:v>
                </c:pt>
                <c:pt idx="83">
                  <c:v>524.1</c:v>
                </c:pt>
                <c:pt idx="84">
                  <c:v>526.29999999999995</c:v>
                </c:pt>
                <c:pt idx="85">
                  <c:v>528.4</c:v>
                </c:pt>
                <c:pt idx="86">
                  <c:v>530.70000000000005</c:v>
                </c:pt>
                <c:pt idx="87">
                  <c:v>532.9</c:v>
                </c:pt>
                <c:pt idx="88">
                  <c:v>535.4</c:v>
                </c:pt>
                <c:pt idx="89">
                  <c:v>538</c:v>
                </c:pt>
                <c:pt idx="90">
                  <c:v>540.70000000000005</c:v>
                </c:pt>
                <c:pt idx="91">
                  <c:v>543.6</c:v>
                </c:pt>
                <c:pt idx="92">
                  <c:v>546.6</c:v>
                </c:pt>
                <c:pt idx="93">
                  <c:v>549.9</c:v>
                </c:pt>
                <c:pt idx="94">
                  <c:v>553.6</c:v>
                </c:pt>
                <c:pt idx="95">
                  <c:v>557.5</c:v>
                </c:pt>
                <c:pt idx="96">
                  <c:v>561.9</c:v>
                </c:pt>
                <c:pt idx="97">
                  <c:v>567.1</c:v>
                </c:pt>
                <c:pt idx="98">
                  <c:v>573.6</c:v>
                </c:pt>
                <c:pt idx="99">
                  <c:v>585.1</c:v>
                </c:pt>
                <c:pt idx="100">
                  <c:v>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6E7-42A2-81A5-4D3753E5A413}"/>
            </c:ext>
          </c:extLst>
        </c:ser>
        <c:ser>
          <c:idx val="4"/>
          <c:order val="3"/>
          <c:tx>
            <c:strRef>
              <c:f>'LCF LS Products'!$H$72</c:f>
              <c:strCache>
                <c:ptCount val="1"/>
                <c:pt idx="0">
                  <c:v>250-360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'LCF LS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LS Products'!$H$73:$H$173</c:f>
              <c:numCache>
                <c:formatCode>General</c:formatCode>
                <c:ptCount val="101"/>
                <c:pt idx="0">
                  <c:v>204.7</c:v>
                </c:pt>
                <c:pt idx="1">
                  <c:v>214.4</c:v>
                </c:pt>
                <c:pt idx="2">
                  <c:v>223.5</c:v>
                </c:pt>
                <c:pt idx="3">
                  <c:v>229.4</c:v>
                </c:pt>
                <c:pt idx="4">
                  <c:v>234.3</c:v>
                </c:pt>
                <c:pt idx="5">
                  <c:v>236.7</c:v>
                </c:pt>
                <c:pt idx="6">
                  <c:v>240.5</c:v>
                </c:pt>
                <c:pt idx="7">
                  <c:v>244.3</c:v>
                </c:pt>
                <c:pt idx="8">
                  <c:v>247.2</c:v>
                </c:pt>
                <c:pt idx="9">
                  <c:v>249.9</c:v>
                </c:pt>
                <c:pt idx="10">
                  <c:v>252.4</c:v>
                </c:pt>
                <c:pt idx="11">
                  <c:v>254.5</c:v>
                </c:pt>
                <c:pt idx="12">
                  <c:v>255.6</c:v>
                </c:pt>
                <c:pt idx="13">
                  <c:v>257.10000000000002</c:v>
                </c:pt>
                <c:pt idx="14">
                  <c:v>259.2</c:v>
                </c:pt>
                <c:pt idx="15">
                  <c:v>261.2</c:v>
                </c:pt>
                <c:pt idx="16">
                  <c:v>263.3</c:v>
                </c:pt>
                <c:pt idx="17">
                  <c:v>264.89999999999998</c:v>
                </c:pt>
                <c:pt idx="18">
                  <c:v>266.10000000000002</c:v>
                </c:pt>
                <c:pt idx="19">
                  <c:v>267.5</c:v>
                </c:pt>
                <c:pt idx="20">
                  <c:v>269.10000000000002</c:v>
                </c:pt>
                <c:pt idx="21">
                  <c:v>270.8</c:v>
                </c:pt>
                <c:pt idx="22">
                  <c:v>272.10000000000002</c:v>
                </c:pt>
                <c:pt idx="23">
                  <c:v>272.89999999999998</c:v>
                </c:pt>
                <c:pt idx="24">
                  <c:v>273.8</c:v>
                </c:pt>
                <c:pt idx="25">
                  <c:v>275.2</c:v>
                </c:pt>
                <c:pt idx="26">
                  <c:v>276.7</c:v>
                </c:pt>
                <c:pt idx="27">
                  <c:v>278.10000000000002</c:v>
                </c:pt>
                <c:pt idx="28">
                  <c:v>279.5</c:v>
                </c:pt>
                <c:pt idx="29">
                  <c:v>280.7</c:v>
                </c:pt>
                <c:pt idx="30">
                  <c:v>281.89999999999998</c:v>
                </c:pt>
                <c:pt idx="31">
                  <c:v>283</c:v>
                </c:pt>
                <c:pt idx="32">
                  <c:v>284.10000000000002</c:v>
                </c:pt>
                <c:pt idx="33">
                  <c:v>285.3</c:v>
                </c:pt>
                <c:pt idx="34">
                  <c:v>286.60000000000002</c:v>
                </c:pt>
                <c:pt idx="35">
                  <c:v>287.8</c:v>
                </c:pt>
                <c:pt idx="36">
                  <c:v>288.60000000000002</c:v>
                </c:pt>
                <c:pt idx="37">
                  <c:v>289.3</c:v>
                </c:pt>
                <c:pt idx="38">
                  <c:v>289.89999999999998</c:v>
                </c:pt>
                <c:pt idx="39">
                  <c:v>291</c:v>
                </c:pt>
                <c:pt idx="40">
                  <c:v>292.2</c:v>
                </c:pt>
                <c:pt idx="41">
                  <c:v>293.39999999999998</c:v>
                </c:pt>
                <c:pt idx="42">
                  <c:v>294.60000000000002</c:v>
                </c:pt>
                <c:pt idx="43">
                  <c:v>295.8</c:v>
                </c:pt>
                <c:pt idx="44">
                  <c:v>296.7</c:v>
                </c:pt>
                <c:pt idx="45">
                  <c:v>297.7</c:v>
                </c:pt>
                <c:pt idx="46">
                  <c:v>298.7</c:v>
                </c:pt>
                <c:pt idx="47">
                  <c:v>299.7</c:v>
                </c:pt>
                <c:pt idx="48">
                  <c:v>300.7</c:v>
                </c:pt>
                <c:pt idx="49">
                  <c:v>301.8</c:v>
                </c:pt>
                <c:pt idx="50">
                  <c:v>302.89999999999998</c:v>
                </c:pt>
                <c:pt idx="51">
                  <c:v>303.7</c:v>
                </c:pt>
                <c:pt idx="52">
                  <c:v>304.39999999999998</c:v>
                </c:pt>
                <c:pt idx="53">
                  <c:v>305</c:v>
                </c:pt>
                <c:pt idx="54">
                  <c:v>305.7</c:v>
                </c:pt>
                <c:pt idx="55">
                  <c:v>306.60000000000002</c:v>
                </c:pt>
                <c:pt idx="56">
                  <c:v>307.60000000000002</c:v>
                </c:pt>
                <c:pt idx="57">
                  <c:v>308.7</c:v>
                </c:pt>
                <c:pt idx="58">
                  <c:v>309.8</c:v>
                </c:pt>
                <c:pt idx="59">
                  <c:v>310.7</c:v>
                </c:pt>
                <c:pt idx="60">
                  <c:v>311.60000000000002</c:v>
                </c:pt>
                <c:pt idx="61">
                  <c:v>312.60000000000002</c:v>
                </c:pt>
                <c:pt idx="62">
                  <c:v>313.60000000000002</c:v>
                </c:pt>
                <c:pt idx="63">
                  <c:v>314.7</c:v>
                </c:pt>
                <c:pt idx="64">
                  <c:v>315.8</c:v>
                </c:pt>
                <c:pt idx="65">
                  <c:v>317.10000000000002</c:v>
                </c:pt>
                <c:pt idx="66">
                  <c:v>318</c:v>
                </c:pt>
                <c:pt idx="67">
                  <c:v>318.8</c:v>
                </c:pt>
                <c:pt idx="68">
                  <c:v>319.5</c:v>
                </c:pt>
                <c:pt idx="69">
                  <c:v>320.5</c:v>
                </c:pt>
                <c:pt idx="70">
                  <c:v>321.7</c:v>
                </c:pt>
                <c:pt idx="71">
                  <c:v>323</c:v>
                </c:pt>
                <c:pt idx="72">
                  <c:v>324.2</c:v>
                </c:pt>
                <c:pt idx="73">
                  <c:v>325.5</c:v>
                </c:pt>
                <c:pt idx="74">
                  <c:v>326.7</c:v>
                </c:pt>
                <c:pt idx="75">
                  <c:v>328</c:v>
                </c:pt>
                <c:pt idx="76">
                  <c:v>329.4</c:v>
                </c:pt>
                <c:pt idx="77">
                  <c:v>331</c:v>
                </c:pt>
                <c:pt idx="78">
                  <c:v>332.1</c:v>
                </c:pt>
                <c:pt idx="79">
                  <c:v>333</c:v>
                </c:pt>
                <c:pt idx="80">
                  <c:v>334.4</c:v>
                </c:pt>
                <c:pt idx="81">
                  <c:v>336.1</c:v>
                </c:pt>
                <c:pt idx="82">
                  <c:v>337.9</c:v>
                </c:pt>
                <c:pt idx="83">
                  <c:v>339.7</c:v>
                </c:pt>
                <c:pt idx="84">
                  <c:v>341.5</c:v>
                </c:pt>
                <c:pt idx="85">
                  <c:v>343.6</c:v>
                </c:pt>
                <c:pt idx="86">
                  <c:v>345.3</c:v>
                </c:pt>
                <c:pt idx="87">
                  <c:v>346.6</c:v>
                </c:pt>
                <c:pt idx="88">
                  <c:v>348.7</c:v>
                </c:pt>
                <c:pt idx="89">
                  <c:v>351.1</c:v>
                </c:pt>
                <c:pt idx="90">
                  <c:v>353.6</c:v>
                </c:pt>
                <c:pt idx="91">
                  <c:v>356.3</c:v>
                </c:pt>
                <c:pt idx="92">
                  <c:v>358.4</c:v>
                </c:pt>
                <c:pt idx="93">
                  <c:v>361.8</c:v>
                </c:pt>
                <c:pt idx="94">
                  <c:v>365.4</c:v>
                </c:pt>
                <c:pt idx="95">
                  <c:v>369.1</c:v>
                </c:pt>
                <c:pt idx="96">
                  <c:v>373.7</c:v>
                </c:pt>
                <c:pt idx="97">
                  <c:v>379.7</c:v>
                </c:pt>
                <c:pt idx="98">
                  <c:v>387.3</c:v>
                </c:pt>
                <c:pt idx="99">
                  <c:v>399.4</c:v>
                </c:pt>
                <c:pt idx="100">
                  <c:v>409.8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6E7-42A2-81A5-4D3753E5A413}"/>
            </c:ext>
          </c:extLst>
        </c:ser>
        <c:ser>
          <c:idx val="3"/>
          <c:order val="4"/>
          <c:tx>
            <c:strRef>
              <c:f>'LCF LS Products'!$G$72</c:f>
              <c:strCache>
                <c:ptCount val="1"/>
                <c:pt idx="0">
                  <c:v>160-250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'LCF LS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LS Products'!$G$73:$G$173</c:f>
              <c:numCache>
                <c:formatCode>General</c:formatCode>
                <c:ptCount val="101"/>
                <c:pt idx="0">
                  <c:v>98.4</c:v>
                </c:pt>
                <c:pt idx="1">
                  <c:v>112.6</c:v>
                </c:pt>
                <c:pt idx="2">
                  <c:v>116.3</c:v>
                </c:pt>
                <c:pt idx="3">
                  <c:v>126.4</c:v>
                </c:pt>
                <c:pt idx="4">
                  <c:v>134.1</c:v>
                </c:pt>
                <c:pt idx="5">
                  <c:v>140.4</c:v>
                </c:pt>
                <c:pt idx="6">
                  <c:v>143.4</c:v>
                </c:pt>
                <c:pt idx="7">
                  <c:v>145.80000000000001</c:v>
                </c:pt>
                <c:pt idx="8">
                  <c:v>150.1</c:v>
                </c:pt>
                <c:pt idx="9">
                  <c:v>151.9</c:v>
                </c:pt>
                <c:pt idx="10">
                  <c:v>152.4</c:v>
                </c:pt>
                <c:pt idx="11">
                  <c:v>154.5</c:v>
                </c:pt>
                <c:pt idx="12">
                  <c:v>158.1</c:v>
                </c:pt>
                <c:pt idx="13">
                  <c:v>160.30000000000001</c:v>
                </c:pt>
                <c:pt idx="14">
                  <c:v>161.9</c:v>
                </c:pt>
                <c:pt idx="15">
                  <c:v>163.19999999999999</c:v>
                </c:pt>
                <c:pt idx="16">
                  <c:v>164</c:v>
                </c:pt>
                <c:pt idx="17">
                  <c:v>166.3</c:v>
                </c:pt>
                <c:pt idx="18">
                  <c:v>166.9</c:v>
                </c:pt>
                <c:pt idx="19">
                  <c:v>167.4</c:v>
                </c:pt>
                <c:pt idx="20">
                  <c:v>168.5</c:v>
                </c:pt>
                <c:pt idx="21">
                  <c:v>170.1</c:v>
                </c:pt>
                <c:pt idx="22">
                  <c:v>170.8</c:v>
                </c:pt>
                <c:pt idx="23">
                  <c:v>172.4</c:v>
                </c:pt>
                <c:pt idx="24">
                  <c:v>174.8</c:v>
                </c:pt>
                <c:pt idx="25">
                  <c:v>175.6</c:v>
                </c:pt>
                <c:pt idx="26">
                  <c:v>176</c:v>
                </c:pt>
                <c:pt idx="27">
                  <c:v>176.3</c:v>
                </c:pt>
                <c:pt idx="28">
                  <c:v>176.7</c:v>
                </c:pt>
                <c:pt idx="29">
                  <c:v>177.9</c:v>
                </c:pt>
                <c:pt idx="30">
                  <c:v>179.3</c:v>
                </c:pt>
                <c:pt idx="31">
                  <c:v>180.8</c:v>
                </c:pt>
                <c:pt idx="32">
                  <c:v>181.6</c:v>
                </c:pt>
                <c:pt idx="33">
                  <c:v>183.1</c:v>
                </c:pt>
                <c:pt idx="34">
                  <c:v>184</c:v>
                </c:pt>
                <c:pt idx="35">
                  <c:v>184.9</c:v>
                </c:pt>
                <c:pt idx="36">
                  <c:v>185.7</c:v>
                </c:pt>
                <c:pt idx="37">
                  <c:v>186.9</c:v>
                </c:pt>
                <c:pt idx="38">
                  <c:v>188.7</c:v>
                </c:pt>
                <c:pt idx="39">
                  <c:v>189.5</c:v>
                </c:pt>
                <c:pt idx="40">
                  <c:v>190</c:v>
                </c:pt>
                <c:pt idx="41">
                  <c:v>190.7</c:v>
                </c:pt>
                <c:pt idx="42">
                  <c:v>191.4</c:v>
                </c:pt>
                <c:pt idx="43">
                  <c:v>193.2</c:v>
                </c:pt>
                <c:pt idx="44">
                  <c:v>194.8</c:v>
                </c:pt>
                <c:pt idx="45">
                  <c:v>195.8</c:v>
                </c:pt>
                <c:pt idx="46">
                  <c:v>197.2</c:v>
                </c:pt>
                <c:pt idx="47">
                  <c:v>197.7</c:v>
                </c:pt>
                <c:pt idx="48">
                  <c:v>198.1</c:v>
                </c:pt>
                <c:pt idx="49">
                  <c:v>198.4</c:v>
                </c:pt>
                <c:pt idx="50">
                  <c:v>198.7</c:v>
                </c:pt>
                <c:pt idx="51">
                  <c:v>200.1</c:v>
                </c:pt>
                <c:pt idx="52">
                  <c:v>201.7</c:v>
                </c:pt>
                <c:pt idx="53">
                  <c:v>203</c:v>
                </c:pt>
                <c:pt idx="54">
                  <c:v>203.8</c:v>
                </c:pt>
                <c:pt idx="55">
                  <c:v>204.4</c:v>
                </c:pt>
                <c:pt idx="56">
                  <c:v>205.3</c:v>
                </c:pt>
                <c:pt idx="57">
                  <c:v>206</c:v>
                </c:pt>
                <c:pt idx="58">
                  <c:v>206.9</c:v>
                </c:pt>
                <c:pt idx="59">
                  <c:v>208</c:v>
                </c:pt>
                <c:pt idx="60">
                  <c:v>209</c:v>
                </c:pt>
                <c:pt idx="61">
                  <c:v>210.1</c:v>
                </c:pt>
                <c:pt idx="62">
                  <c:v>211.4</c:v>
                </c:pt>
                <c:pt idx="63">
                  <c:v>212.4</c:v>
                </c:pt>
                <c:pt idx="64">
                  <c:v>213.7</c:v>
                </c:pt>
                <c:pt idx="65">
                  <c:v>214.8</c:v>
                </c:pt>
                <c:pt idx="66">
                  <c:v>216.4</c:v>
                </c:pt>
                <c:pt idx="67">
                  <c:v>217.4</c:v>
                </c:pt>
                <c:pt idx="68">
                  <c:v>217.9</c:v>
                </c:pt>
                <c:pt idx="69">
                  <c:v>218.3</c:v>
                </c:pt>
                <c:pt idx="70">
                  <c:v>219.2</c:v>
                </c:pt>
                <c:pt idx="71">
                  <c:v>220.4</c:v>
                </c:pt>
                <c:pt idx="72">
                  <c:v>221.3</c:v>
                </c:pt>
                <c:pt idx="73">
                  <c:v>222.8</c:v>
                </c:pt>
                <c:pt idx="74">
                  <c:v>224.3</c:v>
                </c:pt>
                <c:pt idx="75">
                  <c:v>225.9</c:v>
                </c:pt>
                <c:pt idx="76">
                  <c:v>227.2</c:v>
                </c:pt>
                <c:pt idx="77">
                  <c:v>228.6</c:v>
                </c:pt>
                <c:pt idx="78">
                  <c:v>229.8</c:v>
                </c:pt>
                <c:pt idx="79">
                  <c:v>231.1</c:v>
                </c:pt>
                <c:pt idx="80">
                  <c:v>232.3</c:v>
                </c:pt>
                <c:pt idx="81">
                  <c:v>234.5</c:v>
                </c:pt>
                <c:pt idx="82">
                  <c:v>236.3</c:v>
                </c:pt>
                <c:pt idx="83">
                  <c:v>236.9</c:v>
                </c:pt>
                <c:pt idx="84">
                  <c:v>237.6</c:v>
                </c:pt>
                <c:pt idx="85">
                  <c:v>239.7</c:v>
                </c:pt>
                <c:pt idx="86">
                  <c:v>241.9</c:v>
                </c:pt>
                <c:pt idx="87">
                  <c:v>244.6</c:v>
                </c:pt>
                <c:pt idx="88">
                  <c:v>247.1</c:v>
                </c:pt>
                <c:pt idx="89">
                  <c:v>249.6</c:v>
                </c:pt>
                <c:pt idx="90">
                  <c:v>252.3</c:v>
                </c:pt>
                <c:pt idx="91">
                  <c:v>255</c:v>
                </c:pt>
                <c:pt idx="92">
                  <c:v>256.2</c:v>
                </c:pt>
                <c:pt idx="93">
                  <c:v>259.89999999999998</c:v>
                </c:pt>
                <c:pt idx="94">
                  <c:v>264.2</c:v>
                </c:pt>
                <c:pt idx="95">
                  <c:v>268.10000000000002</c:v>
                </c:pt>
                <c:pt idx="96">
                  <c:v>272.2</c:v>
                </c:pt>
                <c:pt idx="97">
                  <c:v>279</c:v>
                </c:pt>
                <c:pt idx="98">
                  <c:v>287.39999999999998</c:v>
                </c:pt>
                <c:pt idx="99">
                  <c:v>299.5</c:v>
                </c:pt>
                <c:pt idx="100">
                  <c:v>309.2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E7-42A2-81A5-4D3753E5A413}"/>
            </c:ext>
          </c:extLst>
        </c:ser>
        <c:ser>
          <c:idx val="1"/>
          <c:order val="5"/>
          <c:tx>
            <c:strRef>
              <c:f>'LCF LS Products'!$E$72</c:f>
              <c:strCache>
                <c:ptCount val="1"/>
                <c:pt idx="0">
                  <c:v>IBP-160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'LCF LS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LS Products'!$E$73:$E$173</c:f>
              <c:numCache>
                <c:formatCode>General</c:formatCode>
                <c:ptCount val="101"/>
                <c:pt idx="0">
                  <c:v>25.2</c:v>
                </c:pt>
                <c:pt idx="1">
                  <c:v>35.4</c:v>
                </c:pt>
                <c:pt idx="2">
                  <c:v>56</c:v>
                </c:pt>
                <c:pt idx="3">
                  <c:v>61.3</c:v>
                </c:pt>
                <c:pt idx="4">
                  <c:v>68.2</c:v>
                </c:pt>
                <c:pt idx="5">
                  <c:v>68.8</c:v>
                </c:pt>
                <c:pt idx="6">
                  <c:v>74</c:v>
                </c:pt>
                <c:pt idx="7">
                  <c:v>82.2</c:v>
                </c:pt>
                <c:pt idx="8">
                  <c:v>83.4</c:v>
                </c:pt>
                <c:pt idx="9">
                  <c:v>87.4</c:v>
                </c:pt>
                <c:pt idx="10">
                  <c:v>88.2</c:v>
                </c:pt>
                <c:pt idx="11">
                  <c:v>90.2</c:v>
                </c:pt>
                <c:pt idx="12">
                  <c:v>91</c:v>
                </c:pt>
                <c:pt idx="13">
                  <c:v>92.7</c:v>
                </c:pt>
                <c:pt idx="14">
                  <c:v>97.9</c:v>
                </c:pt>
                <c:pt idx="15">
                  <c:v>98.5</c:v>
                </c:pt>
                <c:pt idx="16">
                  <c:v>98.8</c:v>
                </c:pt>
                <c:pt idx="17">
                  <c:v>99.1</c:v>
                </c:pt>
                <c:pt idx="18">
                  <c:v>99.4</c:v>
                </c:pt>
                <c:pt idx="19">
                  <c:v>99.9</c:v>
                </c:pt>
                <c:pt idx="20">
                  <c:v>102.1</c:v>
                </c:pt>
                <c:pt idx="21">
                  <c:v>102.6</c:v>
                </c:pt>
                <c:pt idx="22">
                  <c:v>103</c:v>
                </c:pt>
                <c:pt idx="23">
                  <c:v>104.2</c:v>
                </c:pt>
                <c:pt idx="24">
                  <c:v>107.5</c:v>
                </c:pt>
                <c:pt idx="25">
                  <c:v>112.4</c:v>
                </c:pt>
                <c:pt idx="26">
                  <c:v>113.1</c:v>
                </c:pt>
                <c:pt idx="27">
                  <c:v>113.5</c:v>
                </c:pt>
                <c:pt idx="28">
                  <c:v>113.8</c:v>
                </c:pt>
                <c:pt idx="29">
                  <c:v>114</c:v>
                </c:pt>
                <c:pt idx="30">
                  <c:v>114.2</c:v>
                </c:pt>
                <c:pt idx="31">
                  <c:v>114.4</c:v>
                </c:pt>
                <c:pt idx="32">
                  <c:v>114.6</c:v>
                </c:pt>
                <c:pt idx="33">
                  <c:v>114.7</c:v>
                </c:pt>
                <c:pt idx="34">
                  <c:v>114.9</c:v>
                </c:pt>
                <c:pt idx="35">
                  <c:v>115</c:v>
                </c:pt>
                <c:pt idx="36">
                  <c:v>115.1</c:v>
                </c:pt>
                <c:pt idx="37">
                  <c:v>115.3</c:v>
                </c:pt>
                <c:pt idx="38">
                  <c:v>115.4</c:v>
                </c:pt>
                <c:pt idx="39">
                  <c:v>115.5</c:v>
                </c:pt>
                <c:pt idx="40">
                  <c:v>115.6</c:v>
                </c:pt>
                <c:pt idx="41">
                  <c:v>115.7</c:v>
                </c:pt>
                <c:pt idx="42">
                  <c:v>115.8</c:v>
                </c:pt>
                <c:pt idx="43">
                  <c:v>115.9</c:v>
                </c:pt>
                <c:pt idx="44">
                  <c:v>116</c:v>
                </c:pt>
                <c:pt idx="45">
                  <c:v>116.2</c:v>
                </c:pt>
                <c:pt idx="46">
                  <c:v>117.5</c:v>
                </c:pt>
                <c:pt idx="47">
                  <c:v>118.1</c:v>
                </c:pt>
                <c:pt idx="48">
                  <c:v>118.5</c:v>
                </c:pt>
                <c:pt idx="49">
                  <c:v>118.8</c:v>
                </c:pt>
                <c:pt idx="50">
                  <c:v>119.3</c:v>
                </c:pt>
                <c:pt idx="51">
                  <c:v>119.8</c:v>
                </c:pt>
                <c:pt idx="52">
                  <c:v>120.2</c:v>
                </c:pt>
                <c:pt idx="53">
                  <c:v>121.1</c:v>
                </c:pt>
                <c:pt idx="54">
                  <c:v>123.1</c:v>
                </c:pt>
                <c:pt idx="55">
                  <c:v>124.5</c:v>
                </c:pt>
                <c:pt idx="56">
                  <c:v>126.7</c:v>
                </c:pt>
                <c:pt idx="57">
                  <c:v>127.2</c:v>
                </c:pt>
                <c:pt idx="58">
                  <c:v>127.6</c:v>
                </c:pt>
                <c:pt idx="59">
                  <c:v>127.8</c:v>
                </c:pt>
                <c:pt idx="60">
                  <c:v>128.1</c:v>
                </c:pt>
                <c:pt idx="61">
                  <c:v>128.30000000000001</c:v>
                </c:pt>
                <c:pt idx="62">
                  <c:v>128.4</c:v>
                </c:pt>
                <c:pt idx="63">
                  <c:v>129.69999999999999</c:v>
                </c:pt>
                <c:pt idx="64">
                  <c:v>133.1</c:v>
                </c:pt>
                <c:pt idx="65">
                  <c:v>133.69999999999999</c:v>
                </c:pt>
                <c:pt idx="66">
                  <c:v>134.30000000000001</c:v>
                </c:pt>
                <c:pt idx="67">
                  <c:v>134.9</c:v>
                </c:pt>
                <c:pt idx="68">
                  <c:v>136.19999999999999</c:v>
                </c:pt>
                <c:pt idx="69">
                  <c:v>138.4</c:v>
                </c:pt>
                <c:pt idx="70">
                  <c:v>139</c:v>
                </c:pt>
                <c:pt idx="71">
                  <c:v>140.69999999999999</c:v>
                </c:pt>
                <c:pt idx="72">
                  <c:v>141.19999999999999</c:v>
                </c:pt>
                <c:pt idx="73">
                  <c:v>141.6</c:v>
                </c:pt>
                <c:pt idx="74">
                  <c:v>143</c:v>
                </c:pt>
                <c:pt idx="75">
                  <c:v>143.80000000000001</c:v>
                </c:pt>
                <c:pt idx="76">
                  <c:v>144.5</c:v>
                </c:pt>
                <c:pt idx="77">
                  <c:v>145.5</c:v>
                </c:pt>
                <c:pt idx="78">
                  <c:v>146.1</c:v>
                </c:pt>
                <c:pt idx="79">
                  <c:v>146.80000000000001</c:v>
                </c:pt>
                <c:pt idx="80">
                  <c:v>147.69999999999999</c:v>
                </c:pt>
                <c:pt idx="81">
                  <c:v>151.19999999999999</c:v>
                </c:pt>
                <c:pt idx="82">
                  <c:v>152.1</c:v>
                </c:pt>
                <c:pt idx="83">
                  <c:v>152.5</c:v>
                </c:pt>
                <c:pt idx="84">
                  <c:v>152.80000000000001</c:v>
                </c:pt>
                <c:pt idx="85">
                  <c:v>153.1</c:v>
                </c:pt>
                <c:pt idx="86">
                  <c:v>154.30000000000001</c:v>
                </c:pt>
                <c:pt idx="87">
                  <c:v>157.19999999999999</c:v>
                </c:pt>
                <c:pt idx="88">
                  <c:v>159.6</c:v>
                </c:pt>
                <c:pt idx="89">
                  <c:v>161.19999999999999</c:v>
                </c:pt>
                <c:pt idx="90">
                  <c:v>163</c:v>
                </c:pt>
                <c:pt idx="91">
                  <c:v>164.2</c:v>
                </c:pt>
                <c:pt idx="92">
                  <c:v>166.5</c:v>
                </c:pt>
                <c:pt idx="93">
                  <c:v>167.3</c:v>
                </c:pt>
                <c:pt idx="94">
                  <c:v>170.1</c:v>
                </c:pt>
                <c:pt idx="95">
                  <c:v>174.5</c:v>
                </c:pt>
                <c:pt idx="96">
                  <c:v>176.1</c:v>
                </c:pt>
                <c:pt idx="97">
                  <c:v>182.4</c:v>
                </c:pt>
                <c:pt idx="98">
                  <c:v>190</c:v>
                </c:pt>
                <c:pt idx="99">
                  <c:v>206.1</c:v>
                </c:pt>
                <c:pt idx="100">
                  <c:v>222.5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E7-42A2-81A5-4D3753E5A413}"/>
            </c:ext>
          </c:extLst>
        </c:ser>
        <c:ser>
          <c:idx val="8"/>
          <c:order val="8"/>
          <c:tx>
            <c:v>5%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'LCF LS Products'!$X$75:$X$76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'LCF LS Products'!$Y$75:$Y$76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C6-4F29-8A03-9452358A7B22}"/>
            </c:ext>
          </c:extLst>
        </c:ser>
        <c:ser>
          <c:idx val="9"/>
          <c:order val="9"/>
          <c:tx>
            <c:v>95%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'LCF LS Products'!$X$78:$X$79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'LCF LS Products'!$Y$78:$Y$79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C6-4F29-8A03-9452358A7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9136"/>
        <c:axId val="272082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'LCF LS Products'!$D$72</c15:sqref>
                        </c15:formulaRef>
                      </c:ext>
                    </c:extLst>
                    <c:strCache>
                      <c:ptCount val="1"/>
                      <c:pt idx="0">
                        <c:v>LCF FEED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'LCF LS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'LCF LS Products'!$D$73:$D$161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105.1</c:v>
                      </c:pt>
                      <c:pt idx="1">
                        <c:v>120.6</c:v>
                      </c:pt>
                      <c:pt idx="2">
                        <c:v>151.30000000000001</c:v>
                      </c:pt>
                      <c:pt idx="3">
                        <c:v>171.8</c:v>
                      </c:pt>
                      <c:pt idx="4">
                        <c:v>187.4</c:v>
                      </c:pt>
                      <c:pt idx="5">
                        <c:v>200.3</c:v>
                      </c:pt>
                      <c:pt idx="6">
                        <c:v>212.6</c:v>
                      </c:pt>
                      <c:pt idx="7">
                        <c:v>223</c:v>
                      </c:pt>
                      <c:pt idx="8">
                        <c:v>233</c:v>
                      </c:pt>
                      <c:pt idx="9">
                        <c:v>243.5</c:v>
                      </c:pt>
                      <c:pt idx="10">
                        <c:v>252.4</c:v>
                      </c:pt>
                      <c:pt idx="11">
                        <c:v>262.10000000000002</c:v>
                      </c:pt>
                      <c:pt idx="12">
                        <c:v>270.39999999999998</c:v>
                      </c:pt>
                      <c:pt idx="13">
                        <c:v>280.10000000000002</c:v>
                      </c:pt>
                      <c:pt idx="14">
                        <c:v>288.5</c:v>
                      </c:pt>
                      <c:pt idx="15">
                        <c:v>296.39999999999998</c:v>
                      </c:pt>
                      <c:pt idx="16">
                        <c:v>303.39999999999998</c:v>
                      </c:pt>
                      <c:pt idx="17">
                        <c:v>310.89999999999998</c:v>
                      </c:pt>
                      <c:pt idx="18">
                        <c:v>317.7</c:v>
                      </c:pt>
                      <c:pt idx="19">
                        <c:v>324.8</c:v>
                      </c:pt>
                      <c:pt idx="20">
                        <c:v>331.8</c:v>
                      </c:pt>
                      <c:pt idx="21">
                        <c:v>338.2</c:v>
                      </c:pt>
                      <c:pt idx="22">
                        <c:v>345.4</c:v>
                      </c:pt>
                      <c:pt idx="23">
                        <c:v>351.1</c:v>
                      </c:pt>
                      <c:pt idx="24">
                        <c:v>357.7</c:v>
                      </c:pt>
                      <c:pt idx="25">
                        <c:v>363.6</c:v>
                      </c:pt>
                      <c:pt idx="26">
                        <c:v>370.1</c:v>
                      </c:pt>
                      <c:pt idx="27">
                        <c:v>377.7</c:v>
                      </c:pt>
                      <c:pt idx="28">
                        <c:v>385.3</c:v>
                      </c:pt>
                      <c:pt idx="29">
                        <c:v>392.8</c:v>
                      </c:pt>
                      <c:pt idx="30">
                        <c:v>398.3</c:v>
                      </c:pt>
                      <c:pt idx="31">
                        <c:v>404.4</c:v>
                      </c:pt>
                      <c:pt idx="32">
                        <c:v>409.8</c:v>
                      </c:pt>
                      <c:pt idx="33">
                        <c:v>415.7</c:v>
                      </c:pt>
                      <c:pt idx="34">
                        <c:v>422.6</c:v>
                      </c:pt>
                      <c:pt idx="35">
                        <c:v>428.9</c:v>
                      </c:pt>
                      <c:pt idx="36">
                        <c:v>435</c:v>
                      </c:pt>
                      <c:pt idx="37">
                        <c:v>440.7</c:v>
                      </c:pt>
                      <c:pt idx="38">
                        <c:v>446.3</c:v>
                      </c:pt>
                      <c:pt idx="39">
                        <c:v>452.3</c:v>
                      </c:pt>
                      <c:pt idx="40">
                        <c:v>458.4</c:v>
                      </c:pt>
                      <c:pt idx="41">
                        <c:v>464.5</c:v>
                      </c:pt>
                      <c:pt idx="42">
                        <c:v>470.1</c:v>
                      </c:pt>
                      <c:pt idx="43">
                        <c:v>475.9</c:v>
                      </c:pt>
                      <c:pt idx="44">
                        <c:v>481.5</c:v>
                      </c:pt>
                      <c:pt idx="45">
                        <c:v>487.3</c:v>
                      </c:pt>
                      <c:pt idx="46">
                        <c:v>493.1</c:v>
                      </c:pt>
                      <c:pt idx="47">
                        <c:v>498.6</c:v>
                      </c:pt>
                      <c:pt idx="48">
                        <c:v>503.5</c:v>
                      </c:pt>
                      <c:pt idx="49">
                        <c:v>508.4</c:v>
                      </c:pt>
                      <c:pt idx="50">
                        <c:v>513.79999999999995</c:v>
                      </c:pt>
                      <c:pt idx="51">
                        <c:v>519.20000000000005</c:v>
                      </c:pt>
                      <c:pt idx="52">
                        <c:v>524.29999999999995</c:v>
                      </c:pt>
                      <c:pt idx="53">
                        <c:v>529</c:v>
                      </c:pt>
                      <c:pt idx="54">
                        <c:v>533.6</c:v>
                      </c:pt>
                      <c:pt idx="55">
                        <c:v>538.1</c:v>
                      </c:pt>
                      <c:pt idx="56">
                        <c:v>542.5</c:v>
                      </c:pt>
                      <c:pt idx="57">
                        <c:v>546.9</c:v>
                      </c:pt>
                      <c:pt idx="58">
                        <c:v>551.4</c:v>
                      </c:pt>
                      <c:pt idx="59">
                        <c:v>555.70000000000005</c:v>
                      </c:pt>
                      <c:pt idx="60">
                        <c:v>559.6</c:v>
                      </c:pt>
                      <c:pt idx="61">
                        <c:v>563.5</c:v>
                      </c:pt>
                      <c:pt idx="62">
                        <c:v>567.29999999999995</c:v>
                      </c:pt>
                      <c:pt idx="63">
                        <c:v>570.9</c:v>
                      </c:pt>
                      <c:pt idx="64">
                        <c:v>574.4</c:v>
                      </c:pt>
                      <c:pt idx="65">
                        <c:v>578.1</c:v>
                      </c:pt>
                      <c:pt idx="66">
                        <c:v>581.79999999999995</c:v>
                      </c:pt>
                      <c:pt idx="67">
                        <c:v>585.5</c:v>
                      </c:pt>
                      <c:pt idx="68">
                        <c:v>589.29999999999995</c:v>
                      </c:pt>
                      <c:pt idx="69">
                        <c:v>593.1</c:v>
                      </c:pt>
                      <c:pt idx="70">
                        <c:v>596.79999999999995</c:v>
                      </c:pt>
                      <c:pt idx="71">
                        <c:v>600.70000000000005</c:v>
                      </c:pt>
                      <c:pt idx="72">
                        <c:v>604.79999999999995</c:v>
                      </c:pt>
                      <c:pt idx="73">
                        <c:v>608.9</c:v>
                      </c:pt>
                      <c:pt idx="74">
                        <c:v>613.1</c:v>
                      </c:pt>
                      <c:pt idx="75">
                        <c:v>617.6</c:v>
                      </c:pt>
                      <c:pt idx="76">
                        <c:v>622.29999999999995</c:v>
                      </c:pt>
                      <c:pt idx="77">
                        <c:v>627</c:v>
                      </c:pt>
                      <c:pt idx="78">
                        <c:v>631.79999999999995</c:v>
                      </c:pt>
                      <c:pt idx="79">
                        <c:v>636.79999999999995</c:v>
                      </c:pt>
                      <c:pt idx="80">
                        <c:v>642.29999999999995</c:v>
                      </c:pt>
                      <c:pt idx="81">
                        <c:v>648.20000000000005</c:v>
                      </c:pt>
                      <c:pt idx="82">
                        <c:v>654.20000000000005</c:v>
                      </c:pt>
                      <c:pt idx="83">
                        <c:v>660.8</c:v>
                      </c:pt>
                      <c:pt idx="84">
                        <c:v>669.3</c:v>
                      </c:pt>
                      <c:pt idx="85">
                        <c:v>677.8</c:v>
                      </c:pt>
                      <c:pt idx="86">
                        <c:v>687.8</c:v>
                      </c:pt>
                      <c:pt idx="87">
                        <c:v>698.4</c:v>
                      </c:pt>
                      <c:pt idx="88">
                        <c:v>712.3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6E7-42A2-81A5-4D3753E5A413}"/>
                  </c:ext>
                </c:extLst>
              </c15:ser>
            </c15:filteredScatterSeries>
            <c15:filteredScatterSeries>
              <c15:ser>
                <c:idx val="2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Products'!$F$72</c15:sqref>
                        </c15:formulaRef>
                      </c:ext>
                    </c:extLst>
                    <c:strCache>
                      <c:ptCount val="1"/>
                      <c:pt idx="0">
                        <c:v>160-FBP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Products'!$F$73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144.69999999999999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6E7-42A2-81A5-4D3753E5A413}"/>
                  </c:ext>
                </c:extLst>
              </c15:ser>
            </c15:filteredScatterSeries>
            <c15:filteredScatter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Products'!$I$72</c15:sqref>
                        </c15:formulaRef>
                      </c:ext>
                    </c:extLst>
                    <c:strCache>
                      <c:ptCount val="1"/>
                      <c:pt idx="0">
                        <c:v>360-FBP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Products'!$I$73:$I$162</c15:sqref>
                        </c15:formulaRef>
                      </c:ext>
                    </c:extLst>
                    <c:numCache>
                      <c:formatCode>General</c:formatCode>
                      <c:ptCount val="90"/>
                      <c:pt idx="0">
                        <c:v>332.8</c:v>
                      </c:pt>
                      <c:pt idx="1">
                        <c:v>341.9</c:v>
                      </c:pt>
                      <c:pt idx="2">
                        <c:v>354.6</c:v>
                      </c:pt>
                      <c:pt idx="3">
                        <c:v>364.2</c:v>
                      </c:pt>
                      <c:pt idx="4">
                        <c:v>372.4</c:v>
                      </c:pt>
                      <c:pt idx="5">
                        <c:v>379.3</c:v>
                      </c:pt>
                      <c:pt idx="6">
                        <c:v>386.4</c:v>
                      </c:pt>
                      <c:pt idx="7">
                        <c:v>392.3</c:v>
                      </c:pt>
                      <c:pt idx="8">
                        <c:v>397.1</c:v>
                      </c:pt>
                      <c:pt idx="9">
                        <c:v>401.7</c:v>
                      </c:pt>
                      <c:pt idx="10">
                        <c:v>406.1</c:v>
                      </c:pt>
                      <c:pt idx="11">
                        <c:v>410.4</c:v>
                      </c:pt>
                      <c:pt idx="12">
                        <c:v>415.3</c:v>
                      </c:pt>
                      <c:pt idx="13">
                        <c:v>420.8</c:v>
                      </c:pt>
                      <c:pt idx="14">
                        <c:v>426.2</c:v>
                      </c:pt>
                      <c:pt idx="15">
                        <c:v>431.3</c:v>
                      </c:pt>
                      <c:pt idx="16">
                        <c:v>435.1</c:v>
                      </c:pt>
                      <c:pt idx="17">
                        <c:v>438.8</c:v>
                      </c:pt>
                      <c:pt idx="18">
                        <c:v>442.5</c:v>
                      </c:pt>
                      <c:pt idx="19">
                        <c:v>446.1</c:v>
                      </c:pt>
                      <c:pt idx="20">
                        <c:v>450.2</c:v>
                      </c:pt>
                      <c:pt idx="21">
                        <c:v>455.6</c:v>
                      </c:pt>
                      <c:pt idx="22">
                        <c:v>461</c:v>
                      </c:pt>
                      <c:pt idx="23">
                        <c:v>466.1</c:v>
                      </c:pt>
                      <c:pt idx="24">
                        <c:v>469.9</c:v>
                      </c:pt>
                      <c:pt idx="25">
                        <c:v>473.5</c:v>
                      </c:pt>
                      <c:pt idx="26">
                        <c:v>477.2</c:v>
                      </c:pt>
                      <c:pt idx="27">
                        <c:v>480.9</c:v>
                      </c:pt>
                      <c:pt idx="28">
                        <c:v>485.5</c:v>
                      </c:pt>
                      <c:pt idx="29">
                        <c:v>490.1</c:v>
                      </c:pt>
                      <c:pt idx="30">
                        <c:v>494.7</c:v>
                      </c:pt>
                      <c:pt idx="31">
                        <c:v>498.5</c:v>
                      </c:pt>
                      <c:pt idx="32">
                        <c:v>501.9</c:v>
                      </c:pt>
                      <c:pt idx="33">
                        <c:v>505.3</c:v>
                      </c:pt>
                      <c:pt idx="34">
                        <c:v>508.6</c:v>
                      </c:pt>
                      <c:pt idx="35">
                        <c:v>512.70000000000005</c:v>
                      </c:pt>
                      <c:pt idx="36">
                        <c:v>516.79999999999995</c:v>
                      </c:pt>
                      <c:pt idx="37">
                        <c:v>520.79999999999995</c:v>
                      </c:pt>
                      <c:pt idx="38">
                        <c:v>524.4</c:v>
                      </c:pt>
                      <c:pt idx="39">
                        <c:v>527.70000000000005</c:v>
                      </c:pt>
                      <c:pt idx="40">
                        <c:v>531</c:v>
                      </c:pt>
                      <c:pt idx="41">
                        <c:v>534.20000000000005</c:v>
                      </c:pt>
                      <c:pt idx="42">
                        <c:v>537.5</c:v>
                      </c:pt>
                      <c:pt idx="43">
                        <c:v>540.79999999999995</c:v>
                      </c:pt>
                      <c:pt idx="44">
                        <c:v>544</c:v>
                      </c:pt>
                      <c:pt idx="45">
                        <c:v>547.20000000000005</c:v>
                      </c:pt>
                      <c:pt idx="46">
                        <c:v>550.4</c:v>
                      </c:pt>
                      <c:pt idx="47">
                        <c:v>553.5</c:v>
                      </c:pt>
                      <c:pt idx="48">
                        <c:v>556.5</c:v>
                      </c:pt>
                      <c:pt idx="49">
                        <c:v>559.5</c:v>
                      </c:pt>
                      <c:pt idx="50">
                        <c:v>562.29999999999995</c:v>
                      </c:pt>
                      <c:pt idx="51">
                        <c:v>565.20000000000005</c:v>
                      </c:pt>
                      <c:pt idx="52">
                        <c:v>567.9</c:v>
                      </c:pt>
                      <c:pt idx="53">
                        <c:v>570.5</c:v>
                      </c:pt>
                      <c:pt idx="54">
                        <c:v>573</c:v>
                      </c:pt>
                      <c:pt idx="55">
                        <c:v>575.6</c:v>
                      </c:pt>
                      <c:pt idx="56">
                        <c:v>578.29999999999995</c:v>
                      </c:pt>
                      <c:pt idx="57">
                        <c:v>581.1</c:v>
                      </c:pt>
                      <c:pt idx="58">
                        <c:v>583.79999999999995</c:v>
                      </c:pt>
                      <c:pt idx="59">
                        <c:v>586.5</c:v>
                      </c:pt>
                      <c:pt idx="60">
                        <c:v>589.20000000000005</c:v>
                      </c:pt>
                      <c:pt idx="61">
                        <c:v>591.9</c:v>
                      </c:pt>
                      <c:pt idx="62">
                        <c:v>594.6</c:v>
                      </c:pt>
                      <c:pt idx="63">
                        <c:v>597.29999999999995</c:v>
                      </c:pt>
                      <c:pt idx="64">
                        <c:v>600.1</c:v>
                      </c:pt>
                      <c:pt idx="65">
                        <c:v>603</c:v>
                      </c:pt>
                      <c:pt idx="66">
                        <c:v>606</c:v>
                      </c:pt>
                      <c:pt idx="67">
                        <c:v>609</c:v>
                      </c:pt>
                      <c:pt idx="68">
                        <c:v>612</c:v>
                      </c:pt>
                      <c:pt idx="69">
                        <c:v>615.1</c:v>
                      </c:pt>
                      <c:pt idx="70">
                        <c:v>618.29999999999995</c:v>
                      </c:pt>
                      <c:pt idx="71">
                        <c:v>621.70000000000005</c:v>
                      </c:pt>
                      <c:pt idx="72">
                        <c:v>625</c:v>
                      </c:pt>
                      <c:pt idx="73">
                        <c:v>628.5</c:v>
                      </c:pt>
                      <c:pt idx="74">
                        <c:v>631.9</c:v>
                      </c:pt>
                      <c:pt idx="75">
                        <c:v>635.5</c:v>
                      </c:pt>
                      <c:pt idx="76">
                        <c:v>639.29999999999995</c:v>
                      </c:pt>
                      <c:pt idx="77">
                        <c:v>643.29999999999995</c:v>
                      </c:pt>
                      <c:pt idx="78">
                        <c:v>647.6</c:v>
                      </c:pt>
                      <c:pt idx="79">
                        <c:v>651.9</c:v>
                      </c:pt>
                      <c:pt idx="80">
                        <c:v>656.1</c:v>
                      </c:pt>
                      <c:pt idx="81">
                        <c:v>661.3</c:v>
                      </c:pt>
                      <c:pt idx="82">
                        <c:v>667.2</c:v>
                      </c:pt>
                      <c:pt idx="83">
                        <c:v>673.1</c:v>
                      </c:pt>
                      <c:pt idx="84">
                        <c:v>680</c:v>
                      </c:pt>
                      <c:pt idx="85">
                        <c:v>687</c:v>
                      </c:pt>
                      <c:pt idx="86">
                        <c:v>694</c:v>
                      </c:pt>
                      <c:pt idx="87">
                        <c:v>702</c:v>
                      </c:pt>
                      <c:pt idx="88">
                        <c:v>709.9</c:v>
                      </c:pt>
                      <c:pt idx="89">
                        <c:v>719.5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6E7-42A2-81A5-4D3753E5A413}"/>
                  </c:ext>
                </c:extLst>
              </c15:ser>
            </c15:filteredScatterSeries>
          </c:ext>
        </c:extLst>
      </c:scatterChart>
      <c:valAx>
        <c:axId val="271991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256"/>
        <c:crosses val="autoZero"/>
        <c:crossBetween val="midCat"/>
        <c:majorUnit val="10"/>
      </c:valAx>
      <c:valAx>
        <c:axId val="272082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Boiling Temp (deg.C)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LCF LS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5"/>
          <c:order val="0"/>
          <c:tx>
            <c:strRef>
              <c:f>'LCF LS Products'!$I$72</c:f>
              <c:strCache>
                <c:ptCount val="1"/>
                <c:pt idx="0">
                  <c:v>360-FBP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'LCF LS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LS Products'!$I$73:$I$162</c:f>
              <c:numCache>
                <c:formatCode>General</c:formatCode>
                <c:ptCount val="90"/>
                <c:pt idx="0">
                  <c:v>332.8</c:v>
                </c:pt>
                <c:pt idx="1">
                  <c:v>341.9</c:v>
                </c:pt>
                <c:pt idx="2">
                  <c:v>354.6</c:v>
                </c:pt>
                <c:pt idx="3">
                  <c:v>364.2</c:v>
                </c:pt>
                <c:pt idx="4">
                  <c:v>372.4</c:v>
                </c:pt>
                <c:pt idx="5">
                  <c:v>379.3</c:v>
                </c:pt>
                <c:pt idx="6">
                  <c:v>386.4</c:v>
                </c:pt>
                <c:pt idx="7">
                  <c:v>392.3</c:v>
                </c:pt>
                <c:pt idx="8">
                  <c:v>397.1</c:v>
                </c:pt>
                <c:pt idx="9">
                  <c:v>401.7</c:v>
                </c:pt>
                <c:pt idx="10">
                  <c:v>406.1</c:v>
                </c:pt>
                <c:pt idx="11">
                  <c:v>410.4</c:v>
                </c:pt>
                <c:pt idx="12">
                  <c:v>415.3</c:v>
                </c:pt>
                <c:pt idx="13">
                  <c:v>420.8</c:v>
                </c:pt>
                <c:pt idx="14">
                  <c:v>426.2</c:v>
                </c:pt>
                <c:pt idx="15">
                  <c:v>431.3</c:v>
                </c:pt>
                <c:pt idx="16">
                  <c:v>435.1</c:v>
                </c:pt>
                <c:pt idx="17">
                  <c:v>438.8</c:v>
                </c:pt>
                <c:pt idx="18">
                  <c:v>442.5</c:v>
                </c:pt>
                <c:pt idx="19">
                  <c:v>446.1</c:v>
                </c:pt>
                <c:pt idx="20">
                  <c:v>450.2</c:v>
                </c:pt>
                <c:pt idx="21">
                  <c:v>455.6</c:v>
                </c:pt>
                <c:pt idx="22">
                  <c:v>461</c:v>
                </c:pt>
                <c:pt idx="23">
                  <c:v>466.1</c:v>
                </c:pt>
                <c:pt idx="24">
                  <c:v>469.9</c:v>
                </c:pt>
                <c:pt idx="25">
                  <c:v>473.5</c:v>
                </c:pt>
                <c:pt idx="26">
                  <c:v>477.2</c:v>
                </c:pt>
                <c:pt idx="27">
                  <c:v>480.9</c:v>
                </c:pt>
                <c:pt idx="28">
                  <c:v>485.5</c:v>
                </c:pt>
                <c:pt idx="29">
                  <c:v>490.1</c:v>
                </c:pt>
                <c:pt idx="30">
                  <c:v>494.7</c:v>
                </c:pt>
                <c:pt idx="31">
                  <c:v>498.5</c:v>
                </c:pt>
                <c:pt idx="32">
                  <c:v>501.9</c:v>
                </c:pt>
                <c:pt idx="33">
                  <c:v>505.3</c:v>
                </c:pt>
                <c:pt idx="34">
                  <c:v>508.6</c:v>
                </c:pt>
                <c:pt idx="35">
                  <c:v>512.70000000000005</c:v>
                </c:pt>
                <c:pt idx="36">
                  <c:v>516.79999999999995</c:v>
                </c:pt>
                <c:pt idx="37">
                  <c:v>520.79999999999995</c:v>
                </c:pt>
                <c:pt idx="38">
                  <c:v>524.4</c:v>
                </c:pt>
                <c:pt idx="39">
                  <c:v>527.70000000000005</c:v>
                </c:pt>
                <c:pt idx="40">
                  <c:v>531</c:v>
                </c:pt>
                <c:pt idx="41">
                  <c:v>534.20000000000005</c:v>
                </c:pt>
                <c:pt idx="42">
                  <c:v>537.5</c:v>
                </c:pt>
                <c:pt idx="43">
                  <c:v>540.79999999999995</c:v>
                </c:pt>
                <c:pt idx="44">
                  <c:v>544</c:v>
                </c:pt>
                <c:pt idx="45">
                  <c:v>547.20000000000005</c:v>
                </c:pt>
                <c:pt idx="46">
                  <c:v>550.4</c:v>
                </c:pt>
                <c:pt idx="47">
                  <c:v>553.5</c:v>
                </c:pt>
                <c:pt idx="48">
                  <c:v>556.5</c:v>
                </c:pt>
                <c:pt idx="49">
                  <c:v>559.5</c:v>
                </c:pt>
                <c:pt idx="50">
                  <c:v>562.29999999999995</c:v>
                </c:pt>
                <c:pt idx="51">
                  <c:v>565.20000000000005</c:v>
                </c:pt>
                <c:pt idx="52">
                  <c:v>567.9</c:v>
                </c:pt>
                <c:pt idx="53">
                  <c:v>570.5</c:v>
                </c:pt>
                <c:pt idx="54">
                  <c:v>573</c:v>
                </c:pt>
                <c:pt idx="55">
                  <c:v>575.6</c:v>
                </c:pt>
                <c:pt idx="56">
                  <c:v>578.29999999999995</c:v>
                </c:pt>
                <c:pt idx="57">
                  <c:v>581.1</c:v>
                </c:pt>
                <c:pt idx="58">
                  <c:v>583.79999999999995</c:v>
                </c:pt>
                <c:pt idx="59">
                  <c:v>586.5</c:v>
                </c:pt>
                <c:pt idx="60">
                  <c:v>589.20000000000005</c:v>
                </c:pt>
                <c:pt idx="61">
                  <c:v>591.9</c:v>
                </c:pt>
                <c:pt idx="62">
                  <c:v>594.6</c:v>
                </c:pt>
                <c:pt idx="63">
                  <c:v>597.29999999999995</c:v>
                </c:pt>
                <c:pt idx="64">
                  <c:v>600.1</c:v>
                </c:pt>
                <c:pt idx="65">
                  <c:v>603</c:v>
                </c:pt>
                <c:pt idx="66">
                  <c:v>606</c:v>
                </c:pt>
                <c:pt idx="67">
                  <c:v>609</c:v>
                </c:pt>
                <c:pt idx="68">
                  <c:v>612</c:v>
                </c:pt>
                <c:pt idx="69">
                  <c:v>615.1</c:v>
                </c:pt>
                <c:pt idx="70">
                  <c:v>618.29999999999995</c:v>
                </c:pt>
                <c:pt idx="71">
                  <c:v>621.70000000000005</c:v>
                </c:pt>
                <c:pt idx="72">
                  <c:v>625</c:v>
                </c:pt>
                <c:pt idx="73">
                  <c:v>628.5</c:v>
                </c:pt>
                <c:pt idx="74">
                  <c:v>631.9</c:v>
                </c:pt>
                <c:pt idx="75">
                  <c:v>635.5</c:v>
                </c:pt>
                <c:pt idx="76">
                  <c:v>639.29999999999995</c:v>
                </c:pt>
                <c:pt idx="77">
                  <c:v>643.29999999999995</c:v>
                </c:pt>
                <c:pt idx="78">
                  <c:v>647.6</c:v>
                </c:pt>
                <c:pt idx="79">
                  <c:v>651.9</c:v>
                </c:pt>
                <c:pt idx="80">
                  <c:v>656.1</c:v>
                </c:pt>
                <c:pt idx="81">
                  <c:v>661.3</c:v>
                </c:pt>
                <c:pt idx="82">
                  <c:v>667.2</c:v>
                </c:pt>
                <c:pt idx="83">
                  <c:v>673.1</c:v>
                </c:pt>
                <c:pt idx="84">
                  <c:v>680</c:v>
                </c:pt>
                <c:pt idx="85">
                  <c:v>687</c:v>
                </c:pt>
                <c:pt idx="86">
                  <c:v>694</c:v>
                </c:pt>
                <c:pt idx="87">
                  <c:v>702</c:v>
                </c:pt>
                <c:pt idx="88">
                  <c:v>709.9</c:v>
                </c:pt>
                <c:pt idx="89">
                  <c:v>719.5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797-49CC-8B94-0D280BEAC781}"/>
            </c:ext>
          </c:extLst>
        </c:ser>
        <c:ser>
          <c:idx val="2"/>
          <c:order val="1"/>
          <c:tx>
            <c:strRef>
              <c:f>'LCF LS Products'!$F$72</c:f>
              <c:strCache>
                <c:ptCount val="1"/>
                <c:pt idx="0">
                  <c:v>160-FBP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'LCF LS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LS Products'!$F$73:$F$163</c:f>
              <c:numCache>
                <c:formatCode>General</c:formatCode>
                <c:ptCount val="91"/>
                <c:pt idx="0">
                  <c:v>144.69999999999999</c:v>
                </c:pt>
                <c:pt idx="1">
                  <c:v>177.1</c:v>
                </c:pt>
                <c:pt idx="2">
                  <c:v>198.3</c:v>
                </c:pt>
                <c:pt idx="3">
                  <c:v>213</c:v>
                </c:pt>
                <c:pt idx="4">
                  <c:v>222.5</c:v>
                </c:pt>
                <c:pt idx="5">
                  <c:v>230</c:v>
                </c:pt>
                <c:pt idx="6">
                  <c:v>237.7</c:v>
                </c:pt>
                <c:pt idx="7">
                  <c:v>245.3</c:v>
                </c:pt>
                <c:pt idx="8">
                  <c:v>253.6</c:v>
                </c:pt>
                <c:pt idx="9">
                  <c:v>259.7</c:v>
                </c:pt>
                <c:pt idx="10">
                  <c:v>267</c:v>
                </c:pt>
                <c:pt idx="11">
                  <c:v>274</c:v>
                </c:pt>
                <c:pt idx="12">
                  <c:v>281.8</c:v>
                </c:pt>
                <c:pt idx="13">
                  <c:v>289.2</c:v>
                </c:pt>
                <c:pt idx="14">
                  <c:v>296.7</c:v>
                </c:pt>
                <c:pt idx="15">
                  <c:v>303.60000000000002</c:v>
                </c:pt>
                <c:pt idx="16">
                  <c:v>311.2</c:v>
                </c:pt>
                <c:pt idx="17">
                  <c:v>317.8</c:v>
                </c:pt>
                <c:pt idx="18">
                  <c:v>324.5</c:v>
                </c:pt>
                <c:pt idx="19">
                  <c:v>330.6</c:v>
                </c:pt>
                <c:pt idx="20">
                  <c:v>337.2</c:v>
                </c:pt>
                <c:pt idx="21">
                  <c:v>343.1</c:v>
                </c:pt>
                <c:pt idx="22">
                  <c:v>350</c:v>
                </c:pt>
                <c:pt idx="23">
                  <c:v>356.2</c:v>
                </c:pt>
                <c:pt idx="24">
                  <c:v>362.9</c:v>
                </c:pt>
                <c:pt idx="25">
                  <c:v>369.1</c:v>
                </c:pt>
                <c:pt idx="26">
                  <c:v>375.7</c:v>
                </c:pt>
                <c:pt idx="27">
                  <c:v>382</c:v>
                </c:pt>
                <c:pt idx="28">
                  <c:v>388.3</c:v>
                </c:pt>
                <c:pt idx="29">
                  <c:v>394.1</c:v>
                </c:pt>
                <c:pt idx="30">
                  <c:v>398.9</c:v>
                </c:pt>
                <c:pt idx="31">
                  <c:v>404.2</c:v>
                </c:pt>
                <c:pt idx="32">
                  <c:v>408.9</c:v>
                </c:pt>
                <c:pt idx="33">
                  <c:v>414.7</c:v>
                </c:pt>
                <c:pt idx="34">
                  <c:v>421.2</c:v>
                </c:pt>
                <c:pt idx="35">
                  <c:v>427.6</c:v>
                </c:pt>
                <c:pt idx="36">
                  <c:v>433.5</c:v>
                </c:pt>
                <c:pt idx="37">
                  <c:v>438.1</c:v>
                </c:pt>
                <c:pt idx="38">
                  <c:v>442.9</c:v>
                </c:pt>
                <c:pt idx="39">
                  <c:v>447.7</c:v>
                </c:pt>
                <c:pt idx="40">
                  <c:v>454.1</c:v>
                </c:pt>
                <c:pt idx="41">
                  <c:v>461.3</c:v>
                </c:pt>
                <c:pt idx="42">
                  <c:v>467.6</c:v>
                </c:pt>
                <c:pt idx="43">
                  <c:v>472.5</c:v>
                </c:pt>
                <c:pt idx="44">
                  <c:v>477.4</c:v>
                </c:pt>
                <c:pt idx="45">
                  <c:v>482.7</c:v>
                </c:pt>
                <c:pt idx="46">
                  <c:v>488.8</c:v>
                </c:pt>
                <c:pt idx="47">
                  <c:v>495</c:v>
                </c:pt>
                <c:pt idx="48">
                  <c:v>499.9</c:v>
                </c:pt>
                <c:pt idx="49">
                  <c:v>504.4</c:v>
                </c:pt>
                <c:pt idx="50">
                  <c:v>508.9</c:v>
                </c:pt>
                <c:pt idx="51">
                  <c:v>514.4</c:v>
                </c:pt>
                <c:pt idx="52">
                  <c:v>519.9</c:v>
                </c:pt>
                <c:pt idx="53">
                  <c:v>524.79999999999995</c:v>
                </c:pt>
                <c:pt idx="54">
                  <c:v>529.1</c:v>
                </c:pt>
                <c:pt idx="55">
                  <c:v>533.5</c:v>
                </c:pt>
                <c:pt idx="56">
                  <c:v>537.9</c:v>
                </c:pt>
                <c:pt idx="57">
                  <c:v>542.29999999999995</c:v>
                </c:pt>
                <c:pt idx="58">
                  <c:v>546.5</c:v>
                </c:pt>
                <c:pt idx="59">
                  <c:v>550.79999999999995</c:v>
                </c:pt>
                <c:pt idx="60">
                  <c:v>554.9</c:v>
                </c:pt>
                <c:pt idx="61">
                  <c:v>558.9</c:v>
                </c:pt>
                <c:pt idx="62">
                  <c:v>562.79999999999995</c:v>
                </c:pt>
                <c:pt idx="63">
                  <c:v>566.5</c:v>
                </c:pt>
                <c:pt idx="64">
                  <c:v>569.9</c:v>
                </c:pt>
                <c:pt idx="65">
                  <c:v>573.4</c:v>
                </c:pt>
                <c:pt idx="66">
                  <c:v>577</c:v>
                </c:pt>
                <c:pt idx="67">
                  <c:v>580.70000000000005</c:v>
                </c:pt>
                <c:pt idx="68">
                  <c:v>584.29999999999995</c:v>
                </c:pt>
                <c:pt idx="69">
                  <c:v>587.9</c:v>
                </c:pt>
                <c:pt idx="70">
                  <c:v>591.6</c:v>
                </c:pt>
                <c:pt idx="71">
                  <c:v>595.29999999999995</c:v>
                </c:pt>
                <c:pt idx="72">
                  <c:v>599</c:v>
                </c:pt>
                <c:pt idx="73">
                  <c:v>602.9</c:v>
                </c:pt>
                <c:pt idx="74">
                  <c:v>607</c:v>
                </c:pt>
                <c:pt idx="75">
                  <c:v>611.1</c:v>
                </c:pt>
                <c:pt idx="76">
                  <c:v>615.29999999999995</c:v>
                </c:pt>
                <c:pt idx="77">
                  <c:v>619.79999999999995</c:v>
                </c:pt>
                <c:pt idx="78">
                  <c:v>624.29999999999995</c:v>
                </c:pt>
                <c:pt idx="79">
                  <c:v>629.1</c:v>
                </c:pt>
                <c:pt idx="80">
                  <c:v>633.9</c:v>
                </c:pt>
                <c:pt idx="81">
                  <c:v>639</c:v>
                </c:pt>
                <c:pt idx="82">
                  <c:v>644.6</c:v>
                </c:pt>
                <c:pt idx="83">
                  <c:v>650.4</c:v>
                </c:pt>
                <c:pt idx="84">
                  <c:v>656.3</c:v>
                </c:pt>
                <c:pt idx="85">
                  <c:v>663.5</c:v>
                </c:pt>
                <c:pt idx="86">
                  <c:v>671.7</c:v>
                </c:pt>
                <c:pt idx="87">
                  <c:v>680.9</c:v>
                </c:pt>
                <c:pt idx="88">
                  <c:v>690.3</c:v>
                </c:pt>
                <c:pt idx="89">
                  <c:v>700.3</c:v>
                </c:pt>
                <c:pt idx="90">
                  <c:v>710.2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97-49CC-8B94-0D280BEAC781}"/>
            </c:ext>
          </c:extLst>
        </c:ser>
        <c:ser>
          <c:idx val="0"/>
          <c:order val="2"/>
          <c:tx>
            <c:strRef>
              <c:f>'LCF LS Products'!$D$72</c:f>
              <c:strCache>
                <c:ptCount val="1"/>
                <c:pt idx="0">
                  <c:v>LCF FEED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'LCF LS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LS Products'!$D$73:$D$161</c:f>
              <c:numCache>
                <c:formatCode>General</c:formatCode>
                <c:ptCount val="89"/>
                <c:pt idx="0">
                  <c:v>105.1</c:v>
                </c:pt>
                <c:pt idx="1">
                  <c:v>120.6</c:v>
                </c:pt>
                <c:pt idx="2">
                  <c:v>151.30000000000001</c:v>
                </c:pt>
                <c:pt idx="3">
                  <c:v>171.8</c:v>
                </c:pt>
                <c:pt idx="4">
                  <c:v>187.4</c:v>
                </c:pt>
                <c:pt idx="5">
                  <c:v>200.3</c:v>
                </c:pt>
                <c:pt idx="6">
                  <c:v>212.6</c:v>
                </c:pt>
                <c:pt idx="7">
                  <c:v>223</c:v>
                </c:pt>
                <c:pt idx="8">
                  <c:v>233</c:v>
                </c:pt>
                <c:pt idx="9">
                  <c:v>243.5</c:v>
                </c:pt>
                <c:pt idx="10">
                  <c:v>252.4</c:v>
                </c:pt>
                <c:pt idx="11">
                  <c:v>262.10000000000002</c:v>
                </c:pt>
                <c:pt idx="12">
                  <c:v>270.39999999999998</c:v>
                </c:pt>
                <c:pt idx="13">
                  <c:v>280.10000000000002</c:v>
                </c:pt>
                <c:pt idx="14">
                  <c:v>288.5</c:v>
                </c:pt>
                <c:pt idx="15">
                  <c:v>296.39999999999998</c:v>
                </c:pt>
                <c:pt idx="16">
                  <c:v>303.39999999999998</c:v>
                </c:pt>
                <c:pt idx="17">
                  <c:v>310.89999999999998</c:v>
                </c:pt>
                <c:pt idx="18">
                  <c:v>317.7</c:v>
                </c:pt>
                <c:pt idx="19">
                  <c:v>324.8</c:v>
                </c:pt>
                <c:pt idx="20">
                  <c:v>331.8</c:v>
                </c:pt>
                <c:pt idx="21">
                  <c:v>338.2</c:v>
                </c:pt>
                <c:pt idx="22">
                  <c:v>345.4</c:v>
                </c:pt>
                <c:pt idx="23">
                  <c:v>351.1</c:v>
                </c:pt>
                <c:pt idx="24">
                  <c:v>357.7</c:v>
                </c:pt>
                <c:pt idx="25">
                  <c:v>363.6</c:v>
                </c:pt>
                <c:pt idx="26">
                  <c:v>370.1</c:v>
                </c:pt>
                <c:pt idx="27">
                  <c:v>377.7</c:v>
                </c:pt>
                <c:pt idx="28">
                  <c:v>385.3</c:v>
                </c:pt>
                <c:pt idx="29">
                  <c:v>392.8</c:v>
                </c:pt>
                <c:pt idx="30">
                  <c:v>398.3</c:v>
                </c:pt>
                <c:pt idx="31">
                  <c:v>404.4</c:v>
                </c:pt>
                <c:pt idx="32">
                  <c:v>409.8</c:v>
                </c:pt>
                <c:pt idx="33">
                  <c:v>415.7</c:v>
                </c:pt>
                <c:pt idx="34">
                  <c:v>422.6</c:v>
                </c:pt>
                <c:pt idx="35">
                  <c:v>428.9</c:v>
                </c:pt>
                <c:pt idx="36">
                  <c:v>435</c:v>
                </c:pt>
                <c:pt idx="37">
                  <c:v>440.7</c:v>
                </c:pt>
                <c:pt idx="38">
                  <c:v>446.3</c:v>
                </c:pt>
                <c:pt idx="39">
                  <c:v>452.3</c:v>
                </c:pt>
                <c:pt idx="40">
                  <c:v>458.4</c:v>
                </c:pt>
                <c:pt idx="41">
                  <c:v>464.5</c:v>
                </c:pt>
                <c:pt idx="42">
                  <c:v>470.1</c:v>
                </c:pt>
                <c:pt idx="43">
                  <c:v>475.9</c:v>
                </c:pt>
                <c:pt idx="44">
                  <c:v>481.5</c:v>
                </c:pt>
                <c:pt idx="45">
                  <c:v>487.3</c:v>
                </c:pt>
                <c:pt idx="46">
                  <c:v>493.1</c:v>
                </c:pt>
                <c:pt idx="47">
                  <c:v>498.6</c:v>
                </c:pt>
                <c:pt idx="48">
                  <c:v>503.5</c:v>
                </c:pt>
                <c:pt idx="49">
                  <c:v>508.4</c:v>
                </c:pt>
                <c:pt idx="50">
                  <c:v>513.79999999999995</c:v>
                </c:pt>
                <c:pt idx="51">
                  <c:v>519.20000000000005</c:v>
                </c:pt>
                <c:pt idx="52">
                  <c:v>524.29999999999995</c:v>
                </c:pt>
                <c:pt idx="53">
                  <c:v>529</c:v>
                </c:pt>
                <c:pt idx="54">
                  <c:v>533.6</c:v>
                </c:pt>
                <c:pt idx="55">
                  <c:v>538.1</c:v>
                </c:pt>
                <c:pt idx="56">
                  <c:v>542.5</c:v>
                </c:pt>
                <c:pt idx="57">
                  <c:v>546.9</c:v>
                </c:pt>
                <c:pt idx="58">
                  <c:v>551.4</c:v>
                </c:pt>
                <c:pt idx="59">
                  <c:v>555.70000000000005</c:v>
                </c:pt>
                <c:pt idx="60">
                  <c:v>559.6</c:v>
                </c:pt>
                <c:pt idx="61">
                  <c:v>563.5</c:v>
                </c:pt>
                <c:pt idx="62">
                  <c:v>567.29999999999995</c:v>
                </c:pt>
                <c:pt idx="63">
                  <c:v>570.9</c:v>
                </c:pt>
                <c:pt idx="64">
                  <c:v>574.4</c:v>
                </c:pt>
                <c:pt idx="65">
                  <c:v>578.1</c:v>
                </c:pt>
                <c:pt idx="66">
                  <c:v>581.79999999999995</c:v>
                </c:pt>
                <c:pt idx="67">
                  <c:v>585.5</c:v>
                </c:pt>
                <c:pt idx="68">
                  <c:v>589.29999999999995</c:v>
                </c:pt>
                <c:pt idx="69">
                  <c:v>593.1</c:v>
                </c:pt>
                <c:pt idx="70">
                  <c:v>596.79999999999995</c:v>
                </c:pt>
                <c:pt idx="71">
                  <c:v>600.70000000000005</c:v>
                </c:pt>
                <c:pt idx="72">
                  <c:v>604.79999999999995</c:v>
                </c:pt>
                <c:pt idx="73">
                  <c:v>608.9</c:v>
                </c:pt>
                <c:pt idx="74">
                  <c:v>613.1</c:v>
                </c:pt>
                <c:pt idx="75">
                  <c:v>617.6</c:v>
                </c:pt>
                <c:pt idx="76">
                  <c:v>622.29999999999995</c:v>
                </c:pt>
                <c:pt idx="77">
                  <c:v>627</c:v>
                </c:pt>
                <c:pt idx="78">
                  <c:v>631.79999999999995</c:v>
                </c:pt>
                <c:pt idx="79">
                  <c:v>636.79999999999995</c:v>
                </c:pt>
                <c:pt idx="80">
                  <c:v>642.29999999999995</c:v>
                </c:pt>
                <c:pt idx="81">
                  <c:v>648.20000000000005</c:v>
                </c:pt>
                <c:pt idx="82">
                  <c:v>654.20000000000005</c:v>
                </c:pt>
                <c:pt idx="83">
                  <c:v>660.8</c:v>
                </c:pt>
                <c:pt idx="84">
                  <c:v>669.3</c:v>
                </c:pt>
                <c:pt idx="85">
                  <c:v>677.8</c:v>
                </c:pt>
                <c:pt idx="86">
                  <c:v>687.8</c:v>
                </c:pt>
                <c:pt idx="87">
                  <c:v>698.4</c:v>
                </c:pt>
                <c:pt idx="88">
                  <c:v>712.3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97-49CC-8B94-0D280BEAC781}"/>
            </c:ext>
          </c:extLst>
        </c:ser>
        <c:ser>
          <c:idx val="8"/>
          <c:order val="8"/>
          <c:tx>
            <c:v>5%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'LCF LS Products'!$X$75:$X$76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'LCF LS Products'!$Y$75:$Y$76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797-49CC-8B94-0D280BEAC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9136"/>
        <c:axId val="2720825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3"/>
                <c:tx>
                  <c:strRef>
                    <c:extLst>
                      <c:ext uri="{02D57815-91ED-43cb-92C2-25804820EDAC}">
                        <c15:formulaRef>
                          <c15:sqref>'LCF LS Products'!$E$72</c15:sqref>
                        </c15:formulaRef>
                      </c:ext>
                    </c:extLst>
                    <c:strCache>
                      <c:ptCount val="1"/>
                      <c:pt idx="0">
                        <c:v>IBP-160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'LCF LS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'LCF LS Products'!$E$73:$E$173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25.2</c:v>
                      </c:pt>
                      <c:pt idx="1">
                        <c:v>35.4</c:v>
                      </c:pt>
                      <c:pt idx="2">
                        <c:v>56</c:v>
                      </c:pt>
                      <c:pt idx="3">
                        <c:v>61.3</c:v>
                      </c:pt>
                      <c:pt idx="4">
                        <c:v>68.2</c:v>
                      </c:pt>
                      <c:pt idx="5">
                        <c:v>68.8</c:v>
                      </c:pt>
                      <c:pt idx="6">
                        <c:v>74</c:v>
                      </c:pt>
                      <c:pt idx="7">
                        <c:v>82.2</c:v>
                      </c:pt>
                      <c:pt idx="8">
                        <c:v>83.4</c:v>
                      </c:pt>
                      <c:pt idx="9">
                        <c:v>87.4</c:v>
                      </c:pt>
                      <c:pt idx="10">
                        <c:v>88.2</c:v>
                      </c:pt>
                      <c:pt idx="11">
                        <c:v>90.2</c:v>
                      </c:pt>
                      <c:pt idx="12">
                        <c:v>91</c:v>
                      </c:pt>
                      <c:pt idx="13">
                        <c:v>92.7</c:v>
                      </c:pt>
                      <c:pt idx="14">
                        <c:v>97.9</c:v>
                      </c:pt>
                      <c:pt idx="15">
                        <c:v>98.5</c:v>
                      </c:pt>
                      <c:pt idx="16">
                        <c:v>98.8</c:v>
                      </c:pt>
                      <c:pt idx="17">
                        <c:v>99.1</c:v>
                      </c:pt>
                      <c:pt idx="18">
                        <c:v>99.4</c:v>
                      </c:pt>
                      <c:pt idx="19">
                        <c:v>99.9</c:v>
                      </c:pt>
                      <c:pt idx="20">
                        <c:v>102.1</c:v>
                      </c:pt>
                      <c:pt idx="21">
                        <c:v>102.6</c:v>
                      </c:pt>
                      <c:pt idx="22">
                        <c:v>103</c:v>
                      </c:pt>
                      <c:pt idx="23">
                        <c:v>104.2</c:v>
                      </c:pt>
                      <c:pt idx="24">
                        <c:v>107.5</c:v>
                      </c:pt>
                      <c:pt idx="25">
                        <c:v>112.4</c:v>
                      </c:pt>
                      <c:pt idx="26">
                        <c:v>113.1</c:v>
                      </c:pt>
                      <c:pt idx="27">
                        <c:v>113.5</c:v>
                      </c:pt>
                      <c:pt idx="28">
                        <c:v>113.8</c:v>
                      </c:pt>
                      <c:pt idx="29">
                        <c:v>114</c:v>
                      </c:pt>
                      <c:pt idx="30">
                        <c:v>114.2</c:v>
                      </c:pt>
                      <c:pt idx="31">
                        <c:v>114.4</c:v>
                      </c:pt>
                      <c:pt idx="32">
                        <c:v>114.6</c:v>
                      </c:pt>
                      <c:pt idx="33">
                        <c:v>114.7</c:v>
                      </c:pt>
                      <c:pt idx="34">
                        <c:v>114.9</c:v>
                      </c:pt>
                      <c:pt idx="35">
                        <c:v>115</c:v>
                      </c:pt>
                      <c:pt idx="36">
                        <c:v>115.1</c:v>
                      </c:pt>
                      <c:pt idx="37">
                        <c:v>115.3</c:v>
                      </c:pt>
                      <c:pt idx="38">
                        <c:v>115.4</c:v>
                      </c:pt>
                      <c:pt idx="39">
                        <c:v>115.5</c:v>
                      </c:pt>
                      <c:pt idx="40">
                        <c:v>115.6</c:v>
                      </c:pt>
                      <c:pt idx="41">
                        <c:v>115.7</c:v>
                      </c:pt>
                      <c:pt idx="42">
                        <c:v>115.8</c:v>
                      </c:pt>
                      <c:pt idx="43">
                        <c:v>115.9</c:v>
                      </c:pt>
                      <c:pt idx="44">
                        <c:v>116</c:v>
                      </c:pt>
                      <c:pt idx="45">
                        <c:v>116.2</c:v>
                      </c:pt>
                      <c:pt idx="46">
                        <c:v>117.5</c:v>
                      </c:pt>
                      <c:pt idx="47">
                        <c:v>118.1</c:v>
                      </c:pt>
                      <c:pt idx="48">
                        <c:v>118.5</c:v>
                      </c:pt>
                      <c:pt idx="49">
                        <c:v>118.8</c:v>
                      </c:pt>
                      <c:pt idx="50">
                        <c:v>119.3</c:v>
                      </c:pt>
                      <c:pt idx="51">
                        <c:v>119.8</c:v>
                      </c:pt>
                      <c:pt idx="52">
                        <c:v>120.2</c:v>
                      </c:pt>
                      <c:pt idx="53">
                        <c:v>121.1</c:v>
                      </c:pt>
                      <c:pt idx="54">
                        <c:v>123.1</c:v>
                      </c:pt>
                      <c:pt idx="55">
                        <c:v>124.5</c:v>
                      </c:pt>
                      <c:pt idx="56">
                        <c:v>126.7</c:v>
                      </c:pt>
                      <c:pt idx="57">
                        <c:v>127.2</c:v>
                      </c:pt>
                      <c:pt idx="58">
                        <c:v>127.6</c:v>
                      </c:pt>
                      <c:pt idx="59">
                        <c:v>127.8</c:v>
                      </c:pt>
                      <c:pt idx="60">
                        <c:v>128.1</c:v>
                      </c:pt>
                      <c:pt idx="61">
                        <c:v>128.30000000000001</c:v>
                      </c:pt>
                      <c:pt idx="62">
                        <c:v>128.4</c:v>
                      </c:pt>
                      <c:pt idx="63">
                        <c:v>129.69999999999999</c:v>
                      </c:pt>
                      <c:pt idx="64">
                        <c:v>133.1</c:v>
                      </c:pt>
                      <c:pt idx="65">
                        <c:v>133.69999999999999</c:v>
                      </c:pt>
                      <c:pt idx="66">
                        <c:v>134.30000000000001</c:v>
                      </c:pt>
                      <c:pt idx="67">
                        <c:v>134.9</c:v>
                      </c:pt>
                      <c:pt idx="68">
                        <c:v>136.19999999999999</c:v>
                      </c:pt>
                      <c:pt idx="69">
                        <c:v>138.4</c:v>
                      </c:pt>
                      <c:pt idx="70">
                        <c:v>139</c:v>
                      </c:pt>
                      <c:pt idx="71">
                        <c:v>140.69999999999999</c:v>
                      </c:pt>
                      <c:pt idx="72">
                        <c:v>141.19999999999999</c:v>
                      </c:pt>
                      <c:pt idx="73">
                        <c:v>141.6</c:v>
                      </c:pt>
                      <c:pt idx="74">
                        <c:v>143</c:v>
                      </c:pt>
                      <c:pt idx="75">
                        <c:v>143.80000000000001</c:v>
                      </c:pt>
                      <c:pt idx="76">
                        <c:v>144.5</c:v>
                      </c:pt>
                      <c:pt idx="77">
                        <c:v>145.5</c:v>
                      </c:pt>
                      <c:pt idx="78">
                        <c:v>146.1</c:v>
                      </c:pt>
                      <c:pt idx="79">
                        <c:v>146.80000000000001</c:v>
                      </c:pt>
                      <c:pt idx="80">
                        <c:v>147.69999999999999</c:v>
                      </c:pt>
                      <c:pt idx="81">
                        <c:v>151.19999999999999</c:v>
                      </c:pt>
                      <c:pt idx="82">
                        <c:v>152.1</c:v>
                      </c:pt>
                      <c:pt idx="83">
                        <c:v>152.5</c:v>
                      </c:pt>
                      <c:pt idx="84">
                        <c:v>152.80000000000001</c:v>
                      </c:pt>
                      <c:pt idx="85">
                        <c:v>153.1</c:v>
                      </c:pt>
                      <c:pt idx="86">
                        <c:v>154.30000000000001</c:v>
                      </c:pt>
                      <c:pt idx="87">
                        <c:v>157.19999999999999</c:v>
                      </c:pt>
                      <c:pt idx="88">
                        <c:v>159.6</c:v>
                      </c:pt>
                      <c:pt idx="89">
                        <c:v>161.19999999999999</c:v>
                      </c:pt>
                      <c:pt idx="90">
                        <c:v>163</c:v>
                      </c:pt>
                      <c:pt idx="91">
                        <c:v>164.2</c:v>
                      </c:pt>
                      <c:pt idx="92">
                        <c:v>166.5</c:v>
                      </c:pt>
                      <c:pt idx="93">
                        <c:v>167.3</c:v>
                      </c:pt>
                      <c:pt idx="94">
                        <c:v>170.1</c:v>
                      </c:pt>
                      <c:pt idx="95">
                        <c:v>174.5</c:v>
                      </c:pt>
                      <c:pt idx="96">
                        <c:v>176.1</c:v>
                      </c:pt>
                      <c:pt idx="97">
                        <c:v>182.4</c:v>
                      </c:pt>
                      <c:pt idx="98">
                        <c:v>190</c:v>
                      </c:pt>
                      <c:pt idx="99">
                        <c:v>206.1</c:v>
                      </c:pt>
                      <c:pt idx="100">
                        <c:v>222.5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797-49CC-8B94-0D280BEAC781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Products'!$G$72</c15:sqref>
                        </c15:formulaRef>
                      </c:ext>
                    </c:extLst>
                    <c:strCache>
                      <c:ptCount val="1"/>
                      <c:pt idx="0">
                        <c:v>160-250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Products'!$G$73:$G$173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98.4</c:v>
                      </c:pt>
                      <c:pt idx="1">
                        <c:v>112.6</c:v>
                      </c:pt>
                      <c:pt idx="2">
                        <c:v>116.3</c:v>
                      </c:pt>
                      <c:pt idx="3">
                        <c:v>126.4</c:v>
                      </c:pt>
                      <c:pt idx="4">
                        <c:v>134.1</c:v>
                      </c:pt>
                      <c:pt idx="5">
                        <c:v>140.4</c:v>
                      </c:pt>
                      <c:pt idx="6">
                        <c:v>143.4</c:v>
                      </c:pt>
                      <c:pt idx="7">
                        <c:v>145.80000000000001</c:v>
                      </c:pt>
                      <c:pt idx="8">
                        <c:v>150.1</c:v>
                      </c:pt>
                      <c:pt idx="9">
                        <c:v>151.9</c:v>
                      </c:pt>
                      <c:pt idx="10">
                        <c:v>152.4</c:v>
                      </c:pt>
                      <c:pt idx="11">
                        <c:v>154.5</c:v>
                      </c:pt>
                      <c:pt idx="12">
                        <c:v>158.1</c:v>
                      </c:pt>
                      <c:pt idx="13">
                        <c:v>160.30000000000001</c:v>
                      </c:pt>
                      <c:pt idx="14">
                        <c:v>161.9</c:v>
                      </c:pt>
                      <c:pt idx="15">
                        <c:v>163.19999999999999</c:v>
                      </c:pt>
                      <c:pt idx="16">
                        <c:v>164</c:v>
                      </c:pt>
                      <c:pt idx="17">
                        <c:v>166.3</c:v>
                      </c:pt>
                      <c:pt idx="18">
                        <c:v>166.9</c:v>
                      </c:pt>
                      <c:pt idx="19">
                        <c:v>167.4</c:v>
                      </c:pt>
                      <c:pt idx="20">
                        <c:v>168.5</c:v>
                      </c:pt>
                      <c:pt idx="21">
                        <c:v>170.1</c:v>
                      </c:pt>
                      <c:pt idx="22">
                        <c:v>170.8</c:v>
                      </c:pt>
                      <c:pt idx="23">
                        <c:v>172.4</c:v>
                      </c:pt>
                      <c:pt idx="24">
                        <c:v>174.8</c:v>
                      </c:pt>
                      <c:pt idx="25">
                        <c:v>175.6</c:v>
                      </c:pt>
                      <c:pt idx="26">
                        <c:v>176</c:v>
                      </c:pt>
                      <c:pt idx="27">
                        <c:v>176.3</c:v>
                      </c:pt>
                      <c:pt idx="28">
                        <c:v>176.7</c:v>
                      </c:pt>
                      <c:pt idx="29">
                        <c:v>177.9</c:v>
                      </c:pt>
                      <c:pt idx="30">
                        <c:v>179.3</c:v>
                      </c:pt>
                      <c:pt idx="31">
                        <c:v>180.8</c:v>
                      </c:pt>
                      <c:pt idx="32">
                        <c:v>181.6</c:v>
                      </c:pt>
                      <c:pt idx="33">
                        <c:v>183.1</c:v>
                      </c:pt>
                      <c:pt idx="34">
                        <c:v>184</c:v>
                      </c:pt>
                      <c:pt idx="35">
                        <c:v>184.9</c:v>
                      </c:pt>
                      <c:pt idx="36">
                        <c:v>185.7</c:v>
                      </c:pt>
                      <c:pt idx="37">
                        <c:v>186.9</c:v>
                      </c:pt>
                      <c:pt idx="38">
                        <c:v>188.7</c:v>
                      </c:pt>
                      <c:pt idx="39">
                        <c:v>189.5</c:v>
                      </c:pt>
                      <c:pt idx="40">
                        <c:v>190</c:v>
                      </c:pt>
                      <c:pt idx="41">
                        <c:v>190.7</c:v>
                      </c:pt>
                      <c:pt idx="42">
                        <c:v>191.4</c:v>
                      </c:pt>
                      <c:pt idx="43">
                        <c:v>193.2</c:v>
                      </c:pt>
                      <c:pt idx="44">
                        <c:v>194.8</c:v>
                      </c:pt>
                      <c:pt idx="45">
                        <c:v>195.8</c:v>
                      </c:pt>
                      <c:pt idx="46">
                        <c:v>197.2</c:v>
                      </c:pt>
                      <c:pt idx="47">
                        <c:v>197.7</c:v>
                      </c:pt>
                      <c:pt idx="48">
                        <c:v>198.1</c:v>
                      </c:pt>
                      <c:pt idx="49">
                        <c:v>198.4</c:v>
                      </c:pt>
                      <c:pt idx="50">
                        <c:v>198.7</c:v>
                      </c:pt>
                      <c:pt idx="51">
                        <c:v>200.1</c:v>
                      </c:pt>
                      <c:pt idx="52">
                        <c:v>201.7</c:v>
                      </c:pt>
                      <c:pt idx="53">
                        <c:v>203</c:v>
                      </c:pt>
                      <c:pt idx="54">
                        <c:v>203.8</c:v>
                      </c:pt>
                      <c:pt idx="55">
                        <c:v>204.4</c:v>
                      </c:pt>
                      <c:pt idx="56">
                        <c:v>205.3</c:v>
                      </c:pt>
                      <c:pt idx="57">
                        <c:v>206</c:v>
                      </c:pt>
                      <c:pt idx="58">
                        <c:v>206.9</c:v>
                      </c:pt>
                      <c:pt idx="59">
                        <c:v>208</c:v>
                      </c:pt>
                      <c:pt idx="60">
                        <c:v>209</c:v>
                      </c:pt>
                      <c:pt idx="61">
                        <c:v>210.1</c:v>
                      </c:pt>
                      <c:pt idx="62">
                        <c:v>211.4</c:v>
                      </c:pt>
                      <c:pt idx="63">
                        <c:v>212.4</c:v>
                      </c:pt>
                      <c:pt idx="64">
                        <c:v>213.7</c:v>
                      </c:pt>
                      <c:pt idx="65">
                        <c:v>214.8</c:v>
                      </c:pt>
                      <c:pt idx="66">
                        <c:v>216.4</c:v>
                      </c:pt>
                      <c:pt idx="67">
                        <c:v>217.4</c:v>
                      </c:pt>
                      <c:pt idx="68">
                        <c:v>217.9</c:v>
                      </c:pt>
                      <c:pt idx="69">
                        <c:v>218.3</c:v>
                      </c:pt>
                      <c:pt idx="70">
                        <c:v>219.2</c:v>
                      </c:pt>
                      <c:pt idx="71">
                        <c:v>220.4</c:v>
                      </c:pt>
                      <c:pt idx="72">
                        <c:v>221.3</c:v>
                      </c:pt>
                      <c:pt idx="73">
                        <c:v>222.8</c:v>
                      </c:pt>
                      <c:pt idx="74">
                        <c:v>224.3</c:v>
                      </c:pt>
                      <c:pt idx="75">
                        <c:v>225.9</c:v>
                      </c:pt>
                      <c:pt idx="76">
                        <c:v>227.2</c:v>
                      </c:pt>
                      <c:pt idx="77">
                        <c:v>228.6</c:v>
                      </c:pt>
                      <c:pt idx="78">
                        <c:v>229.8</c:v>
                      </c:pt>
                      <c:pt idx="79">
                        <c:v>231.1</c:v>
                      </c:pt>
                      <c:pt idx="80">
                        <c:v>232.3</c:v>
                      </c:pt>
                      <c:pt idx="81">
                        <c:v>234.5</c:v>
                      </c:pt>
                      <c:pt idx="82">
                        <c:v>236.3</c:v>
                      </c:pt>
                      <c:pt idx="83">
                        <c:v>236.9</c:v>
                      </c:pt>
                      <c:pt idx="84">
                        <c:v>237.6</c:v>
                      </c:pt>
                      <c:pt idx="85">
                        <c:v>239.7</c:v>
                      </c:pt>
                      <c:pt idx="86">
                        <c:v>241.9</c:v>
                      </c:pt>
                      <c:pt idx="87">
                        <c:v>244.6</c:v>
                      </c:pt>
                      <c:pt idx="88">
                        <c:v>247.1</c:v>
                      </c:pt>
                      <c:pt idx="89">
                        <c:v>249.6</c:v>
                      </c:pt>
                      <c:pt idx="90">
                        <c:v>252.3</c:v>
                      </c:pt>
                      <c:pt idx="91">
                        <c:v>255</c:v>
                      </c:pt>
                      <c:pt idx="92">
                        <c:v>256.2</c:v>
                      </c:pt>
                      <c:pt idx="93">
                        <c:v>259.89999999999998</c:v>
                      </c:pt>
                      <c:pt idx="94">
                        <c:v>264.2</c:v>
                      </c:pt>
                      <c:pt idx="95">
                        <c:v>268.10000000000002</c:v>
                      </c:pt>
                      <c:pt idx="96">
                        <c:v>272.2</c:v>
                      </c:pt>
                      <c:pt idx="97">
                        <c:v>279</c:v>
                      </c:pt>
                      <c:pt idx="98">
                        <c:v>287.39999999999998</c:v>
                      </c:pt>
                      <c:pt idx="99">
                        <c:v>299.5</c:v>
                      </c:pt>
                      <c:pt idx="100">
                        <c:v>309.2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797-49CC-8B94-0D280BEAC781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Products'!$H$72</c15:sqref>
                        </c15:formulaRef>
                      </c:ext>
                    </c:extLst>
                    <c:strCache>
                      <c:ptCount val="1"/>
                      <c:pt idx="0">
                        <c:v>250-360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Products'!$H$73:$H$173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204.7</c:v>
                      </c:pt>
                      <c:pt idx="1">
                        <c:v>214.4</c:v>
                      </c:pt>
                      <c:pt idx="2">
                        <c:v>223.5</c:v>
                      </c:pt>
                      <c:pt idx="3">
                        <c:v>229.4</c:v>
                      </c:pt>
                      <c:pt idx="4">
                        <c:v>234.3</c:v>
                      </c:pt>
                      <c:pt idx="5">
                        <c:v>236.7</c:v>
                      </c:pt>
                      <c:pt idx="6">
                        <c:v>240.5</c:v>
                      </c:pt>
                      <c:pt idx="7">
                        <c:v>244.3</c:v>
                      </c:pt>
                      <c:pt idx="8">
                        <c:v>247.2</c:v>
                      </c:pt>
                      <c:pt idx="9">
                        <c:v>249.9</c:v>
                      </c:pt>
                      <c:pt idx="10">
                        <c:v>252.4</c:v>
                      </c:pt>
                      <c:pt idx="11">
                        <c:v>254.5</c:v>
                      </c:pt>
                      <c:pt idx="12">
                        <c:v>255.6</c:v>
                      </c:pt>
                      <c:pt idx="13">
                        <c:v>257.10000000000002</c:v>
                      </c:pt>
                      <c:pt idx="14">
                        <c:v>259.2</c:v>
                      </c:pt>
                      <c:pt idx="15">
                        <c:v>261.2</c:v>
                      </c:pt>
                      <c:pt idx="16">
                        <c:v>263.3</c:v>
                      </c:pt>
                      <c:pt idx="17">
                        <c:v>264.89999999999998</c:v>
                      </c:pt>
                      <c:pt idx="18">
                        <c:v>266.10000000000002</c:v>
                      </c:pt>
                      <c:pt idx="19">
                        <c:v>267.5</c:v>
                      </c:pt>
                      <c:pt idx="20">
                        <c:v>269.10000000000002</c:v>
                      </c:pt>
                      <c:pt idx="21">
                        <c:v>270.8</c:v>
                      </c:pt>
                      <c:pt idx="22">
                        <c:v>272.10000000000002</c:v>
                      </c:pt>
                      <c:pt idx="23">
                        <c:v>272.89999999999998</c:v>
                      </c:pt>
                      <c:pt idx="24">
                        <c:v>273.8</c:v>
                      </c:pt>
                      <c:pt idx="25">
                        <c:v>275.2</c:v>
                      </c:pt>
                      <c:pt idx="26">
                        <c:v>276.7</c:v>
                      </c:pt>
                      <c:pt idx="27">
                        <c:v>278.10000000000002</c:v>
                      </c:pt>
                      <c:pt idx="28">
                        <c:v>279.5</c:v>
                      </c:pt>
                      <c:pt idx="29">
                        <c:v>280.7</c:v>
                      </c:pt>
                      <c:pt idx="30">
                        <c:v>281.89999999999998</c:v>
                      </c:pt>
                      <c:pt idx="31">
                        <c:v>283</c:v>
                      </c:pt>
                      <c:pt idx="32">
                        <c:v>284.10000000000002</c:v>
                      </c:pt>
                      <c:pt idx="33">
                        <c:v>285.3</c:v>
                      </c:pt>
                      <c:pt idx="34">
                        <c:v>286.60000000000002</c:v>
                      </c:pt>
                      <c:pt idx="35">
                        <c:v>287.8</c:v>
                      </c:pt>
                      <c:pt idx="36">
                        <c:v>288.60000000000002</c:v>
                      </c:pt>
                      <c:pt idx="37">
                        <c:v>289.3</c:v>
                      </c:pt>
                      <c:pt idx="38">
                        <c:v>289.89999999999998</c:v>
                      </c:pt>
                      <c:pt idx="39">
                        <c:v>291</c:v>
                      </c:pt>
                      <c:pt idx="40">
                        <c:v>292.2</c:v>
                      </c:pt>
                      <c:pt idx="41">
                        <c:v>293.39999999999998</c:v>
                      </c:pt>
                      <c:pt idx="42">
                        <c:v>294.60000000000002</c:v>
                      </c:pt>
                      <c:pt idx="43">
                        <c:v>295.8</c:v>
                      </c:pt>
                      <c:pt idx="44">
                        <c:v>296.7</c:v>
                      </c:pt>
                      <c:pt idx="45">
                        <c:v>297.7</c:v>
                      </c:pt>
                      <c:pt idx="46">
                        <c:v>298.7</c:v>
                      </c:pt>
                      <c:pt idx="47">
                        <c:v>299.7</c:v>
                      </c:pt>
                      <c:pt idx="48">
                        <c:v>300.7</c:v>
                      </c:pt>
                      <c:pt idx="49">
                        <c:v>301.8</c:v>
                      </c:pt>
                      <c:pt idx="50">
                        <c:v>302.89999999999998</c:v>
                      </c:pt>
                      <c:pt idx="51">
                        <c:v>303.7</c:v>
                      </c:pt>
                      <c:pt idx="52">
                        <c:v>304.39999999999998</c:v>
                      </c:pt>
                      <c:pt idx="53">
                        <c:v>305</c:v>
                      </c:pt>
                      <c:pt idx="54">
                        <c:v>305.7</c:v>
                      </c:pt>
                      <c:pt idx="55">
                        <c:v>306.60000000000002</c:v>
                      </c:pt>
                      <c:pt idx="56">
                        <c:v>307.60000000000002</c:v>
                      </c:pt>
                      <c:pt idx="57">
                        <c:v>308.7</c:v>
                      </c:pt>
                      <c:pt idx="58">
                        <c:v>309.8</c:v>
                      </c:pt>
                      <c:pt idx="59">
                        <c:v>310.7</c:v>
                      </c:pt>
                      <c:pt idx="60">
                        <c:v>311.60000000000002</c:v>
                      </c:pt>
                      <c:pt idx="61">
                        <c:v>312.60000000000002</c:v>
                      </c:pt>
                      <c:pt idx="62">
                        <c:v>313.60000000000002</c:v>
                      </c:pt>
                      <c:pt idx="63">
                        <c:v>314.7</c:v>
                      </c:pt>
                      <c:pt idx="64">
                        <c:v>315.8</c:v>
                      </c:pt>
                      <c:pt idx="65">
                        <c:v>317.10000000000002</c:v>
                      </c:pt>
                      <c:pt idx="66">
                        <c:v>318</c:v>
                      </c:pt>
                      <c:pt idx="67">
                        <c:v>318.8</c:v>
                      </c:pt>
                      <c:pt idx="68">
                        <c:v>319.5</c:v>
                      </c:pt>
                      <c:pt idx="69">
                        <c:v>320.5</c:v>
                      </c:pt>
                      <c:pt idx="70">
                        <c:v>321.7</c:v>
                      </c:pt>
                      <c:pt idx="71">
                        <c:v>323</c:v>
                      </c:pt>
                      <c:pt idx="72">
                        <c:v>324.2</c:v>
                      </c:pt>
                      <c:pt idx="73">
                        <c:v>325.5</c:v>
                      </c:pt>
                      <c:pt idx="74">
                        <c:v>326.7</c:v>
                      </c:pt>
                      <c:pt idx="75">
                        <c:v>328</c:v>
                      </c:pt>
                      <c:pt idx="76">
                        <c:v>329.4</c:v>
                      </c:pt>
                      <c:pt idx="77">
                        <c:v>331</c:v>
                      </c:pt>
                      <c:pt idx="78">
                        <c:v>332.1</c:v>
                      </c:pt>
                      <c:pt idx="79">
                        <c:v>333</c:v>
                      </c:pt>
                      <c:pt idx="80">
                        <c:v>334.4</c:v>
                      </c:pt>
                      <c:pt idx="81">
                        <c:v>336.1</c:v>
                      </c:pt>
                      <c:pt idx="82">
                        <c:v>337.9</c:v>
                      </c:pt>
                      <c:pt idx="83">
                        <c:v>339.7</c:v>
                      </c:pt>
                      <c:pt idx="84">
                        <c:v>341.5</c:v>
                      </c:pt>
                      <c:pt idx="85">
                        <c:v>343.6</c:v>
                      </c:pt>
                      <c:pt idx="86">
                        <c:v>345.3</c:v>
                      </c:pt>
                      <c:pt idx="87">
                        <c:v>346.6</c:v>
                      </c:pt>
                      <c:pt idx="88">
                        <c:v>348.7</c:v>
                      </c:pt>
                      <c:pt idx="89">
                        <c:v>351.1</c:v>
                      </c:pt>
                      <c:pt idx="90">
                        <c:v>353.6</c:v>
                      </c:pt>
                      <c:pt idx="91">
                        <c:v>356.3</c:v>
                      </c:pt>
                      <c:pt idx="92">
                        <c:v>358.4</c:v>
                      </c:pt>
                      <c:pt idx="93">
                        <c:v>361.8</c:v>
                      </c:pt>
                      <c:pt idx="94">
                        <c:v>365.4</c:v>
                      </c:pt>
                      <c:pt idx="95">
                        <c:v>369.1</c:v>
                      </c:pt>
                      <c:pt idx="96">
                        <c:v>373.7</c:v>
                      </c:pt>
                      <c:pt idx="97">
                        <c:v>379.7</c:v>
                      </c:pt>
                      <c:pt idx="98">
                        <c:v>387.3</c:v>
                      </c:pt>
                      <c:pt idx="99">
                        <c:v>399.4</c:v>
                      </c:pt>
                      <c:pt idx="100">
                        <c:v>409.8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797-49CC-8B94-0D280BEAC78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Products'!$J$72</c15:sqref>
                        </c15:formulaRef>
                      </c:ext>
                    </c:extLst>
                    <c:strCache>
                      <c:ptCount val="1"/>
                      <c:pt idx="0">
                        <c:v>360-560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Products'!$J$73:$J$173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310.89999999999998</c:v>
                      </c:pt>
                      <c:pt idx="1">
                        <c:v>320.5</c:v>
                      </c:pt>
                      <c:pt idx="2">
                        <c:v>330.1</c:v>
                      </c:pt>
                      <c:pt idx="3">
                        <c:v>336.9</c:v>
                      </c:pt>
                      <c:pt idx="4">
                        <c:v>341.8</c:v>
                      </c:pt>
                      <c:pt idx="5">
                        <c:v>347</c:v>
                      </c:pt>
                      <c:pt idx="6">
                        <c:v>351.3</c:v>
                      </c:pt>
                      <c:pt idx="7">
                        <c:v>355.2</c:v>
                      </c:pt>
                      <c:pt idx="8">
                        <c:v>359</c:v>
                      </c:pt>
                      <c:pt idx="9">
                        <c:v>362.7</c:v>
                      </c:pt>
                      <c:pt idx="10">
                        <c:v>365.5</c:v>
                      </c:pt>
                      <c:pt idx="11">
                        <c:v>369.1</c:v>
                      </c:pt>
                      <c:pt idx="12">
                        <c:v>372.2</c:v>
                      </c:pt>
                      <c:pt idx="13">
                        <c:v>375.3</c:v>
                      </c:pt>
                      <c:pt idx="14">
                        <c:v>377.6</c:v>
                      </c:pt>
                      <c:pt idx="15">
                        <c:v>380.8</c:v>
                      </c:pt>
                      <c:pt idx="16">
                        <c:v>383.7</c:v>
                      </c:pt>
                      <c:pt idx="17">
                        <c:v>386.5</c:v>
                      </c:pt>
                      <c:pt idx="18">
                        <c:v>388.5</c:v>
                      </c:pt>
                      <c:pt idx="19">
                        <c:v>391.4</c:v>
                      </c:pt>
                      <c:pt idx="20">
                        <c:v>393.5</c:v>
                      </c:pt>
                      <c:pt idx="21">
                        <c:v>395.7</c:v>
                      </c:pt>
                      <c:pt idx="22">
                        <c:v>397.4</c:v>
                      </c:pt>
                      <c:pt idx="23">
                        <c:v>399.3</c:v>
                      </c:pt>
                      <c:pt idx="24">
                        <c:v>401.4</c:v>
                      </c:pt>
                      <c:pt idx="25">
                        <c:v>403.4</c:v>
                      </c:pt>
                      <c:pt idx="26">
                        <c:v>405.4</c:v>
                      </c:pt>
                      <c:pt idx="27">
                        <c:v>406.9</c:v>
                      </c:pt>
                      <c:pt idx="28">
                        <c:v>408.9</c:v>
                      </c:pt>
                      <c:pt idx="29">
                        <c:v>410.8</c:v>
                      </c:pt>
                      <c:pt idx="30">
                        <c:v>412.9</c:v>
                      </c:pt>
                      <c:pt idx="31">
                        <c:v>415.3</c:v>
                      </c:pt>
                      <c:pt idx="32">
                        <c:v>417.4</c:v>
                      </c:pt>
                      <c:pt idx="33">
                        <c:v>420</c:v>
                      </c:pt>
                      <c:pt idx="34">
                        <c:v>422.5</c:v>
                      </c:pt>
                      <c:pt idx="35">
                        <c:v>425</c:v>
                      </c:pt>
                      <c:pt idx="36">
                        <c:v>427.2</c:v>
                      </c:pt>
                      <c:pt idx="37">
                        <c:v>429.5</c:v>
                      </c:pt>
                      <c:pt idx="38">
                        <c:v>431.8</c:v>
                      </c:pt>
                      <c:pt idx="39">
                        <c:v>433.6</c:v>
                      </c:pt>
                      <c:pt idx="40">
                        <c:v>435.4</c:v>
                      </c:pt>
                      <c:pt idx="41">
                        <c:v>436.8</c:v>
                      </c:pt>
                      <c:pt idx="42">
                        <c:v>438.7</c:v>
                      </c:pt>
                      <c:pt idx="43">
                        <c:v>440.4</c:v>
                      </c:pt>
                      <c:pt idx="44">
                        <c:v>442.2</c:v>
                      </c:pt>
                      <c:pt idx="45">
                        <c:v>443.7</c:v>
                      </c:pt>
                      <c:pt idx="46">
                        <c:v>445.5</c:v>
                      </c:pt>
                      <c:pt idx="47">
                        <c:v>447.3</c:v>
                      </c:pt>
                      <c:pt idx="48">
                        <c:v>449.1</c:v>
                      </c:pt>
                      <c:pt idx="49">
                        <c:v>451.7</c:v>
                      </c:pt>
                      <c:pt idx="50">
                        <c:v>454.2</c:v>
                      </c:pt>
                      <c:pt idx="51">
                        <c:v>456.8</c:v>
                      </c:pt>
                      <c:pt idx="52">
                        <c:v>459.5</c:v>
                      </c:pt>
                      <c:pt idx="53">
                        <c:v>462.1</c:v>
                      </c:pt>
                      <c:pt idx="54">
                        <c:v>464.6</c:v>
                      </c:pt>
                      <c:pt idx="55">
                        <c:v>466.8</c:v>
                      </c:pt>
                      <c:pt idx="56">
                        <c:v>468.6</c:v>
                      </c:pt>
                      <c:pt idx="57">
                        <c:v>470.4</c:v>
                      </c:pt>
                      <c:pt idx="58">
                        <c:v>472.2</c:v>
                      </c:pt>
                      <c:pt idx="59">
                        <c:v>474</c:v>
                      </c:pt>
                      <c:pt idx="60">
                        <c:v>475.9</c:v>
                      </c:pt>
                      <c:pt idx="61">
                        <c:v>477.7</c:v>
                      </c:pt>
                      <c:pt idx="62">
                        <c:v>479.5</c:v>
                      </c:pt>
                      <c:pt idx="63">
                        <c:v>481.4</c:v>
                      </c:pt>
                      <c:pt idx="64">
                        <c:v>483.8</c:v>
                      </c:pt>
                      <c:pt idx="65">
                        <c:v>486</c:v>
                      </c:pt>
                      <c:pt idx="66">
                        <c:v>488.4</c:v>
                      </c:pt>
                      <c:pt idx="67">
                        <c:v>490.7</c:v>
                      </c:pt>
                      <c:pt idx="68">
                        <c:v>493.1</c:v>
                      </c:pt>
                      <c:pt idx="69">
                        <c:v>495.4</c:v>
                      </c:pt>
                      <c:pt idx="70">
                        <c:v>497.4</c:v>
                      </c:pt>
                      <c:pt idx="71">
                        <c:v>499.2</c:v>
                      </c:pt>
                      <c:pt idx="72">
                        <c:v>500.9</c:v>
                      </c:pt>
                      <c:pt idx="73">
                        <c:v>502.7</c:v>
                      </c:pt>
                      <c:pt idx="74">
                        <c:v>504.5</c:v>
                      </c:pt>
                      <c:pt idx="75">
                        <c:v>506.3</c:v>
                      </c:pt>
                      <c:pt idx="76">
                        <c:v>508.1</c:v>
                      </c:pt>
                      <c:pt idx="77">
                        <c:v>510.2</c:v>
                      </c:pt>
                      <c:pt idx="78">
                        <c:v>512.5</c:v>
                      </c:pt>
                      <c:pt idx="79">
                        <c:v>514.79999999999995</c:v>
                      </c:pt>
                      <c:pt idx="80">
                        <c:v>517.20000000000005</c:v>
                      </c:pt>
                      <c:pt idx="81">
                        <c:v>519.6</c:v>
                      </c:pt>
                      <c:pt idx="82">
                        <c:v>522</c:v>
                      </c:pt>
                      <c:pt idx="83">
                        <c:v>524.1</c:v>
                      </c:pt>
                      <c:pt idx="84">
                        <c:v>526.29999999999995</c:v>
                      </c:pt>
                      <c:pt idx="85">
                        <c:v>528.4</c:v>
                      </c:pt>
                      <c:pt idx="86">
                        <c:v>530.70000000000005</c:v>
                      </c:pt>
                      <c:pt idx="87">
                        <c:v>532.9</c:v>
                      </c:pt>
                      <c:pt idx="88">
                        <c:v>535.4</c:v>
                      </c:pt>
                      <c:pt idx="89">
                        <c:v>538</c:v>
                      </c:pt>
                      <c:pt idx="90">
                        <c:v>540.70000000000005</c:v>
                      </c:pt>
                      <c:pt idx="91">
                        <c:v>543.6</c:v>
                      </c:pt>
                      <c:pt idx="92">
                        <c:v>546.6</c:v>
                      </c:pt>
                      <c:pt idx="93">
                        <c:v>549.9</c:v>
                      </c:pt>
                      <c:pt idx="94">
                        <c:v>553.6</c:v>
                      </c:pt>
                      <c:pt idx="95">
                        <c:v>557.5</c:v>
                      </c:pt>
                      <c:pt idx="96">
                        <c:v>561.9</c:v>
                      </c:pt>
                      <c:pt idx="97">
                        <c:v>567.1</c:v>
                      </c:pt>
                      <c:pt idx="98">
                        <c:v>573.6</c:v>
                      </c:pt>
                      <c:pt idx="99">
                        <c:v>585.1</c:v>
                      </c:pt>
                      <c:pt idx="100">
                        <c:v>598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797-49CC-8B94-0D280BEAC781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Products'!$K$72</c15:sqref>
                        </c15:formulaRef>
                      </c:ext>
                    </c:extLst>
                    <c:strCache>
                      <c:ptCount val="1"/>
                      <c:pt idx="0">
                        <c:v>560+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Products'!$K$73:$K$136</c15:sqref>
                        </c15:formulaRef>
                      </c:ext>
                    </c:extLst>
                    <c:numCache>
                      <c:formatCode>General</c:formatCode>
                      <c:ptCount val="64"/>
                      <c:pt idx="0">
                        <c:v>506.7</c:v>
                      </c:pt>
                      <c:pt idx="1">
                        <c:v>521.1</c:v>
                      </c:pt>
                      <c:pt idx="2">
                        <c:v>532.29999999999995</c:v>
                      </c:pt>
                      <c:pt idx="3">
                        <c:v>539.20000000000005</c:v>
                      </c:pt>
                      <c:pt idx="4">
                        <c:v>544.6</c:v>
                      </c:pt>
                      <c:pt idx="5">
                        <c:v>549.20000000000005</c:v>
                      </c:pt>
                      <c:pt idx="6">
                        <c:v>553.1</c:v>
                      </c:pt>
                      <c:pt idx="7">
                        <c:v>556.6</c:v>
                      </c:pt>
                      <c:pt idx="8">
                        <c:v>559.70000000000005</c:v>
                      </c:pt>
                      <c:pt idx="9">
                        <c:v>562.70000000000005</c:v>
                      </c:pt>
                      <c:pt idx="10">
                        <c:v>565.4</c:v>
                      </c:pt>
                      <c:pt idx="11">
                        <c:v>567.79999999999995</c:v>
                      </c:pt>
                      <c:pt idx="12">
                        <c:v>570</c:v>
                      </c:pt>
                      <c:pt idx="13">
                        <c:v>572.20000000000005</c:v>
                      </c:pt>
                      <c:pt idx="14">
                        <c:v>574.29999999999995</c:v>
                      </c:pt>
                      <c:pt idx="15">
                        <c:v>576.4</c:v>
                      </c:pt>
                      <c:pt idx="16">
                        <c:v>578.5</c:v>
                      </c:pt>
                      <c:pt idx="17">
                        <c:v>580.6</c:v>
                      </c:pt>
                      <c:pt idx="18">
                        <c:v>582.6</c:v>
                      </c:pt>
                      <c:pt idx="19">
                        <c:v>584.5</c:v>
                      </c:pt>
                      <c:pt idx="20">
                        <c:v>586.4</c:v>
                      </c:pt>
                      <c:pt idx="21">
                        <c:v>588.29999999999995</c:v>
                      </c:pt>
                      <c:pt idx="22">
                        <c:v>590.20000000000005</c:v>
                      </c:pt>
                      <c:pt idx="23">
                        <c:v>592.1</c:v>
                      </c:pt>
                      <c:pt idx="24">
                        <c:v>593.9</c:v>
                      </c:pt>
                      <c:pt idx="25">
                        <c:v>595.6</c:v>
                      </c:pt>
                      <c:pt idx="26">
                        <c:v>597.5</c:v>
                      </c:pt>
                      <c:pt idx="27">
                        <c:v>599.20000000000005</c:v>
                      </c:pt>
                      <c:pt idx="28">
                        <c:v>601.1</c:v>
                      </c:pt>
                      <c:pt idx="29">
                        <c:v>602.9</c:v>
                      </c:pt>
                      <c:pt idx="30">
                        <c:v>604.9</c:v>
                      </c:pt>
                      <c:pt idx="31">
                        <c:v>606.79999999999995</c:v>
                      </c:pt>
                      <c:pt idx="32">
                        <c:v>608.70000000000005</c:v>
                      </c:pt>
                      <c:pt idx="33">
                        <c:v>610.5</c:v>
                      </c:pt>
                      <c:pt idx="34">
                        <c:v>612.4</c:v>
                      </c:pt>
                      <c:pt idx="35">
                        <c:v>614.29999999999995</c:v>
                      </c:pt>
                      <c:pt idx="36">
                        <c:v>616.29999999999995</c:v>
                      </c:pt>
                      <c:pt idx="37">
                        <c:v>618.29999999999995</c:v>
                      </c:pt>
                      <c:pt idx="38">
                        <c:v>620.29999999999995</c:v>
                      </c:pt>
                      <c:pt idx="39">
                        <c:v>622.4</c:v>
                      </c:pt>
                      <c:pt idx="40">
                        <c:v>624.4</c:v>
                      </c:pt>
                      <c:pt idx="41">
                        <c:v>626.5</c:v>
                      </c:pt>
                      <c:pt idx="42">
                        <c:v>628.6</c:v>
                      </c:pt>
                      <c:pt idx="43">
                        <c:v>630.70000000000005</c:v>
                      </c:pt>
                      <c:pt idx="44">
                        <c:v>632.79999999999995</c:v>
                      </c:pt>
                      <c:pt idx="45">
                        <c:v>635</c:v>
                      </c:pt>
                      <c:pt idx="46">
                        <c:v>637.29999999999995</c:v>
                      </c:pt>
                      <c:pt idx="47">
                        <c:v>639.6</c:v>
                      </c:pt>
                      <c:pt idx="48">
                        <c:v>642.1</c:v>
                      </c:pt>
                      <c:pt idx="49">
                        <c:v>644.70000000000005</c:v>
                      </c:pt>
                      <c:pt idx="50">
                        <c:v>647.29999999999995</c:v>
                      </c:pt>
                      <c:pt idx="51">
                        <c:v>650</c:v>
                      </c:pt>
                      <c:pt idx="52">
                        <c:v>652.70000000000005</c:v>
                      </c:pt>
                      <c:pt idx="53">
                        <c:v>655.29999999999995</c:v>
                      </c:pt>
                      <c:pt idx="54">
                        <c:v>658.1</c:v>
                      </c:pt>
                      <c:pt idx="55">
                        <c:v>661.7</c:v>
                      </c:pt>
                      <c:pt idx="56">
                        <c:v>665.6</c:v>
                      </c:pt>
                      <c:pt idx="57">
                        <c:v>669.8</c:v>
                      </c:pt>
                      <c:pt idx="58">
                        <c:v>673.6</c:v>
                      </c:pt>
                      <c:pt idx="59">
                        <c:v>678.5</c:v>
                      </c:pt>
                      <c:pt idx="60">
                        <c:v>683.9</c:v>
                      </c:pt>
                      <c:pt idx="61">
                        <c:v>689.6</c:v>
                      </c:pt>
                      <c:pt idx="62">
                        <c:v>696</c:v>
                      </c:pt>
                      <c:pt idx="63">
                        <c:v>705.1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797-49CC-8B94-0D280BEAC781}"/>
                  </c:ext>
                </c:extLst>
              </c15:ser>
            </c15:filteredScatterSeries>
          </c:ext>
        </c:extLst>
      </c:scatterChart>
      <c:valAx>
        <c:axId val="271991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256"/>
        <c:crosses val="autoZero"/>
        <c:crossBetween val="midCat"/>
        <c:majorUnit val="10"/>
      </c:valAx>
      <c:valAx>
        <c:axId val="272082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Boiling Temp (deg.C)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79232151583460764"/>
          <c:y val="0.25626344994587941"/>
          <c:w val="0.16875097428244645"/>
          <c:h val="0.152817055066164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 in VGO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LS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Products'!$Y$33</c:f>
              <c:numCache>
                <c:formatCode>0.0</c:formatCode>
                <c:ptCount val="1"/>
                <c:pt idx="0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LS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Products'!$AA$33</c:f>
              <c:numCache>
                <c:formatCode>0.0</c:formatCode>
                <c:ptCount val="1"/>
                <c:pt idx="0">
                  <c:v>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LS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Products'!$AC$33</c:f>
              <c:numCache>
                <c:formatCode>0.0</c:formatCode>
                <c:ptCount val="1"/>
                <c:pt idx="0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 in VGO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LS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Products'!$Y$34</c:f>
              <c:numCache>
                <c:formatCode>0.0</c:formatCode>
                <c:ptCount val="1"/>
                <c:pt idx="0">
                  <c:v>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LS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Products'!$AA$34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LS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Products'!$AC$34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Aromatics in HVGO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LS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Products'!$Y$41</c:f>
              <c:numCache>
                <c:formatCode>0.0</c:formatCode>
                <c:ptCount val="1"/>
                <c:pt idx="0">
                  <c:v>73.900000000000006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LS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Products'!$AA$41</c:f>
              <c:numCache>
                <c:formatCode>0.0</c:formatCode>
                <c:ptCount val="1"/>
                <c:pt idx="0">
                  <c:v>66.900000000000006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LS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Products'!$AC$41</c:f>
              <c:numCache>
                <c:formatCode>0.0</c:formatCode>
                <c:ptCount val="1"/>
                <c:pt idx="0">
                  <c:v>64.900000000000006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Aromatics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LS Products'!$Z$32</c:f>
              <c:strCache>
                <c:ptCount val="1"/>
                <c:pt idx="0">
                  <c:v>LCF VTB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'LCF LS Products'!$Z$41</c:f>
              <c:numCache>
                <c:formatCode>0.0</c:formatCode>
                <c:ptCount val="1"/>
                <c:pt idx="0">
                  <c:v>68.8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LS Products'!$AB$32</c:f>
              <c:strCache>
                <c:ptCount val="1"/>
                <c:pt idx="0">
                  <c:v>LCF VTB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'LCF LS Products'!$AB$41</c:f>
              <c:numCache>
                <c:formatCode>0.0</c:formatCode>
                <c:ptCount val="1"/>
                <c:pt idx="0">
                  <c:v>53.6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LS Products'!$AD$32</c:f>
              <c:strCache>
                <c:ptCount val="1"/>
                <c:pt idx="0">
                  <c:v>LCF VTB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'LCF LS Products'!$AD$41</c:f>
              <c:numCache>
                <c:formatCode>0.0</c:formatCode>
                <c:ptCount val="1"/>
                <c:pt idx="0">
                  <c:v>43.1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Asphaletene in VTB_ABQ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'LCF LS Products'!$Z$43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18.3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483-432A-9511-970C52B67C9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Asphaltene in VTB_LS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Products'!$AB$43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31.8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Products'!$AB$43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31.8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483-432A-9511-970C52B67C9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Asphaltene in HS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Products'!$AD$43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40.1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483-432A-9511-970C52B67C98}"/>
                  </c:ext>
                </c:extLst>
              </c15:ser>
            </c15:filteredScatterSeries>
          </c:ext>
        </c:extLst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608077265576715"/>
          <c:y val="0.2782189004465499"/>
          <c:w val="0.20391952246151929"/>
          <c:h val="0.221835173673276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LS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Products'!$Z$33</c:f>
              <c:numCache>
                <c:formatCode>General</c:formatCode>
                <c:ptCount val="1"/>
                <c:pt idx="0">
                  <c:v>29.65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LS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Products'!$AB$33</c:f>
              <c:numCache>
                <c:formatCode>General</c:formatCode>
                <c:ptCount val="1"/>
                <c:pt idx="0">
                  <c:v>50.7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LS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Products'!$AD$33</c:f>
              <c:numCache>
                <c:formatCode>General</c:formatCode>
                <c:ptCount val="1"/>
                <c:pt idx="0">
                  <c:v>52.5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LS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Products'!$Z$34</c:f>
              <c:numCache>
                <c:formatCode>General</c:formatCode>
                <c:ptCount val="1"/>
                <c:pt idx="0">
                  <c:v>10.28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LS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Products'!$AB$34</c:f>
              <c:numCache>
                <c:formatCode>General</c:formatCode>
                <c:ptCount val="1"/>
                <c:pt idx="0">
                  <c:v>47.5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LS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Products'!$AD$34</c:f>
              <c:numCache>
                <c:formatCode>General</c:formatCode>
                <c:ptCount val="1"/>
                <c:pt idx="0">
                  <c:v>48.6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Nitrogen in VGO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LS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Products'!$Y$46</c:f>
              <c:numCache>
                <c:formatCode>General</c:formatCode>
                <c:ptCount val="1"/>
                <c:pt idx="0">
                  <c:v>3192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LS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Products'!$AA$46</c:f>
              <c:numCache>
                <c:formatCode>General</c:formatCode>
                <c:ptCount val="1"/>
                <c:pt idx="0">
                  <c:v>4325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LS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Products'!$AC$46</c:f>
              <c:numCache>
                <c:formatCode>General</c:formatCode>
                <c:ptCount val="1"/>
                <c:pt idx="0">
                  <c:v>5243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Nitrogen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'LCF LS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Products'!$AD$46</c:f>
              <c:numCache>
                <c:formatCode>General</c:formatCode>
                <c:ptCount val="1"/>
                <c:pt idx="0">
                  <c:v>9436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ser>
          <c:idx val="1"/>
          <c:order val="1"/>
          <c:tx>
            <c:strRef>
              <c:f>'LCF LS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Products'!$AB$46</c:f>
              <c:numCache>
                <c:formatCode>General</c:formatCode>
                <c:ptCount val="1"/>
                <c:pt idx="0">
                  <c:v>7675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0"/>
          <c:order val="2"/>
          <c:tx>
            <c:strRef>
              <c:f>'LCF LS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LS Products'!$Z$46</c:f>
              <c:numCache>
                <c:formatCode>General</c:formatCode>
                <c:ptCount val="1"/>
                <c:pt idx="0">
                  <c:v>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83336968095341"/>
          <c:y val="0.24415427082584235"/>
          <c:w val="0.17858205795948737"/>
          <c:h val="0.365683933304541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Asphaltene/Aromatic ratio</a:t>
            </a:r>
            <a:r>
              <a:rPr lang="en-US" baseline="0"/>
              <a:t> in VTB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50819258051293"/>
          <c:y val="0.16594020145626537"/>
          <c:w val="0.59057560109079033"/>
          <c:h val="0.78484593453675378"/>
        </c:manualLayout>
      </c:layout>
      <c:scatterChart>
        <c:scatterStyle val="lineMarker"/>
        <c:varyColors val="0"/>
        <c:ser>
          <c:idx val="7"/>
          <c:order val="6"/>
          <c:tx>
            <c:v>HS_ART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chemeClr val="accent2"/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square"/>
              <c:size val="12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B5D-49D2-BEB8-9F9965FC2DFC}"/>
              </c:ext>
            </c:extLst>
          </c:dPt>
          <c:yVal>
            <c:numRef>
              <c:f>'LCF LS Products'!$AD$52</c:f>
              <c:numCache>
                <c:formatCode>General</c:formatCode>
                <c:ptCount val="1"/>
                <c:pt idx="0">
                  <c:v>2.3364485981308412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B5D-49D2-BEB8-9F9965FC2DFC}"/>
            </c:ext>
          </c:extLst>
        </c:ser>
        <c:ser>
          <c:idx val="6"/>
          <c:order val="7"/>
          <c:tx>
            <c:v>LS_ART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accent2"/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triangle"/>
              <c:size val="15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1E-4EB6-8034-CCDDDFF83FBF}"/>
              </c:ext>
            </c:extLst>
          </c:dPt>
          <c:yVal>
            <c:numRef>
              <c:f>'LCF LS Products'!$AB$52</c:f>
              <c:numCache>
                <c:formatCode>0.000</c:formatCode>
                <c:ptCount val="1"/>
                <c:pt idx="0">
                  <c:v>1.1022727272727271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B5D-49D2-BEB8-9F9965FC2DFC}"/>
            </c:ext>
          </c:extLst>
        </c:ser>
        <c:ser>
          <c:idx val="9"/>
          <c:order val="8"/>
          <c:tx>
            <c:v>HS_TOP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square"/>
              <c:size val="11"/>
              <c:spPr>
                <a:solidFill>
                  <a:srgbClr val="2D0DA3"/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91E-4EB6-8034-CCDDDFF83FBF}"/>
              </c:ext>
            </c:extLst>
          </c:dPt>
          <c:yVal>
            <c:numRef>
              <c:f>'LCF LS Products'!$AD$51</c:f>
              <c:numCache>
                <c:formatCode>General</c:formatCode>
                <c:ptCount val="1"/>
                <c:pt idx="0">
                  <c:v>0.93039443155452439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B5D-49D2-BEB8-9F9965FC2DFC}"/>
            </c:ext>
          </c:extLst>
        </c:ser>
        <c:ser>
          <c:idx val="8"/>
          <c:order val="9"/>
          <c:tx>
            <c:v>LS_TOP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2D0DA3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yVal>
            <c:numRef>
              <c:f>'LCF LS Products'!$AB$51</c:f>
              <c:numCache>
                <c:formatCode>0.000</c:formatCode>
                <c:ptCount val="1"/>
                <c:pt idx="0">
                  <c:v>0.59328358208955223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B5D-49D2-BEB8-9F9965FC2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'LCF LS Products'!$Z$32</c15:sqref>
                        </c15:formulaRef>
                      </c:ext>
                    </c:extLst>
                    <c:strCache>
                      <c:ptCount val="1"/>
                      <c:pt idx="0">
                        <c:v>LCF VTB ABQ_3358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'LCF LS Products'!$Z$41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68.8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B5D-49D2-BEB8-9F9965FC2DF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Products'!$AB$32</c15:sqref>
                        </c15:formulaRef>
                      </c:ext>
                    </c:extLst>
                    <c:strCache>
                      <c:ptCount val="1"/>
                      <c:pt idx="0">
                        <c:v>LCF VTB LS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Products'!$AB$41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53.6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B5D-49D2-BEB8-9F9965FC2DF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Products'!$AD$32</c15:sqref>
                        </c15:formulaRef>
                      </c:ext>
                    </c:extLst>
                    <c:strCache>
                      <c:ptCount val="1"/>
                      <c:pt idx="0">
                        <c:v>LCF VTB HS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7"/>
                  <c:spPr>
                    <a:noFill/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Products'!$AD$41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43.1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B5D-49D2-BEB8-9F9965FC2DFC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Products'!$Z$43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18.3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B5D-49D2-BEB8-9F9965FC2DF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Asphaltene in VTB_LS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Products'!$AB$43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31.8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Products'!$AB$43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31.8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B5D-49D2-BEB8-9F9965FC2DF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Asphaltene in HS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Products'!$AD$43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40.1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B5D-49D2-BEB8-9F9965FC2DFC}"/>
                  </c:ext>
                </c:extLst>
              </c15:ser>
            </c15:filteredScatterSeries>
          </c:ext>
        </c:extLst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wt%/wt%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432642878007604"/>
          <c:y val="0.23363854779881393"/>
          <c:w val="0.20937948949564161"/>
          <c:h val="0.322535831523230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Nitrogen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6"/>
          <c:order val="3"/>
          <c:tx>
            <c:v>N in VTB_HS_TOP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triangle"/>
              <c:size val="12"/>
              <c:spPr>
                <a:solidFill>
                  <a:srgbClr val="2D0DA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717-4D8C-A238-F35D2F795B19}"/>
              </c:ext>
            </c:extLst>
          </c:dPt>
          <c:yVal>
            <c:numRef>
              <c:f>'LCF LS Products'!$AD$57</c:f>
              <c:numCache>
                <c:formatCode>General</c:formatCode>
                <c:ptCount val="1"/>
                <c:pt idx="0">
                  <c:v>9436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717-4D8C-A238-F35D2F795B19}"/>
            </c:ext>
          </c:extLst>
        </c:ser>
        <c:ser>
          <c:idx val="5"/>
          <c:order val="4"/>
          <c:tx>
            <c:v>N in VTB_LS_TOP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3"/>
            <c:spPr>
              <a:solidFill>
                <a:srgbClr val="2D0DA3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0"/>
            <c:marker>
              <c:symbol val="diamond"/>
              <c:size val="13"/>
              <c:spPr>
                <a:solidFill>
                  <a:srgbClr val="2D0DA3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717-4D8C-A238-F35D2F795B19}"/>
              </c:ext>
            </c:extLst>
          </c:dPt>
          <c:yVal>
            <c:numRef>
              <c:f>'LCF LS Products'!$AB$57</c:f>
              <c:numCache>
                <c:formatCode>General</c:formatCode>
                <c:ptCount val="1"/>
                <c:pt idx="0">
                  <c:v>7675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17-4D8C-A238-F35D2F795B19}"/>
            </c:ext>
          </c:extLst>
        </c:ser>
        <c:ser>
          <c:idx val="4"/>
          <c:order val="5"/>
          <c:tx>
            <c:v>N in VTB_HS_ART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0"/>
            <c:marker>
              <c:symbol val="triangle"/>
              <c:size val="13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D717-4D8C-A238-F35D2F795B19}"/>
              </c:ext>
            </c:extLst>
          </c:dPt>
          <c:yVal>
            <c:numRef>
              <c:f>'LCF LS Products'!$AD$56</c:f>
              <c:numCache>
                <c:formatCode>General</c:formatCode>
                <c:ptCount val="1"/>
                <c:pt idx="0">
                  <c:v>8611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17-4D8C-A238-F35D2F795B19}"/>
            </c:ext>
          </c:extLst>
        </c:ser>
        <c:ser>
          <c:idx val="3"/>
          <c:order val="6"/>
          <c:tx>
            <c:v>N in VTB_LS_ART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'LCF LS Products'!$AB$56</c:f>
              <c:numCache>
                <c:formatCode>General</c:formatCode>
                <c:ptCount val="1"/>
                <c:pt idx="0">
                  <c:v>6308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17-4D8C-A238-F35D2F795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'LCF LS Products'!$AC$32</c15:sqref>
                        </c15:formulaRef>
                      </c:ext>
                    </c:extLst>
                    <c:strCache>
                      <c:ptCount val="1"/>
                      <c:pt idx="0">
                        <c:v>LCF VGO HS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'LCF LS Products'!$AD$46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9436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717-4D8C-A238-F35D2F795B1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Products'!$AA$32</c15:sqref>
                        </c15:formulaRef>
                      </c:ext>
                    </c:extLst>
                    <c:strCache>
                      <c:ptCount val="1"/>
                      <c:pt idx="0">
                        <c:v>LCF VGO LS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Products'!$AB$46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7675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717-4D8C-A238-F35D2F795B19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Products'!$Y$32</c15:sqref>
                        </c15:formulaRef>
                      </c:ext>
                    </c:extLst>
                    <c:strCache>
                      <c:ptCount val="1"/>
                      <c:pt idx="0">
                        <c:v>LCF VGO ABQ_3358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LS Products'!$Z$46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3613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717-4D8C-A238-F35D2F795B19}"/>
                  </c:ext>
                </c:extLst>
              </c15:ser>
            </c15:filteredScatterSeries>
          </c:ext>
        </c:extLst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27540904449384"/>
          <c:y val="0.24415427082584235"/>
          <c:w val="0.24950736810632171"/>
          <c:h val="0.32087309853867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LCF PRODUCT_High Sedimentation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7"/>
          <c:order val="1"/>
          <c:tx>
            <c:strRef>
              <c:f>'LCF HS Products'!$K$72</c:f>
              <c:strCache>
                <c:ptCount val="1"/>
                <c:pt idx="0">
                  <c:v>560+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'LCF HS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HS Products'!$K$73:$K$136</c:f>
              <c:numCache>
                <c:formatCode>General</c:formatCode>
                <c:ptCount val="64"/>
                <c:pt idx="0">
                  <c:v>451.5</c:v>
                </c:pt>
                <c:pt idx="1">
                  <c:v>503.7</c:v>
                </c:pt>
                <c:pt idx="2">
                  <c:v>527.4</c:v>
                </c:pt>
                <c:pt idx="3">
                  <c:v>535.9</c:v>
                </c:pt>
                <c:pt idx="4">
                  <c:v>542</c:v>
                </c:pt>
                <c:pt idx="5">
                  <c:v>546.9</c:v>
                </c:pt>
                <c:pt idx="6">
                  <c:v>551</c:v>
                </c:pt>
                <c:pt idx="7">
                  <c:v>554.70000000000005</c:v>
                </c:pt>
                <c:pt idx="8">
                  <c:v>557.9</c:v>
                </c:pt>
                <c:pt idx="9">
                  <c:v>560.79999999999995</c:v>
                </c:pt>
                <c:pt idx="10">
                  <c:v>563.6</c:v>
                </c:pt>
                <c:pt idx="11">
                  <c:v>566.1</c:v>
                </c:pt>
                <c:pt idx="12">
                  <c:v>568.4</c:v>
                </c:pt>
                <c:pt idx="13">
                  <c:v>570.5</c:v>
                </c:pt>
                <c:pt idx="14">
                  <c:v>572.6</c:v>
                </c:pt>
                <c:pt idx="15">
                  <c:v>574.6</c:v>
                </c:pt>
                <c:pt idx="16">
                  <c:v>576.70000000000005</c:v>
                </c:pt>
                <c:pt idx="17">
                  <c:v>578.70000000000005</c:v>
                </c:pt>
                <c:pt idx="18">
                  <c:v>580.6</c:v>
                </c:pt>
                <c:pt idx="19">
                  <c:v>582.6</c:v>
                </c:pt>
                <c:pt idx="20">
                  <c:v>584.5</c:v>
                </c:pt>
                <c:pt idx="21">
                  <c:v>586.29999999999995</c:v>
                </c:pt>
                <c:pt idx="22">
                  <c:v>588.1</c:v>
                </c:pt>
                <c:pt idx="23">
                  <c:v>590</c:v>
                </c:pt>
                <c:pt idx="24">
                  <c:v>591.79999999999995</c:v>
                </c:pt>
                <c:pt idx="25">
                  <c:v>593.6</c:v>
                </c:pt>
                <c:pt idx="26">
                  <c:v>595.29999999999995</c:v>
                </c:pt>
                <c:pt idx="27">
                  <c:v>597</c:v>
                </c:pt>
                <c:pt idx="28">
                  <c:v>598.79999999999995</c:v>
                </c:pt>
                <c:pt idx="29">
                  <c:v>600.6</c:v>
                </c:pt>
                <c:pt idx="30">
                  <c:v>602.4</c:v>
                </c:pt>
                <c:pt idx="31">
                  <c:v>604.29999999999995</c:v>
                </c:pt>
                <c:pt idx="32">
                  <c:v>606.20000000000005</c:v>
                </c:pt>
                <c:pt idx="33">
                  <c:v>608.1</c:v>
                </c:pt>
                <c:pt idx="34">
                  <c:v>609.9</c:v>
                </c:pt>
                <c:pt idx="35">
                  <c:v>611.79999999999995</c:v>
                </c:pt>
                <c:pt idx="36">
                  <c:v>613.6</c:v>
                </c:pt>
                <c:pt idx="37">
                  <c:v>615.5</c:v>
                </c:pt>
                <c:pt idx="38">
                  <c:v>617.5</c:v>
                </c:pt>
                <c:pt idx="39">
                  <c:v>619.6</c:v>
                </c:pt>
                <c:pt idx="40">
                  <c:v>621.6</c:v>
                </c:pt>
                <c:pt idx="41">
                  <c:v>623.70000000000005</c:v>
                </c:pt>
                <c:pt idx="42">
                  <c:v>625.70000000000005</c:v>
                </c:pt>
                <c:pt idx="43">
                  <c:v>627.79999999999995</c:v>
                </c:pt>
                <c:pt idx="44">
                  <c:v>629.9</c:v>
                </c:pt>
                <c:pt idx="45">
                  <c:v>632</c:v>
                </c:pt>
                <c:pt idx="46">
                  <c:v>634.1</c:v>
                </c:pt>
                <c:pt idx="47">
                  <c:v>636.29999999999995</c:v>
                </c:pt>
                <c:pt idx="48">
                  <c:v>638.6</c:v>
                </c:pt>
                <c:pt idx="49">
                  <c:v>641</c:v>
                </c:pt>
                <c:pt idx="50">
                  <c:v>643.5</c:v>
                </c:pt>
                <c:pt idx="51">
                  <c:v>646</c:v>
                </c:pt>
                <c:pt idx="52">
                  <c:v>648.6</c:v>
                </c:pt>
                <c:pt idx="53">
                  <c:v>651.20000000000005</c:v>
                </c:pt>
                <c:pt idx="54">
                  <c:v>653.70000000000005</c:v>
                </c:pt>
                <c:pt idx="55">
                  <c:v>656.3</c:v>
                </c:pt>
                <c:pt idx="56">
                  <c:v>659.2</c:v>
                </c:pt>
                <c:pt idx="57">
                  <c:v>662.6</c:v>
                </c:pt>
                <c:pt idx="58">
                  <c:v>666.2</c:v>
                </c:pt>
                <c:pt idx="59">
                  <c:v>670</c:v>
                </c:pt>
                <c:pt idx="60">
                  <c:v>673.3</c:v>
                </c:pt>
                <c:pt idx="61">
                  <c:v>677.2</c:v>
                </c:pt>
                <c:pt idx="62">
                  <c:v>681.7</c:v>
                </c:pt>
                <c:pt idx="63">
                  <c:v>685.8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503-4F00-BD6F-452E63881FA0}"/>
            </c:ext>
          </c:extLst>
        </c:ser>
        <c:ser>
          <c:idx val="6"/>
          <c:order val="2"/>
          <c:tx>
            <c:strRef>
              <c:f>'LCF HS Products'!$J$72</c:f>
              <c:strCache>
                <c:ptCount val="1"/>
                <c:pt idx="0">
                  <c:v>360-560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'LCF HS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HS Products'!$J$73:$J$173</c:f>
              <c:numCache>
                <c:formatCode>General</c:formatCode>
                <c:ptCount val="101"/>
                <c:pt idx="0">
                  <c:v>316.39999999999998</c:v>
                </c:pt>
                <c:pt idx="1">
                  <c:v>322.3</c:v>
                </c:pt>
                <c:pt idx="2">
                  <c:v>329.8</c:v>
                </c:pt>
                <c:pt idx="3">
                  <c:v>335.6</c:v>
                </c:pt>
                <c:pt idx="4">
                  <c:v>339.9</c:v>
                </c:pt>
                <c:pt idx="5">
                  <c:v>344.1</c:v>
                </c:pt>
                <c:pt idx="6">
                  <c:v>348.2</c:v>
                </c:pt>
                <c:pt idx="7">
                  <c:v>351.6</c:v>
                </c:pt>
                <c:pt idx="8">
                  <c:v>354.8</c:v>
                </c:pt>
                <c:pt idx="9">
                  <c:v>358.2</c:v>
                </c:pt>
                <c:pt idx="10">
                  <c:v>361.4</c:v>
                </c:pt>
                <c:pt idx="11">
                  <c:v>364</c:v>
                </c:pt>
                <c:pt idx="12">
                  <c:v>366.8</c:v>
                </c:pt>
                <c:pt idx="13">
                  <c:v>369.8</c:v>
                </c:pt>
                <c:pt idx="14">
                  <c:v>372.5</c:v>
                </c:pt>
                <c:pt idx="15">
                  <c:v>375.1</c:v>
                </c:pt>
                <c:pt idx="16">
                  <c:v>377</c:v>
                </c:pt>
                <c:pt idx="17">
                  <c:v>379.9</c:v>
                </c:pt>
                <c:pt idx="18">
                  <c:v>382.4</c:v>
                </c:pt>
                <c:pt idx="19">
                  <c:v>385</c:v>
                </c:pt>
                <c:pt idx="20">
                  <c:v>387.2</c:v>
                </c:pt>
                <c:pt idx="21">
                  <c:v>389</c:v>
                </c:pt>
                <c:pt idx="22">
                  <c:v>391.5</c:v>
                </c:pt>
                <c:pt idx="23">
                  <c:v>393.4</c:v>
                </c:pt>
                <c:pt idx="24">
                  <c:v>395.4</c:v>
                </c:pt>
                <c:pt idx="25">
                  <c:v>397</c:v>
                </c:pt>
                <c:pt idx="26">
                  <c:v>398.3</c:v>
                </c:pt>
                <c:pt idx="27">
                  <c:v>400.3</c:v>
                </c:pt>
                <c:pt idx="28">
                  <c:v>402.2</c:v>
                </c:pt>
                <c:pt idx="29">
                  <c:v>404</c:v>
                </c:pt>
                <c:pt idx="30">
                  <c:v>405.6</c:v>
                </c:pt>
                <c:pt idx="31">
                  <c:v>406.9</c:v>
                </c:pt>
                <c:pt idx="32">
                  <c:v>408.8</c:v>
                </c:pt>
                <c:pt idx="33">
                  <c:v>410.5</c:v>
                </c:pt>
                <c:pt idx="34">
                  <c:v>412.2</c:v>
                </c:pt>
                <c:pt idx="35">
                  <c:v>414.5</c:v>
                </c:pt>
                <c:pt idx="36">
                  <c:v>416.2</c:v>
                </c:pt>
                <c:pt idx="37">
                  <c:v>418.5</c:v>
                </c:pt>
                <c:pt idx="38">
                  <c:v>420.8</c:v>
                </c:pt>
                <c:pt idx="39">
                  <c:v>423.1</c:v>
                </c:pt>
                <c:pt idx="40">
                  <c:v>425.4</c:v>
                </c:pt>
                <c:pt idx="41">
                  <c:v>427.1</c:v>
                </c:pt>
                <c:pt idx="42">
                  <c:v>429.4</c:v>
                </c:pt>
                <c:pt idx="43">
                  <c:v>431.5</c:v>
                </c:pt>
                <c:pt idx="44">
                  <c:v>433.2</c:v>
                </c:pt>
                <c:pt idx="45">
                  <c:v>434.8</c:v>
                </c:pt>
                <c:pt idx="46">
                  <c:v>436.1</c:v>
                </c:pt>
                <c:pt idx="47">
                  <c:v>437.7</c:v>
                </c:pt>
                <c:pt idx="48">
                  <c:v>439.4</c:v>
                </c:pt>
                <c:pt idx="49">
                  <c:v>441</c:v>
                </c:pt>
                <c:pt idx="50">
                  <c:v>442.6</c:v>
                </c:pt>
                <c:pt idx="51">
                  <c:v>443.9</c:v>
                </c:pt>
                <c:pt idx="52">
                  <c:v>445.6</c:v>
                </c:pt>
                <c:pt idx="53">
                  <c:v>447.3</c:v>
                </c:pt>
                <c:pt idx="54">
                  <c:v>448.9</c:v>
                </c:pt>
                <c:pt idx="55">
                  <c:v>451.2</c:v>
                </c:pt>
                <c:pt idx="56">
                  <c:v>453.5</c:v>
                </c:pt>
                <c:pt idx="57">
                  <c:v>456</c:v>
                </c:pt>
                <c:pt idx="58">
                  <c:v>458.5</c:v>
                </c:pt>
                <c:pt idx="59">
                  <c:v>461</c:v>
                </c:pt>
                <c:pt idx="60">
                  <c:v>463.2</c:v>
                </c:pt>
                <c:pt idx="61">
                  <c:v>465.7</c:v>
                </c:pt>
                <c:pt idx="62">
                  <c:v>467.5</c:v>
                </c:pt>
                <c:pt idx="63">
                  <c:v>469.3</c:v>
                </c:pt>
                <c:pt idx="64">
                  <c:v>470.9</c:v>
                </c:pt>
                <c:pt idx="65">
                  <c:v>472.7</c:v>
                </c:pt>
                <c:pt idx="66">
                  <c:v>474.5</c:v>
                </c:pt>
                <c:pt idx="67">
                  <c:v>476.3</c:v>
                </c:pt>
                <c:pt idx="68">
                  <c:v>477.9</c:v>
                </c:pt>
                <c:pt idx="69">
                  <c:v>479.7</c:v>
                </c:pt>
                <c:pt idx="70">
                  <c:v>481.7</c:v>
                </c:pt>
                <c:pt idx="71">
                  <c:v>484.1</c:v>
                </c:pt>
                <c:pt idx="72">
                  <c:v>486.3</c:v>
                </c:pt>
                <c:pt idx="73">
                  <c:v>488.7</c:v>
                </c:pt>
                <c:pt idx="74">
                  <c:v>491.1</c:v>
                </c:pt>
                <c:pt idx="75">
                  <c:v>493.4</c:v>
                </c:pt>
                <c:pt idx="76">
                  <c:v>495.8</c:v>
                </c:pt>
                <c:pt idx="77">
                  <c:v>497.7</c:v>
                </c:pt>
                <c:pt idx="78">
                  <c:v>499.6</c:v>
                </c:pt>
                <c:pt idx="79">
                  <c:v>501.4</c:v>
                </c:pt>
                <c:pt idx="80">
                  <c:v>503.2</c:v>
                </c:pt>
                <c:pt idx="81">
                  <c:v>505.1</c:v>
                </c:pt>
                <c:pt idx="82">
                  <c:v>507</c:v>
                </c:pt>
                <c:pt idx="83">
                  <c:v>509.1</c:v>
                </c:pt>
                <c:pt idx="84">
                  <c:v>511.6</c:v>
                </c:pt>
                <c:pt idx="85">
                  <c:v>514.1</c:v>
                </c:pt>
                <c:pt idx="86">
                  <c:v>516.79999999999995</c:v>
                </c:pt>
                <c:pt idx="87">
                  <c:v>519.5</c:v>
                </c:pt>
                <c:pt idx="88">
                  <c:v>522.29999999999995</c:v>
                </c:pt>
                <c:pt idx="89">
                  <c:v>524.79999999999995</c:v>
                </c:pt>
                <c:pt idx="90">
                  <c:v>527.29999999999995</c:v>
                </c:pt>
                <c:pt idx="91">
                  <c:v>530.1</c:v>
                </c:pt>
                <c:pt idx="92">
                  <c:v>533</c:v>
                </c:pt>
                <c:pt idx="93">
                  <c:v>536.20000000000005</c:v>
                </c:pt>
                <c:pt idx="94">
                  <c:v>539.70000000000005</c:v>
                </c:pt>
                <c:pt idx="95">
                  <c:v>543.70000000000005</c:v>
                </c:pt>
                <c:pt idx="96">
                  <c:v>548.29999999999995</c:v>
                </c:pt>
                <c:pt idx="97">
                  <c:v>554</c:v>
                </c:pt>
                <c:pt idx="98">
                  <c:v>561.20000000000005</c:v>
                </c:pt>
                <c:pt idx="99">
                  <c:v>572.5</c:v>
                </c:pt>
                <c:pt idx="100">
                  <c:v>584.20000000000005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503-4F00-BD6F-452E63881FA0}"/>
            </c:ext>
          </c:extLst>
        </c:ser>
        <c:ser>
          <c:idx val="4"/>
          <c:order val="3"/>
          <c:tx>
            <c:strRef>
              <c:f>'LCF HS Products'!$H$72</c:f>
              <c:strCache>
                <c:ptCount val="1"/>
                <c:pt idx="0">
                  <c:v>250-360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'LCF HS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HS Products'!$H$73:$H$173</c:f>
              <c:numCache>
                <c:formatCode>General</c:formatCode>
                <c:ptCount val="101"/>
                <c:pt idx="0">
                  <c:v>212.9</c:v>
                </c:pt>
                <c:pt idx="1">
                  <c:v>219.2</c:v>
                </c:pt>
                <c:pt idx="2">
                  <c:v>227.6</c:v>
                </c:pt>
                <c:pt idx="3">
                  <c:v>232.2</c:v>
                </c:pt>
                <c:pt idx="4">
                  <c:v>235.8</c:v>
                </c:pt>
                <c:pt idx="5">
                  <c:v>238.7</c:v>
                </c:pt>
                <c:pt idx="6">
                  <c:v>242.4</c:v>
                </c:pt>
                <c:pt idx="7">
                  <c:v>245.6</c:v>
                </c:pt>
                <c:pt idx="8">
                  <c:v>248.2</c:v>
                </c:pt>
                <c:pt idx="9">
                  <c:v>250.4</c:v>
                </c:pt>
                <c:pt idx="10">
                  <c:v>252.5</c:v>
                </c:pt>
                <c:pt idx="11">
                  <c:v>254.5</c:v>
                </c:pt>
                <c:pt idx="12">
                  <c:v>255.5</c:v>
                </c:pt>
                <c:pt idx="13">
                  <c:v>256.5</c:v>
                </c:pt>
                <c:pt idx="14">
                  <c:v>258</c:v>
                </c:pt>
                <c:pt idx="15">
                  <c:v>259.89999999999998</c:v>
                </c:pt>
                <c:pt idx="16">
                  <c:v>261.8</c:v>
                </c:pt>
                <c:pt idx="17">
                  <c:v>263.60000000000002</c:v>
                </c:pt>
                <c:pt idx="18">
                  <c:v>265</c:v>
                </c:pt>
                <c:pt idx="19">
                  <c:v>266.2</c:v>
                </c:pt>
                <c:pt idx="20">
                  <c:v>267.3</c:v>
                </c:pt>
                <c:pt idx="21">
                  <c:v>268.7</c:v>
                </c:pt>
                <c:pt idx="22">
                  <c:v>270.10000000000002</c:v>
                </c:pt>
                <c:pt idx="23">
                  <c:v>271.60000000000002</c:v>
                </c:pt>
                <c:pt idx="24">
                  <c:v>272.60000000000002</c:v>
                </c:pt>
                <c:pt idx="25">
                  <c:v>273.3</c:v>
                </c:pt>
                <c:pt idx="26">
                  <c:v>274.10000000000002</c:v>
                </c:pt>
                <c:pt idx="27">
                  <c:v>275.2</c:v>
                </c:pt>
                <c:pt idx="28">
                  <c:v>276.60000000000002</c:v>
                </c:pt>
                <c:pt idx="29">
                  <c:v>278.10000000000002</c:v>
                </c:pt>
                <c:pt idx="30">
                  <c:v>279.5</c:v>
                </c:pt>
                <c:pt idx="31">
                  <c:v>280.7</c:v>
                </c:pt>
                <c:pt idx="32">
                  <c:v>281.8</c:v>
                </c:pt>
                <c:pt idx="33">
                  <c:v>282.89999999999998</c:v>
                </c:pt>
                <c:pt idx="34">
                  <c:v>283.89999999999998</c:v>
                </c:pt>
                <c:pt idx="35">
                  <c:v>285</c:v>
                </c:pt>
                <c:pt idx="36">
                  <c:v>286.2</c:v>
                </c:pt>
                <c:pt idx="37">
                  <c:v>287.5</c:v>
                </c:pt>
                <c:pt idx="38">
                  <c:v>288.5</c:v>
                </c:pt>
                <c:pt idx="39">
                  <c:v>289.2</c:v>
                </c:pt>
                <c:pt idx="40">
                  <c:v>289.8</c:v>
                </c:pt>
                <c:pt idx="41">
                  <c:v>290.39999999999998</c:v>
                </c:pt>
                <c:pt idx="42">
                  <c:v>291.39999999999998</c:v>
                </c:pt>
                <c:pt idx="43">
                  <c:v>292.7</c:v>
                </c:pt>
                <c:pt idx="44">
                  <c:v>293.89999999999998</c:v>
                </c:pt>
                <c:pt idx="45">
                  <c:v>295.2</c:v>
                </c:pt>
                <c:pt idx="46">
                  <c:v>296.3</c:v>
                </c:pt>
                <c:pt idx="47">
                  <c:v>297.2</c:v>
                </c:pt>
                <c:pt idx="48">
                  <c:v>298.2</c:v>
                </c:pt>
                <c:pt idx="49">
                  <c:v>299.2</c:v>
                </c:pt>
                <c:pt idx="50">
                  <c:v>300.10000000000002</c:v>
                </c:pt>
                <c:pt idx="51">
                  <c:v>301.3</c:v>
                </c:pt>
                <c:pt idx="52">
                  <c:v>302.39999999999998</c:v>
                </c:pt>
                <c:pt idx="53">
                  <c:v>303.39999999999998</c:v>
                </c:pt>
                <c:pt idx="54">
                  <c:v>304.2</c:v>
                </c:pt>
                <c:pt idx="55">
                  <c:v>304.8</c:v>
                </c:pt>
                <c:pt idx="56">
                  <c:v>305.39999999999998</c:v>
                </c:pt>
                <c:pt idx="57">
                  <c:v>306</c:v>
                </c:pt>
                <c:pt idx="58">
                  <c:v>306.8</c:v>
                </c:pt>
                <c:pt idx="59">
                  <c:v>307.89999999999998</c:v>
                </c:pt>
                <c:pt idx="60">
                  <c:v>309.10000000000002</c:v>
                </c:pt>
                <c:pt idx="61">
                  <c:v>310.2</c:v>
                </c:pt>
                <c:pt idx="62">
                  <c:v>311.2</c:v>
                </c:pt>
                <c:pt idx="63">
                  <c:v>312.10000000000002</c:v>
                </c:pt>
                <c:pt idx="64">
                  <c:v>313.2</c:v>
                </c:pt>
                <c:pt idx="65">
                  <c:v>314.3</c:v>
                </c:pt>
                <c:pt idx="66">
                  <c:v>315.39999999999998</c:v>
                </c:pt>
                <c:pt idx="67">
                  <c:v>316.7</c:v>
                </c:pt>
                <c:pt idx="68">
                  <c:v>317.89999999999998</c:v>
                </c:pt>
                <c:pt idx="69">
                  <c:v>318.7</c:v>
                </c:pt>
                <c:pt idx="70">
                  <c:v>319.3</c:v>
                </c:pt>
                <c:pt idx="71">
                  <c:v>320.2</c:v>
                </c:pt>
                <c:pt idx="72">
                  <c:v>321.39999999999998</c:v>
                </c:pt>
                <c:pt idx="73">
                  <c:v>322.89999999999998</c:v>
                </c:pt>
                <c:pt idx="74">
                  <c:v>324.2</c:v>
                </c:pt>
                <c:pt idx="75">
                  <c:v>325.5</c:v>
                </c:pt>
                <c:pt idx="76">
                  <c:v>326.8</c:v>
                </c:pt>
                <c:pt idx="77">
                  <c:v>328.2</c:v>
                </c:pt>
                <c:pt idx="78">
                  <c:v>329.7</c:v>
                </c:pt>
                <c:pt idx="79">
                  <c:v>331.3</c:v>
                </c:pt>
                <c:pt idx="80">
                  <c:v>332.3</c:v>
                </c:pt>
                <c:pt idx="81">
                  <c:v>333.3</c:v>
                </c:pt>
                <c:pt idx="82">
                  <c:v>334.9</c:v>
                </c:pt>
                <c:pt idx="83">
                  <c:v>336.9</c:v>
                </c:pt>
                <c:pt idx="84">
                  <c:v>338.8</c:v>
                </c:pt>
                <c:pt idx="85">
                  <c:v>340.7</c:v>
                </c:pt>
                <c:pt idx="86">
                  <c:v>342.9</c:v>
                </c:pt>
                <c:pt idx="87">
                  <c:v>345</c:v>
                </c:pt>
                <c:pt idx="88">
                  <c:v>346.2</c:v>
                </c:pt>
                <c:pt idx="89">
                  <c:v>348.4</c:v>
                </c:pt>
                <c:pt idx="90">
                  <c:v>351</c:v>
                </c:pt>
                <c:pt idx="91">
                  <c:v>353.7</c:v>
                </c:pt>
                <c:pt idx="92">
                  <c:v>356.6</c:v>
                </c:pt>
                <c:pt idx="93">
                  <c:v>358.9</c:v>
                </c:pt>
                <c:pt idx="94">
                  <c:v>362.6</c:v>
                </c:pt>
                <c:pt idx="95">
                  <c:v>366.8</c:v>
                </c:pt>
                <c:pt idx="96">
                  <c:v>370.6</c:v>
                </c:pt>
                <c:pt idx="97">
                  <c:v>376.6</c:v>
                </c:pt>
                <c:pt idx="98">
                  <c:v>383.7</c:v>
                </c:pt>
                <c:pt idx="99">
                  <c:v>395.1</c:v>
                </c:pt>
                <c:pt idx="100">
                  <c:v>405.2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03-4F00-BD6F-452E63881FA0}"/>
            </c:ext>
          </c:extLst>
        </c:ser>
        <c:ser>
          <c:idx val="3"/>
          <c:order val="4"/>
          <c:tx>
            <c:strRef>
              <c:f>'LCF HS Products'!$G$72</c:f>
              <c:strCache>
                <c:ptCount val="1"/>
                <c:pt idx="0">
                  <c:v>160-250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'LCF HS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HS Products'!$G$73:$G$173</c:f>
              <c:numCache>
                <c:formatCode>General</c:formatCode>
                <c:ptCount val="101"/>
                <c:pt idx="0">
                  <c:v>97.5</c:v>
                </c:pt>
                <c:pt idx="1">
                  <c:v>101.8</c:v>
                </c:pt>
                <c:pt idx="2">
                  <c:v>112.9</c:v>
                </c:pt>
                <c:pt idx="3">
                  <c:v>117.3</c:v>
                </c:pt>
                <c:pt idx="4">
                  <c:v>122.2</c:v>
                </c:pt>
                <c:pt idx="5">
                  <c:v>126.4</c:v>
                </c:pt>
                <c:pt idx="6">
                  <c:v>127.2</c:v>
                </c:pt>
                <c:pt idx="7">
                  <c:v>133.30000000000001</c:v>
                </c:pt>
                <c:pt idx="8">
                  <c:v>135.80000000000001</c:v>
                </c:pt>
                <c:pt idx="9">
                  <c:v>139.9</c:v>
                </c:pt>
                <c:pt idx="10">
                  <c:v>141</c:v>
                </c:pt>
                <c:pt idx="11">
                  <c:v>143.30000000000001</c:v>
                </c:pt>
                <c:pt idx="12">
                  <c:v>145</c:v>
                </c:pt>
                <c:pt idx="13">
                  <c:v>146.5</c:v>
                </c:pt>
                <c:pt idx="14">
                  <c:v>150.6</c:v>
                </c:pt>
                <c:pt idx="15">
                  <c:v>151.69999999999999</c:v>
                </c:pt>
                <c:pt idx="16">
                  <c:v>152.1</c:v>
                </c:pt>
                <c:pt idx="17">
                  <c:v>152.5</c:v>
                </c:pt>
                <c:pt idx="18">
                  <c:v>155.80000000000001</c:v>
                </c:pt>
                <c:pt idx="19">
                  <c:v>158.30000000000001</c:v>
                </c:pt>
                <c:pt idx="20">
                  <c:v>160</c:v>
                </c:pt>
                <c:pt idx="21">
                  <c:v>161.4</c:v>
                </c:pt>
                <c:pt idx="22">
                  <c:v>162.80000000000001</c:v>
                </c:pt>
                <c:pt idx="23">
                  <c:v>163.5</c:v>
                </c:pt>
                <c:pt idx="24">
                  <c:v>165.9</c:v>
                </c:pt>
                <c:pt idx="25">
                  <c:v>166.6</c:v>
                </c:pt>
                <c:pt idx="26">
                  <c:v>167</c:v>
                </c:pt>
                <c:pt idx="27">
                  <c:v>168.1</c:v>
                </c:pt>
                <c:pt idx="28">
                  <c:v>169.8</c:v>
                </c:pt>
                <c:pt idx="29">
                  <c:v>170.5</c:v>
                </c:pt>
                <c:pt idx="30">
                  <c:v>172.6</c:v>
                </c:pt>
                <c:pt idx="31">
                  <c:v>174.7</c:v>
                </c:pt>
                <c:pt idx="32">
                  <c:v>175.3</c:v>
                </c:pt>
                <c:pt idx="33">
                  <c:v>175.7</c:v>
                </c:pt>
                <c:pt idx="34">
                  <c:v>176</c:v>
                </c:pt>
                <c:pt idx="35">
                  <c:v>176.9</c:v>
                </c:pt>
                <c:pt idx="36">
                  <c:v>178.3</c:v>
                </c:pt>
                <c:pt idx="37">
                  <c:v>180.1</c:v>
                </c:pt>
                <c:pt idx="38">
                  <c:v>180.9</c:v>
                </c:pt>
                <c:pt idx="39">
                  <c:v>182.3</c:v>
                </c:pt>
                <c:pt idx="40">
                  <c:v>183.4</c:v>
                </c:pt>
                <c:pt idx="41">
                  <c:v>184.4</c:v>
                </c:pt>
                <c:pt idx="42">
                  <c:v>185.3</c:v>
                </c:pt>
                <c:pt idx="43">
                  <c:v>186.8</c:v>
                </c:pt>
                <c:pt idx="44">
                  <c:v>188.5</c:v>
                </c:pt>
                <c:pt idx="45">
                  <c:v>189.3</c:v>
                </c:pt>
                <c:pt idx="46">
                  <c:v>189.9</c:v>
                </c:pt>
                <c:pt idx="47">
                  <c:v>190.7</c:v>
                </c:pt>
                <c:pt idx="48">
                  <c:v>192.4</c:v>
                </c:pt>
                <c:pt idx="49">
                  <c:v>194.3</c:v>
                </c:pt>
                <c:pt idx="50">
                  <c:v>195.4</c:v>
                </c:pt>
                <c:pt idx="51">
                  <c:v>196.8</c:v>
                </c:pt>
                <c:pt idx="52">
                  <c:v>197.4</c:v>
                </c:pt>
                <c:pt idx="53">
                  <c:v>197.7</c:v>
                </c:pt>
                <c:pt idx="54">
                  <c:v>198</c:v>
                </c:pt>
                <c:pt idx="55">
                  <c:v>198.5</c:v>
                </c:pt>
                <c:pt idx="56">
                  <c:v>200.7</c:v>
                </c:pt>
                <c:pt idx="57">
                  <c:v>201.9</c:v>
                </c:pt>
                <c:pt idx="58">
                  <c:v>203.1</c:v>
                </c:pt>
                <c:pt idx="59">
                  <c:v>203.7</c:v>
                </c:pt>
                <c:pt idx="60">
                  <c:v>204.5</c:v>
                </c:pt>
                <c:pt idx="61">
                  <c:v>205.3</c:v>
                </c:pt>
                <c:pt idx="62">
                  <c:v>206.2</c:v>
                </c:pt>
                <c:pt idx="63">
                  <c:v>207.4</c:v>
                </c:pt>
                <c:pt idx="64">
                  <c:v>208.4</c:v>
                </c:pt>
                <c:pt idx="65">
                  <c:v>209.6</c:v>
                </c:pt>
                <c:pt idx="66">
                  <c:v>210.9</c:v>
                </c:pt>
                <c:pt idx="67">
                  <c:v>211.9</c:v>
                </c:pt>
                <c:pt idx="68">
                  <c:v>213.2</c:v>
                </c:pt>
                <c:pt idx="69">
                  <c:v>214.4</c:v>
                </c:pt>
                <c:pt idx="70">
                  <c:v>216</c:v>
                </c:pt>
                <c:pt idx="71">
                  <c:v>217</c:v>
                </c:pt>
                <c:pt idx="72">
                  <c:v>217.5</c:v>
                </c:pt>
                <c:pt idx="73">
                  <c:v>217.9</c:v>
                </c:pt>
                <c:pt idx="74">
                  <c:v>218.9</c:v>
                </c:pt>
                <c:pt idx="75">
                  <c:v>220</c:v>
                </c:pt>
                <c:pt idx="76">
                  <c:v>220.8</c:v>
                </c:pt>
                <c:pt idx="77">
                  <c:v>222.3</c:v>
                </c:pt>
                <c:pt idx="78">
                  <c:v>223.8</c:v>
                </c:pt>
                <c:pt idx="79">
                  <c:v>225.5</c:v>
                </c:pt>
                <c:pt idx="80">
                  <c:v>226.8</c:v>
                </c:pt>
                <c:pt idx="81">
                  <c:v>228.3</c:v>
                </c:pt>
                <c:pt idx="82">
                  <c:v>229.6</c:v>
                </c:pt>
                <c:pt idx="83">
                  <c:v>230.8</c:v>
                </c:pt>
                <c:pt idx="84">
                  <c:v>232.1</c:v>
                </c:pt>
                <c:pt idx="85">
                  <c:v>234.4</c:v>
                </c:pt>
                <c:pt idx="86">
                  <c:v>236</c:v>
                </c:pt>
                <c:pt idx="87">
                  <c:v>236.6</c:v>
                </c:pt>
                <c:pt idx="88">
                  <c:v>237.7</c:v>
                </c:pt>
                <c:pt idx="89">
                  <c:v>240</c:v>
                </c:pt>
                <c:pt idx="90">
                  <c:v>242.9</c:v>
                </c:pt>
                <c:pt idx="91">
                  <c:v>245.8</c:v>
                </c:pt>
                <c:pt idx="92">
                  <c:v>248.6</c:v>
                </c:pt>
                <c:pt idx="93">
                  <c:v>251.5</c:v>
                </c:pt>
                <c:pt idx="94">
                  <c:v>254.6</c:v>
                </c:pt>
                <c:pt idx="95">
                  <c:v>256.7</c:v>
                </c:pt>
                <c:pt idx="96">
                  <c:v>262.3</c:v>
                </c:pt>
                <c:pt idx="97">
                  <c:v>267.60000000000002</c:v>
                </c:pt>
                <c:pt idx="98">
                  <c:v>273.89999999999998</c:v>
                </c:pt>
                <c:pt idx="99">
                  <c:v>287.2</c:v>
                </c:pt>
                <c:pt idx="100">
                  <c:v>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03-4F00-BD6F-452E63881FA0}"/>
            </c:ext>
          </c:extLst>
        </c:ser>
        <c:ser>
          <c:idx val="1"/>
          <c:order val="5"/>
          <c:tx>
            <c:strRef>
              <c:f>'LCF HS Products'!$E$72</c:f>
              <c:strCache>
                <c:ptCount val="1"/>
                <c:pt idx="0">
                  <c:v>IBP-160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'LCF HS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HS Products'!$E$73:$E$173</c:f>
              <c:numCache>
                <c:formatCode>General</c:formatCode>
                <c:ptCount val="101"/>
                <c:pt idx="0">
                  <c:v>24.6</c:v>
                </c:pt>
                <c:pt idx="1">
                  <c:v>35</c:v>
                </c:pt>
                <c:pt idx="2">
                  <c:v>52.7</c:v>
                </c:pt>
                <c:pt idx="3">
                  <c:v>56.3</c:v>
                </c:pt>
                <c:pt idx="4">
                  <c:v>57.3</c:v>
                </c:pt>
                <c:pt idx="5">
                  <c:v>61.8</c:v>
                </c:pt>
                <c:pt idx="6">
                  <c:v>68.5</c:v>
                </c:pt>
                <c:pt idx="7">
                  <c:v>69.099999999999994</c:v>
                </c:pt>
                <c:pt idx="8">
                  <c:v>69.400000000000006</c:v>
                </c:pt>
                <c:pt idx="9">
                  <c:v>69.599999999999994</c:v>
                </c:pt>
                <c:pt idx="10">
                  <c:v>74.3</c:v>
                </c:pt>
                <c:pt idx="11">
                  <c:v>75.099999999999994</c:v>
                </c:pt>
                <c:pt idx="12">
                  <c:v>83</c:v>
                </c:pt>
                <c:pt idx="13">
                  <c:v>83.8</c:v>
                </c:pt>
                <c:pt idx="14">
                  <c:v>86</c:v>
                </c:pt>
                <c:pt idx="15">
                  <c:v>88.2</c:v>
                </c:pt>
                <c:pt idx="16">
                  <c:v>88.7</c:v>
                </c:pt>
                <c:pt idx="17">
                  <c:v>89.8</c:v>
                </c:pt>
                <c:pt idx="18">
                  <c:v>91</c:v>
                </c:pt>
                <c:pt idx="19">
                  <c:v>91.5</c:v>
                </c:pt>
                <c:pt idx="20">
                  <c:v>92</c:v>
                </c:pt>
                <c:pt idx="21">
                  <c:v>93.2</c:v>
                </c:pt>
                <c:pt idx="22">
                  <c:v>94.6</c:v>
                </c:pt>
                <c:pt idx="23">
                  <c:v>98.7</c:v>
                </c:pt>
                <c:pt idx="24">
                  <c:v>99.1</c:v>
                </c:pt>
                <c:pt idx="25">
                  <c:v>99.4</c:v>
                </c:pt>
                <c:pt idx="26">
                  <c:v>99.7</c:v>
                </c:pt>
                <c:pt idx="27">
                  <c:v>99.9</c:v>
                </c:pt>
                <c:pt idx="28">
                  <c:v>100.1</c:v>
                </c:pt>
                <c:pt idx="29">
                  <c:v>100.3</c:v>
                </c:pt>
                <c:pt idx="30">
                  <c:v>100.4</c:v>
                </c:pt>
                <c:pt idx="31">
                  <c:v>102.4</c:v>
                </c:pt>
                <c:pt idx="32">
                  <c:v>103.1</c:v>
                </c:pt>
                <c:pt idx="33">
                  <c:v>103.4</c:v>
                </c:pt>
                <c:pt idx="34">
                  <c:v>103.7</c:v>
                </c:pt>
                <c:pt idx="35">
                  <c:v>104.1</c:v>
                </c:pt>
                <c:pt idx="36">
                  <c:v>106.9</c:v>
                </c:pt>
                <c:pt idx="37">
                  <c:v>109.2</c:v>
                </c:pt>
                <c:pt idx="38">
                  <c:v>113.1</c:v>
                </c:pt>
                <c:pt idx="39">
                  <c:v>113.6</c:v>
                </c:pt>
                <c:pt idx="40">
                  <c:v>114</c:v>
                </c:pt>
                <c:pt idx="41">
                  <c:v>114.2</c:v>
                </c:pt>
                <c:pt idx="42">
                  <c:v>114.4</c:v>
                </c:pt>
                <c:pt idx="43">
                  <c:v>114.6</c:v>
                </c:pt>
                <c:pt idx="44">
                  <c:v>114.8</c:v>
                </c:pt>
                <c:pt idx="45">
                  <c:v>115</c:v>
                </c:pt>
                <c:pt idx="46">
                  <c:v>115.1</c:v>
                </c:pt>
                <c:pt idx="47">
                  <c:v>115.3</c:v>
                </c:pt>
                <c:pt idx="48">
                  <c:v>115.5</c:v>
                </c:pt>
                <c:pt idx="49">
                  <c:v>117.2</c:v>
                </c:pt>
                <c:pt idx="50">
                  <c:v>117.9</c:v>
                </c:pt>
                <c:pt idx="51">
                  <c:v>118.3</c:v>
                </c:pt>
                <c:pt idx="52">
                  <c:v>118.7</c:v>
                </c:pt>
                <c:pt idx="53">
                  <c:v>118.9</c:v>
                </c:pt>
                <c:pt idx="54">
                  <c:v>119.3</c:v>
                </c:pt>
                <c:pt idx="55">
                  <c:v>119.8</c:v>
                </c:pt>
                <c:pt idx="56">
                  <c:v>120.3</c:v>
                </c:pt>
                <c:pt idx="57">
                  <c:v>120.7</c:v>
                </c:pt>
                <c:pt idx="58">
                  <c:v>122.9</c:v>
                </c:pt>
                <c:pt idx="59">
                  <c:v>124.1</c:v>
                </c:pt>
                <c:pt idx="60">
                  <c:v>126.6</c:v>
                </c:pt>
                <c:pt idx="61">
                  <c:v>127.2</c:v>
                </c:pt>
                <c:pt idx="62">
                  <c:v>127.6</c:v>
                </c:pt>
                <c:pt idx="63">
                  <c:v>127.9</c:v>
                </c:pt>
                <c:pt idx="64">
                  <c:v>128.1</c:v>
                </c:pt>
                <c:pt idx="65">
                  <c:v>128.30000000000001</c:v>
                </c:pt>
                <c:pt idx="66">
                  <c:v>128.5</c:v>
                </c:pt>
                <c:pt idx="67">
                  <c:v>130.5</c:v>
                </c:pt>
                <c:pt idx="68">
                  <c:v>133.30000000000001</c:v>
                </c:pt>
                <c:pt idx="69">
                  <c:v>134</c:v>
                </c:pt>
                <c:pt idx="70">
                  <c:v>134.69999999999999</c:v>
                </c:pt>
                <c:pt idx="71">
                  <c:v>135.6</c:v>
                </c:pt>
                <c:pt idx="72">
                  <c:v>138.30000000000001</c:v>
                </c:pt>
                <c:pt idx="73">
                  <c:v>139.19999999999999</c:v>
                </c:pt>
                <c:pt idx="74">
                  <c:v>141</c:v>
                </c:pt>
                <c:pt idx="75">
                  <c:v>141.6</c:v>
                </c:pt>
                <c:pt idx="76">
                  <c:v>143.4</c:v>
                </c:pt>
                <c:pt idx="77">
                  <c:v>144.19999999999999</c:v>
                </c:pt>
                <c:pt idx="78">
                  <c:v>145.4</c:v>
                </c:pt>
                <c:pt idx="79">
                  <c:v>146.19999999999999</c:v>
                </c:pt>
                <c:pt idx="80">
                  <c:v>147.4</c:v>
                </c:pt>
                <c:pt idx="81">
                  <c:v>151.4</c:v>
                </c:pt>
                <c:pt idx="82">
                  <c:v>152.1</c:v>
                </c:pt>
                <c:pt idx="83">
                  <c:v>152.5</c:v>
                </c:pt>
                <c:pt idx="84">
                  <c:v>152.9</c:v>
                </c:pt>
                <c:pt idx="85">
                  <c:v>154.9</c:v>
                </c:pt>
                <c:pt idx="86">
                  <c:v>158.69999999999999</c:v>
                </c:pt>
                <c:pt idx="87">
                  <c:v>160.6</c:v>
                </c:pt>
                <c:pt idx="88">
                  <c:v>162.9</c:v>
                </c:pt>
                <c:pt idx="89">
                  <c:v>165.6</c:v>
                </c:pt>
                <c:pt idx="90">
                  <c:v>166.8</c:v>
                </c:pt>
                <c:pt idx="91">
                  <c:v>169.5</c:v>
                </c:pt>
                <c:pt idx="92">
                  <c:v>173.8</c:v>
                </c:pt>
                <c:pt idx="93">
                  <c:v>175.1</c:v>
                </c:pt>
                <c:pt idx="94">
                  <c:v>178.3</c:v>
                </c:pt>
                <c:pt idx="95">
                  <c:v>182.9</c:v>
                </c:pt>
                <c:pt idx="96">
                  <c:v>188.5</c:v>
                </c:pt>
                <c:pt idx="97">
                  <c:v>196.3</c:v>
                </c:pt>
                <c:pt idx="98">
                  <c:v>203.7</c:v>
                </c:pt>
                <c:pt idx="99">
                  <c:v>218.3</c:v>
                </c:pt>
                <c:pt idx="100">
                  <c:v>232.9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03-4F00-BD6F-452E63881FA0}"/>
            </c:ext>
          </c:extLst>
        </c:ser>
        <c:ser>
          <c:idx val="8"/>
          <c:order val="8"/>
          <c:tx>
            <c:v>5%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7F-4978-BF28-14A2D2FECA05}"/>
              </c:ext>
            </c:extLst>
          </c:dPt>
          <c:xVal>
            <c:numRef>
              <c:f>'LCF HS Products'!$X$75:$X$76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'LCF HS Products'!$Y$75:$Y$76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7F-4978-BF28-14A2D2FECA05}"/>
            </c:ext>
          </c:extLst>
        </c:ser>
        <c:ser>
          <c:idx val="9"/>
          <c:order val="9"/>
          <c:tx>
            <c:v>95%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E7F-4978-BF28-14A2D2FECA05}"/>
              </c:ext>
            </c:extLst>
          </c:dPt>
          <c:xVal>
            <c:numRef>
              <c:f>'LCF HS Products'!$X$78:$X$79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'LCF HS Products'!$Y$78:$Y$79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7F-4978-BF28-14A2D2FEC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9136"/>
        <c:axId val="272082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'LCF HS Products'!$D$72</c15:sqref>
                        </c15:formulaRef>
                      </c:ext>
                    </c:extLst>
                    <c:strCache>
                      <c:ptCount val="1"/>
                      <c:pt idx="0">
                        <c:v>LCF FEED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'LCF HS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'LCF HS Products'!$D$73:$D$155</c15:sqref>
                        </c15:formulaRef>
                      </c:ext>
                    </c:extLst>
                    <c:numCache>
                      <c:formatCode>General</c:formatCode>
                      <c:ptCount val="83"/>
                      <c:pt idx="0">
                        <c:v>108.4</c:v>
                      </c:pt>
                      <c:pt idx="1">
                        <c:v>123.4</c:v>
                      </c:pt>
                      <c:pt idx="2">
                        <c:v>143.69999999999999</c:v>
                      </c:pt>
                      <c:pt idx="3">
                        <c:v>159.19999999999999</c:v>
                      </c:pt>
                      <c:pt idx="4">
                        <c:v>171</c:v>
                      </c:pt>
                      <c:pt idx="5">
                        <c:v>181.4</c:v>
                      </c:pt>
                      <c:pt idx="6">
                        <c:v>191.4</c:v>
                      </c:pt>
                      <c:pt idx="7">
                        <c:v>199.9</c:v>
                      </c:pt>
                      <c:pt idx="8">
                        <c:v>209.1</c:v>
                      </c:pt>
                      <c:pt idx="9">
                        <c:v>216.7</c:v>
                      </c:pt>
                      <c:pt idx="10">
                        <c:v>224.9</c:v>
                      </c:pt>
                      <c:pt idx="11">
                        <c:v>232.4</c:v>
                      </c:pt>
                      <c:pt idx="12">
                        <c:v>240.6</c:v>
                      </c:pt>
                      <c:pt idx="13">
                        <c:v>248.8</c:v>
                      </c:pt>
                      <c:pt idx="14">
                        <c:v>255.8</c:v>
                      </c:pt>
                      <c:pt idx="15">
                        <c:v>264.2</c:v>
                      </c:pt>
                      <c:pt idx="16">
                        <c:v>271.3</c:v>
                      </c:pt>
                      <c:pt idx="17">
                        <c:v>279.89999999999998</c:v>
                      </c:pt>
                      <c:pt idx="18">
                        <c:v>287.2</c:v>
                      </c:pt>
                      <c:pt idx="19">
                        <c:v>294.60000000000002</c:v>
                      </c:pt>
                      <c:pt idx="20">
                        <c:v>300.89999999999998</c:v>
                      </c:pt>
                      <c:pt idx="21">
                        <c:v>308.3</c:v>
                      </c:pt>
                      <c:pt idx="22">
                        <c:v>314.5</c:v>
                      </c:pt>
                      <c:pt idx="23">
                        <c:v>321.7</c:v>
                      </c:pt>
                      <c:pt idx="24">
                        <c:v>328.1</c:v>
                      </c:pt>
                      <c:pt idx="25">
                        <c:v>335.2</c:v>
                      </c:pt>
                      <c:pt idx="26">
                        <c:v>341.7</c:v>
                      </c:pt>
                      <c:pt idx="27">
                        <c:v>348</c:v>
                      </c:pt>
                      <c:pt idx="28">
                        <c:v>354.3</c:v>
                      </c:pt>
                      <c:pt idx="29">
                        <c:v>360.1</c:v>
                      </c:pt>
                      <c:pt idx="30">
                        <c:v>366.6</c:v>
                      </c:pt>
                      <c:pt idx="31">
                        <c:v>373.5</c:v>
                      </c:pt>
                      <c:pt idx="32">
                        <c:v>381.9</c:v>
                      </c:pt>
                      <c:pt idx="33">
                        <c:v>389.8</c:v>
                      </c:pt>
                      <c:pt idx="34">
                        <c:v>395.8</c:v>
                      </c:pt>
                      <c:pt idx="35">
                        <c:v>402.2</c:v>
                      </c:pt>
                      <c:pt idx="36">
                        <c:v>407.9</c:v>
                      </c:pt>
                      <c:pt idx="37">
                        <c:v>414</c:v>
                      </c:pt>
                      <c:pt idx="38">
                        <c:v>421.1</c:v>
                      </c:pt>
                      <c:pt idx="39">
                        <c:v>427.9</c:v>
                      </c:pt>
                      <c:pt idx="40">
                        <c:v>434.3</c:v>
                      </c:pt>
                      <c:pt idx="41">
                        <c:v>440.7</c:v>
                      </c:pt>
                      <c:pt idx="42">
                        <c:v>446.7</c:v>
                      </c:pt>
                      <c:pt idx="43">
                        <c:v>453.1</c:v>
                      </c:pt>
                      <c:pt idx="44">
                        <c:v>459.8</c:v>
                      </c:pt>
                      <c:pt idx="45">
                        <c:v>466.5</c:v>
                      </c:pt>
                      <c:pt idx="46">
                        <c:v>472.6</c:v>
                      </c:pt>
                      <c:pt idx="47">
                        <c:v>478.8</c:v>
                      </c:pt>
                      <c:pt idx="48">
                        <c:v>485.2</c:v>
                      </c:pt>
                      <c:pt idx="49">
                        <c:v>491.6</c:v>
                      </c:pt>
                      <c:pt idx="50">
                        <c:v>497.8</c:v>
                      </c:pt>
                      <c:pt idx="51">
                        <c:v>503.4</c:v>
                      </c:pt>
                      <c:pt idx="52">
                        <c:v>508.9</c:v>
                      </c:pt>
                      <c:pt idx="53">
                        <c:v>515</c:v>
                      </c:pt>
                      <c:pt idx="54">
                        <c:v>521</c:v>
                      </c:pt>
                      <c:pt idx="55">
                        <c:v>526.5</c:v>
                      </c:pt>
                      <c:pt idx="56">
                        <c:v>531.70000000000005</c:v>
                      </c:pt>
                      <c:pt idx="57">
                        <c:v>536.79999999999995</c:v>
                      </c:pt>
                      <c:pt idx="58">
                        <c:v>541.9</c:v>
                      </c:pt>
                      <c:pt idx="59">
                        <c:v>546.9</c:v>
                      </c:pt>
                      <c:pt idx="60">
                        <c:v>552.1</c:v>
                      </c:pt>
                      <c:pt idx="61">
                        <c:v>557.1</c:v>
                      </c:pt>
                      <c:pt idx="62">
                        <c:v>561.79999999999995</c:v>
                      </c:pt>
                      <c:pt idx="63">
                        <c:v>566.5</c:v>
                      </c:pt>
                      <c:pt idx="64">
                        <c:v>570.79999999999995</c:v>
                      </c:pt>
                      <c:pt idx="65">
                        <c:v>575.29999999999995</c:v>
                      </c:pt>
                      <c:pt idx="66">
                        <c:v>579.9</c:v>
                      </c:pt>
                      <c:pt idx="67">
                        <c:v>584.6</c:v>
                      </c:pt>
                      <c:pt idx="68">
                        <c:v>589.5</c:v>
                      </c:pt>
                      <c:pt idx="69">
                        <c:v>594.29999999999995</c:v>
                      </c:pt>
                      <c:pt idx="70">
                        <c:v>599.29999999999995</c:v>
                      </c:pt>
                      <c:pt idx="71">
                        <c:v>604.6</c:v>
                      </c:pt>
                      <c:pt idx="72">
                        <c:v>610.1</c:v>
                      </c:pt>
                      <c:pt idx="73">
                        <c:v>615.9</c:v>
                      </c:pt>
                      <c:pt idx="74">
                        <c:v>622.20000000000005</c:v>
                      </c:pt>
                      <c:pt idx="75">
                        <c:v>628.70000000000005</c:v>
                      </c:pt>
                      <c:pt idx="76">
                        <c:v>635.4</c:v>
                      </c:pt>
                      <c:pt idx="77">
                        <c:v>642.9</c:v>
                      </c:pt>
                      <c:pt idx="78">
                        <c:v>651.29999999999995</c:v>
                      </c:pt>
                      <c:pt idx="79">
                        <c:v>660.3</c:v>
                      </c:pt>
                      <c:pt idx="80">
                        <c:v>672.3</c:v>
                      </c:pt>
                      <c:pt idx="81">
                        <c:v>686.7</c:v>
                      </c:pt>
                      <c:pt idx="82">
                        <c:v>704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503-4F00-BD6F-452E63881FA0}"/>
                  </c:ext>
                </c:extLst>
              </c15:ser>
            </c15:filteredScatterSeries>
            <c15:filteredScatterSeries>
              <c15:ser>
                <c:idx val="2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HS Products'!$F$72</c15:sqref>
                        </c15:formulaRef>
                      </c:ext>
                    </c:extLst>
                    <c:strCache>
                      <c:ptCount val="1"/>
                      <c:pt idx="0">
                        <c:v>160-FBP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HS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HS Products'!$F$73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144.1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503-4F00-BD6F-452E63881FA0}"/>
                  </c:ext>
                </c:extLst>
              </c15:ser>
            </c15:filteredScatterSeries>
            <c15:filteredScatter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HS Products'!$I$72</c15:sqref>
                        </c15:formulaRef>
                      </c:ext>
                    </c:extLst>
                    <c:strCache>
                      <c:ptCount val="1"/>
                      <c:pt idx="0">
                        <c:v>360-FBP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HS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HS Products'!$I$73:$I$155</c15:sqref>
                        </c15:formulaRef>
                      </c:ext>
                    </c:extLst>
                    <c:numCache>
                      <c:formatCode>General</c:formatCode>
                      <c:ptCount val="83"/>
                      <c:pt idx="0">
                        <c:v>331.6</c:v>
                      </c:pt>
                      <c:pt idx="1">
                        <c:v>340</c:v>
                      </c:pt>
                      <c:pt idx="2">
                        <c:v>351.9</c:v>
                      </c:pt>
                      <c:pt idx="3">
                        <c:v>360.9</c:v>
                      </c:pt>
                      <c:pt idx="4">
                        <c:v>368.5</c:v>
                      </c:pt>
                      <c:pt idx="5">
                        <c:v>375.7</c:v>
                      </c:pt>
                      <c:pt idx="6">
                        <c:v>382.3</c:v>
                      </c:pt>
                      <c:pt idx="7">
                        <c:v>388.3</c:v>
                      </c:pt>
                      <c:pt idx="8">
                        <c:v>393.8</c:v>
                      </c:pt>
                      <c:pt idx="9">
                        <c:v>398.1</c:v>
                      </c:pt>
                      <c:pt idx="10">
                        <c:v>402.7</c:v>
                      </c:pt>
                      <c:pt idx="11">
                        <c:v>406.7</c:v>
                      </c:pt>
                      <c:pt idx="12">
                        <c:v>411</c:v>
                      </c:pt>
                      <c:pt idx="13">
                        <c:v>415.8</c:v>
                      </c:pt>
                      <c:pt idx="14">
                        <c:v>421.3</c:v>
                      </c:pt>
                      <c:pt idx="15">
                        <c:v>426.4</c:v>
                      </c:pt>
                      <c:pt idx="16">
                        <c:v>431.5</c:v>
                      </c:pt>
                      <c:pt idx="17">
                        <c:v>435.2</c:v>
                      </c:pt>
                      <c:pt idx="18">
                        <c:v>438.9</c:v>
                      </c:pt>
                      <c:pt idx="19">
                        <c:v>442.5</c:v>
                      </c:pt>
                      <c:pt idx="20">
                        <c:v>446.2</c:v>
                      </c:pt>
                      <c:pt idx="21">
                        <c:v>450.3</c:v>
                      </c:pt>
                      <c:pt idx="22">
                        <c:v>455.7</c:v>
                      </c:pt>
                      <c:pt idx="23">
                        <c:v>461.1</c:v>
                      </c:pt>
                      <c:pt idx="24">
                        <c:v>466.3</c:v>
                      </c:pt>
                      <c:pt idx="25">
                        <c:v>470</c:v>
                      </c:pt>
                      <c:pt idx="26">
                        <c:v>473.9</c:v>
                      </c:pt>
                      <c:pt idx="27">
                        <c:v>477.5</c:v>
                      </c:pt>
                      <c:pt idx="28">
                        <c:v>481.5</c:v>
                      </c:pt>
                      <c:pt idx="29">
                        <c:v>486.2</c:v>
                      </c:pt>
                      <c:pt idx="30">
                        <c:v>491</c:v>
                      </c:pt>
                      <c:pt idx="31">
                        <c:v>495.7</c:v>
                      </c:pt>
                      <c:pt idx="32">
                        <c:v>499.4</c:v>
                      </c:pt>
                      <c:pt idx="33">
                        <c:v>502.9</c:v>
                      </c:pt>
                      <c:pt idx="34">
                        <c:v>506.4</c:v>
                      </c:pt>
                      <c:pt idx="35">
                        <c:v>510.2</c:v>
                      </c:pt>
                      <c:pt idx="36">
                        <c:v>514.5</c:v>
                      </c:pt>
                      <c:pt idx="37">
                        <c:v>518.79999999999995</c:v>
                      </c:pt>
                      <c:pt idx="38">
                        <c:v>522.79999999999995</c:v>
                      </c:pt>
                      <c:pt idx="39">
                        <c:v>526.29999999999995</c:v>
                      </c:pt>
                      <c:pt idx="40">
                        <c:v>529.79999999999995</c:v>
                      </c:pt>
                      <c:pt idx="41">
                        <c:v>533.1</c:v>
                      </c:pt>
                      <c:pt idx="42">
                        <c:v>536.6</c:v>
                      </c:pt>
                      <c:pt idx="43">
                        <c:v>540.1</c:v>
                      </c:pt>
                      <c:pt idx="44">
                        <c:v>543.5</c:v>
                      </c:pt>
                      <c:pt idx="45">
                        <c:v>547</c:v>
                      </c:pt>
                      <c:pt idx="46">
                        <c:v>550.29999999999995</c:v>
                      </c:pt>
                      <c:pt idx="47">
                        <c:v>553.70000000000005</c:v>
                      </c:pt>
                      <c:pt idx="48">
                        <c:v>557.1</c:v>
                      </c:pt>
                      <c:pt idx="49">
                        <c:v>560.29999999999995</c:v>
                      </c:pt>
                      <c:pt idx="50">
                        <c:v>563.5</c:v>
                      </c:pt>
                      <c:pt idx="51">
                        <c:v>566.70000000000005</c:v>
                      </c:pt>
                      <c:pt idx="52">
                        <c:v>569.6</c:v>
                      </c:pt>
                      <c:pt idx="53">
                        <c:v>572.5</c:v>
                      </c:pt>
                      <c:pt idx="54">
                        <c:v>575.5</c:v>
                      </c:pt>
                      <c:pt idx="55">
                        <c:v>578.6</c:v>
                      </c:pt>
                      <c:pt idx="56">
                        <c:v>581.70000000000005</c:v>
                      </c:pt>
                      <c:pt idx="57">
                        <c:v>584.9</c:v>
                      </c:pt>
                      <c:pt idx="58">
                        <c:v>588</c:v>
                      </c:pt>
                      <c:pt idx="59">
                        <c:v>591.20000000000005</c:v>
                      </c:pt>
                      <c:pt idx="60">
                        <c:v>594.29999999999995</c:v>
                      </c:pt>
                      <c:pt idx="61">
                        <c:v>597.6</c:v>
                      </c:pt>
                      <c:pt idx="62">
                        <c:v>600.9</c:v>
                      </c:pt>
                      <c:pt idx="63">
                        <c:v>604.4</c:v>
                      </c:pt>
                      <c:pt idx="64">
                        <c:v>608</c:v>
                      </c:pt>
                      <c:pt idx="65">
                        <c:v>611.6</c:v>
                      </c:pt>
                      <c:pt idx="66">
                        <c:v>615.29999999999995</c:v>
                      </c:pt>
                      <c:pt idx="67">
                        <c:v>619.29999999999995</c:v>
                      </c:pt>
                      <c:pt idx="68">
                        <c:v>623.29999999999995</c:v>
                      </c:pt>
                      <c:pt idx="69">
                        <c:v>627.5</c:v>
                      </c:pt>
                      <c:pt idx="70">
                        <c:v>631.70000000000005</c:v>
                      </c:pt>
                      <c:pt idx="71">
                        <c:v>636.1</c:v>
                      </c:pt>
                      <c:pt idx="72">
                        <c:v>640.9</c:v>
                      </c:pt>
                      <c:pt idx="73">
                        <c:v>646.1</c:v>
                      </c:pt>
                      <c:pt idx="74">
                        <c:v>651.4</c:v>
                      </c:pt>
                      <c:pt idx="75">
                        <c:v>656.8</c:v>
                      </c:pt>
                      <c:pt idx="76">
                        <c:v>663.6</c:v>
                      </c:pt>
                      <c:pt idx="77">
                        <c:v>671.2</c:v>
                      </c:pt>
                      <c:pt idx="78">
                        <c:v>679.5</c:v>
                      </c:pt>
                      <c:pt idx="79">
                        <c:v>688.4</c:v>
                      </c:pt>
                      <c:pt idx="80">
                        <c:v>697.5</c:v>
                      </c:pt>
                      <c:pt idx="81">
                        <c:v>707.3</c:v>
                      </c:pt>
                      <c:pt idx="82">
                        <c:v>718.9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503-4F00-BD6F-452E63881FA0}"/>
                  </c:ext>
                </c:extLst>
              </c15:ser>
            </c15:filteredScatterSeries>
          </c:ext>
        </c:extLst>
      </c:scatterChart>
      <c:valAx>
        <c:axId val="271991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256"/>
        <c:crosses val="autoZero"/>
        <c:crossBetween val="midCat"/>
        <c:majorUnit val="10"/>
      </c:valAx>
      <c:valAx>
        <c:axId val="272082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Boiling Temp (deg.C)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80523600174978116"/>
          <c:y val="0.26322761738116063"/>
          <c:w val="0.16698622047244094"/>
          <c:h val="0.39062773403324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LCF HS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5"/>
          <c:order val="0"/>
          <c:tx>
            <c:strRef>
              <c:f>'LCF HS Products'!$I$72</c:f>
              <c:strCache>
                <c:ptCount val="1"/>
                <c:pt idx="0">
                  <c:v>360-FBP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'LCF HS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HS Products'!$I$73:$I$155</c:f>
              <c:numCache>
                <c:formatCode>General</c:formatCode>
                <c:ptCount val="83"/>
                <c:pt idx="0">
                  <c:v>331.6</c:v>
                </c:pt>
                <c:pt idx="1">
                  <c:v>340</c:v>
                </c:pt>
                <c:pt idx="2">
                  <c:v>351.9</c:v>
                </c:pt>
                <c:pt idx="3">
                  <c:v>360.9</c:v>
                </c:pt>
                <c:pt idx="4">
                  <c:v>368.5</c:v>
                </c:pt>
                <c:pt idx="5">
                  <c:v>375.7</c:v>
                </c:pt>
                <c:pt idx="6">
                  <c:v>382.3</c:v>
                </c:pt>
                <c:pt idx="7">
                  <c:v>388.3</c:v>
                </c:pt>
                <c:pt idx="8">
                  <c:v>393.8</c:v>
                </c:pt>
                <c:pt idx="9">
                  <c:v>398.1</c:v>
                </c:pt>
                <c:pt idx="10">
                  <c:v>402.7</c:v>
                </c:pt>
                <c:pt idx="11">
                  <c:v>406.7</c:v>
                </c:pt>
                <c:pt idx="12">
                  <c:v>411</c:v>
                </c:pt>
                <c:pt idx="13">
                  <c:v>415.8</c:v>
                </c:pt>
                <c:pt idx="14">
                  <c:v>421.3</c:v>
                </c:pt>
                <c:pt idx="15">
                  <c:v>426.4</c:v>
                </c:pt>
                <c:pt idx="16">
                  <c:v>431.5</c:v>
                </c:pt>
                <c:pt idx="17">
                  <c:v>435.2</c:v>
                </c:pt>
                <c:pt idx="18">
                  <c:v>438.9</c:v>
                </c:pt>
                <c:pt idx="19">
                  <c:v>442.5</c:v>
                </c:pt>
                <c:pt idx="20">
                  <c:v>446.2</c:v>
                </c:pt>
                <c:pt idx="21">
                  <c:v>450.3</c:v>
                </c:pt>
                <c:pt idx="22">
                  <c:v>455.7</c:v>
                </c:pt>
                <c:pt idx="23">
                  <c:v>461.1</c:v>
                </c:pt>
                <c:pt idx="24">
                  <c:v>466.3</c:v>
                </c:pt>
                <c:pt idx="25">
                  <c:v>470</c:v>
                </c:pt>
                <c:pt idx="26">
                  <c:v>473.9</c:v>
                </c:pt>
                <c:pt idx="27">
                  <c:v>477.5</c:v>
                </c:pt>
                <c:pt idx="28">
                  <c:v>481.5</c:v>
                </c:pt>
                <c:pt idx="29">
                  <c:v>486.2</c:v>
                </c:pt>
                <c:pt idx="30">
                  <c:v>491</c:v>
                </c:pt>
                <c:pt idx="31">
                  <c:v>495.7</c:v>
                </c:pt>
                <c:pt idx="32">
                  <c:v>499.4</c:v>
                </c:pt>
                <c:pt idx="33">
                  <c:v>502.9</c:v>
                </c:pt>
                <c:pt idx="34">
                  <c:v>506.4</c:v>
                </c:pt>
                <c:pt idx="35">
                  <c:v>510.2</c:v>
                </c:pt>
                <c:pt idx="36">
                  <c:v>514.5</c:v>
                </c:pt>
                <c:pt idx="37">
                  <c:v>518.79999999999995</c:v>
                </c:pt>
                <c:pt idx="38">
                  <c:v>522.79999999999995</c:v>
                </c:pt>
                <c:pt idx="39">
                  <c:v>526.29999999999995</c:v>
                </c:pt>
                <c:pt idx="40">
                  <c:v>529.79999999999995</c:v>
                </c:pt>
                <c:pt idx="41">
                  <c:v>533.1</c:v>
                </c:pt>
                <c:pt idx="42">
                  <c:v>536.6</c:v>
                </c:pt>
                <c:pt idx="43">
                  <c:v>540.1</c:v>
                </c:pt>
                <c:pt idx="44">
                  <c:v>543.5</c:v>
                </c:pt>
                <c:pt idx="45">
                  <c:v>547</c:v>
                </c:pt>
                <c:pt idx="46">
                  <c:v>550.29999999999995</c:v>
                </c:pt>
                <c:pt idx="47">
                  <c:v>553.70000000000005</c:v>
                </c:pt>
                <c:pt idx="48">
                  <c:v>557.1</c:v>
                </c:pt>
                <c:pt idx="49">
                  <c:v>560.29999999999995</c:v>
                </c:pt>
                <c:pt idx="50">
                  <c:v>563.5</c:v>
                </c:pt>
                <c:pt idx="51">
                  <c:v>566.70000000000005</c:v>
                </c:pt>
                <c:pt idx="52">
                  <c:v>569.6</c:v>
                </c:pt>
                <c:pt idx="53">
                  <c:v>572.5</c:v>
                </c:pt>
                <c:pt idx="54">
                  <c:v>575.5</c:v>
                </c:pt>
                <c:pt idx="55">
                  <c:v>578.6</c:v>
                </c:pt>
                <c:pt idx="56">
                  <c:v>581.70000000000005</c:v>
                </c:pt>
                <c:pt idx="57">
                  <c:v>584.9</c:v>
                </c:pt>
                <c:pt idx="58">
                  <c:v>588</c:v>
                </c:pt>
                <c:pt idx="59">
                  <c:v>591.20000000000005</c:v>
                </c:pt>
                <c:pt idx="60">
                  <c:v>594.29999999999995</c:v>
                </c:pt>
                <c:pt idx="61">
                  <c:v>597.6</c:v>
                </c:pt>
                <c:pt idx="62">
                  <c:v>600.9</c:v>
                </c:pt>
                <c:pt idx="63">
                  <c:v>604.4</c:v>
                </c:pt>
                <c:pt idx="64">
                  <c:v>608</c:v>
                </c:pt>
                <c:pt idx="65">
                  <c:v>611.6</c:v>
                </c:pt>
                <c:pt idx="66">
                  <c:v>615.29999999999995</c:v>
                </c:pt>
                <c:pt idx="67">
                  <c:v>619.29999999999995</c:v>
                </c:pt>
                <c:pt idx="68">
                  <c:v>623.29999999999995</c:v>
                </c:pt>
                <c:pt idx="69">
                  <c:v>627.5</c:v>
                </c:pt>
                <c:pt idx="70">
                  <c:v>631.70000000000005</c:v>
                </c:pt>
                <c:pt idx="71">
                  <c:v>636.1</c:v>
                </c:pt>
                <c:pt idx="72">
                  <c:v>640.9</c:v>
                </c:pt>
                <c:pt idx="73">
                  <c:v>646.1</c:v>
                </c:pt>
                <c:pt idx="74">
                  <c:v>651.4</c:v>
                </c:pt>
                <c:pt idx="75">
                  <c:v>656.8</c:v>
                </c:pt>
                <c:pt idx="76">
                  <c:v>663.6</c:v>
                </c:pt>
                <c:pt idx="77">
                  <c:v>671.2</c:v>
                </c:pt>
                <c:pt idx="78">
                  <c:v>679.5</c:v>
                </c:pt>
                <c:pt idx="79">
                  <c:v>688.4</c:v>
                </c:pt>
                <c:pt idx="80">
                  <c:v>697.5</c:v>
                </c:pt>
                <c:pt idx="81">
                  <c:v>707.3</c:v>
                </c:pt>
                <c:pt idx="82">
                  <c:v>718.9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E01-40AB-AC9A-34C66892D7BE}"/>
            </c:ext>
          </c:extLst>
        </c:ser>
        <c:ser>
          <c:idx val="2"/>
          <c:order val="1"/>
          <c:tx>
            <c:strRef>
              <c:f>'LCF HS Products'!$F$72</c:f>
              <c:strCache>
                <c:ptCount val="1"/>
                <c:pt idx="0">
                  <c:v>160-FBP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'LCF HS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HS Products'!$F$73:$F$163</c:f>
              <c:numCache>
                <c:formatCode>General</c:formatCode>
                <c:ptCount val="91"/>
                <c:pt idx="0">
                  <c:v>144.1</c:v>
                </c:pt>
                <c:pt idx="1">
                  <c:v>169.8</c:v>
                </c:pt>
                <c:pt idx="2">
                  <c:v>186.7</c:v>
                </c:pt>
                <c:pt idx="3">
                  <c:v>201.1</c:v>
                </c:pt>
                <c:pt idx="4">
                  <c:v>212.2</c:v>
                </c:pt>
                <c:pt idx="5">
                  <c:v>220.6</c:v>
                </c:pt>
                <c:pt idx="6">
                  <c:v>227.1</c:v>
                </c:pt>
                <c:pt idx="7">
                  <c:v>233.7</c:v>
                </c:pt>
                <c:pt idx="8">
                  <c:v>240.3</c:v>
                </c:pt>
                <c:pt idx="9">
                  <c:v>247.4</c:v>
                </c:pt>
                <c:pt idx="10">
                  <c:v>254.5</c:v>
                </c:pt>
                <c:pt idx="11">
                  <c:v>259.89999999999998</c:v>
                </c:pt>
                <c:pt idx="12">
                  <c:v>266.10000000000002</c:v>
                </c:pt>
                <c:pt idx="13">
                  <c:v>272.2</c:v>
                </c:pt>
                <c:pt idx="14">
                  <c:v>278.8</c:v>
                </c:pt>
                <c:pt idx="15">
                  <c:v>285.7</c:v>
                </c:pt>
                <c:pt idx="16">
                  <c:v>292</c:v>
                </c:pt>
                <c:pt idx="17">
                  <c:v>298.7</c:v>
                </c:pt>
                <c:pt idx="18">
                  <c:v>304.7</c:v>
                </c:pt>
                <c:pt idx="19">
                  <c:v>311.5</c:v>
                </c:pt>
                <c:pt idx="20">
                  <c:v>317.60000000000002</c:v>
                </c:pt>
                <c:pt idx="21">
                  <c:v>323.39999999999998</c:v>
                </c:pt>
                <c:pt idx="22">
                  <c:v>329.2</c:v>
                </c:pt>
                <c:pt idx="23">
                  <c:v>335</c:v>
                </c:pt>
                <c:pt idx="24">
                  <c:v>340.7</c:v>
                </c:pt>
                <c:pt idx="25">
                  <c:v>346.7</c:v>
                </c:pt>
                <c:pt idx="26">
                  <c:v>352.8</c:v>
                </c:pt>
                <c:pt idx="27">
                  <c:v>358.9</c:v>
                </c:pt>
                <c:pt idx="28">
                  <c:v>364.8</c:v>
                </c:pt>
                <c:pt idx="29">
                  <c:v>370.9</c:v>
                </c:pt>
                <c:pt idx="30">
                  <c:v>376.8</c:v>
                </c:pt>
                <c:pt idx="31">
                  <c:v>383</c:v>
                </c:pt>
                <c:pt idx="32">
                  <c:v>388.8</c:v>
                </c:pt>
                <c:pt idx="33">
                  <c:v>394.3</c:v>
                </c:pt>
                <c:pt idx="34">
                  <c:v>399</c:v>
                </c:pt>
                <c:pt idx="35">
                  <c:v>404</c:v>
                </c:pt>
                <c:pt idx="36">
                  <c:v>408.6</c:v>
                </c:pt>
                <c:pt idx="37">
                  <c:v>414.1</c:v>
                </c:pt>
                <c:pt idx="38">
                  <c:v>420.3</c:v>
                </c:pt>
                <c:pt idx="39">
                  <c:v>426.7</c:v>
                </c:pt>
                <c:pt idx="40">
                  <c:v>432.6</c:v>
                </c:pt>
                <c:pt idx="41">
                  <c:v>437.1</c:v>
                </c:pt>
                <c:pt idx="42">
                  <c:v>442</c:v>
                </c:pt>
                <c:pt idx="43">
                  <c:v>446.6</c:v>
                </c:pt>
                <c:pt idx="44">
                  <c:v>452.5</c:v>
                </c:pt>
                <c:pt idx="45">
                  <c:v>459.7</c:v>
                </c:pt>
                <c:pt idx="46">
                  <c:v>466.4</c:v>
                </c:pt>
                <c:pt idx="47">
                  <c:v>471.3</c:v>
                </c:pt>
                <c:pt idx="48">
                  <c:v>476.3</c:v>
                </c:pt>
                <c:pt idx="49">
                  <c:v>481.3</c:v>
                </c:pt>
                <c:pt idx="50">
                  <c:v>487.6</c:v>
                </c:pt>
                <c:pt idx="51">
                  <c:v>493.9</c:v>
                </c:pt>
                <c:pt idx="52">
                  <c:v>499.2</c:v>
                </c:pt>
                <c:pt idx="53">
                  <c:v>503.8</c:v>
                </c:pt>
                <c:pt idx="54">
                  <c:v>508.4</c:v>
                </c:pt>
                <c:pt idx="55">
                  <c:v>514</c:v>
                </c:pt>
                <c:pt idx="56">
                  <c:v>519.6</c:v>
                </c:pt>
                <c:pt idx="57">
                  <c:v>524.70000000000005</c:v>
                </c:pt>
                <c:pt idx="58">
                  <c:v>529.20000000000005</c:v>
                </c:pt>
                <c:pt idx="59">
                  <c:v>533.70000000000005</c:v>
                </c:pt>
                <c:pt idx="60">
                  <c:v>538.29999999999995</c:v>
                </c:pt>
                <c:pt idx="61">
                  <c:v>542.79999999999995</c:v>
                </c:pt>
                <c:pt idx="62">
                  <c:v>547.4</c:v>
                </c:pt>
                <c:pt idx="63">
                  <c:v>551.9</c:v>
                </c:pt>
                <c:pt idx="64">
                  <c:v>556.4</c:v>
                </c:pt>
                <c:pt idx="65">
                  <c:v>560.6</c:v>
                </c:pt>
                <c:pt idx="66">
                  <c:v>564.9</c:v>
                </c:pt>
                <c:pt idx="67">
                  <c:v>568.9</c:v>
                </c:pt>
                <c:pt idx="68">
                  <c:v>572.79999999999995</c:v>
                </c:pt>
                <c:pt idx="69">
                  <c:v>576.9</c:v>
                </c:pt>
                <c:pt idx="70">
                  <c:v>581</c:v>
                </c:pt>
                <c:pt idx="71">
                  <c:v>585.20000000000005</c:v>
                </c:pt>
                <c:pt idx="72">
                  <c:v>589.4</c:v>
                </c:pt>
                <c:pt idx="73">
                  <c:v>593.70000000000005</c:v>
                </c:pt>
                <c:pt idx="74">
                  <c:v>598</c:v>
                </c:pt>
                <c:pt idx="75">
                  <c:v>602.5</c:v>
                </c:pt>
                <c:pt idx="76">
                  <c:v>607.29999999999995</c:v>
                </c:pt>
                <c:pt idx="77">
                  <c:v>612.20000000000005</c:v>
                </c:pt>
                <c:pt idx="78">
                  <c:v>617.29999999999995</c:v>
                </c:pt>
                <c:pt idx="79">
                  <c:v>622.70000000000005</c:v>
                </c:pt>
                <c:pt idx="80">
                  <c:v>628.20000000000005</c:v>
                </c:pt>
                <c:pt idx="81">
                  <c:v>633.9</c:v>
                </c:pt>
                <c:pt idx="82">
                  <c:v>640</c:v>
                </c:pt>
                <c:pt idx="83">
                  <c:v>646.79999999999995</c:v>
                </c:pt>
                <c:pt idx="84">
                  <c:v>653.70000000000005</c:v>
                </c:pt>
                <c:pt idx="85">
                  <c:v>661.5</c:v>
                </c:pt>
                <c:pt idx="86">
                  <c:v>671.2</c:v>
                </c:pt>
                <c:pt idx="87">
                  <c:v>681.9</c:v>
                </c:pt>
                <c:pt idx="88">
                  <c:v>693.1</c:v>
                </c:pt>
                <c:pt idx="89">
                  <c:v>705.4</c:v>
                </c:pt>
                <c:pt idx="90">
                  <c:v>710.2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01-40AB-AC9A-34C66892D7BE}"/>
            </c:ext>
          </c:extLst>
        </c:ser>
        <c:ser>
          <c:idx val="0"/>
          <c:order val="2"/>
          <c:tx>
            <c:strRef>
              <c:f>'LCF HS Products'!$D$72</c:f>
              <c:strCache>
                <c:ptCount val="1"/>
                <c:pt idx="0">
                  <c:v>LCF FEED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'LCF HS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HS Products'!$D$73:$D$155</c:f>
              <c:numCache>
                <c:formatCode>General</c:formatCode>
                <c:ptCount val="83"/>
                <c:pt idx="0">
                  <c:v>108.4</c:v>
                </c:pt>
                <c:pt idx="1">
                  <c:v>123.4</c:v>
                </c:pt>
                <c:pt idx="2">
                  <c:v>143.69999999999999</c:v>
                </c:pt>
                <c:pt idx="3">
                  <c:v>159.19999999999999</c:v>
                </c:pt>
                <c:pt idx="4">
                  <c:v>171</c:v>
                </c:pt>
                <c:pt idx="5">
                  <c:v>181.4</c:v>
                </c:pt>
                <c:pt idx="6">
                  <c:v>191.4</c:v>
                </c:pt>
                <c:pt idx="7">
                  <c:v>199.9</c:v>
                </c:pt>
                <c:pt idx="8">
                  <c:v>209.1</c:v>
                </c:pt>
                <c:pt idx="9">
                  <c:v>216.7</c:v>
                </c:pt>
                <c:pt idx="10">
                  <c:v>224.9</c:v>
                </c:pt>
                <c:pt idx="11">
                  <c:v>232.4</c:v>
                </c:pt>
                <c:pt idx="12">
                  <c:v>240.6</c:v>
                </c:pt>
                <c:pt idx="13">
                  <c:v>248.8</c:v>
                </c:pt>
                <c:pt idx="14">
                  <c:v>255.8</c:v>
                </c:pt>
                <c:pt idx="15">
                  <c:v>264.2</c:v>
                </c:pt>
                <c:pt idx="16">
                  <c:v>271.3</c:v>
                </c:pt>
                <c:pt idx="17">
                  <c:v>279.89999999999998</c:v>
                </c:pt>
                <c:pt idx="18">
                  <c:v>287.2</c:v>
                </c:pt>
                <c:pt idx="19">
                  <c:v>294.60000000000002</c:v>
                </c:pt>
                <c:pt idx="20">
                  <c:v>300.89999999999998</c:v>
                </c:pt>
                <c:pt idx="21">
                  <c:v>308.3</c:v>
                </c:pt>
                <c:pt idx="22">
                  <c:v>314.5</c:v>
                </c:pt>
                <c:pt idx="23">
                  <c:v>321.7</c:v>
                </c:pt>
                <c:pt idx="24">
                  <c:v>328.1</c:v>
                </c:pt>
                <c:pt idx="25">
                  <c:v>335.2</c:v>
                </c:pt>
                <c:pt idx="26">
                  <c:v>341.7</c:v>
                </c:pt>
                <c:pt idx="27">
                  <c:v>348</c:v>
                </c:pt>
                <c:pt idx="28">
                  <c:v>354.3</c:v>
                </c:pt>
                <c:pt idx="29">
                  <c:v>360.1</c:v>
                </c:pt>
                <c:pt idx="30">
                  <c:v>366.6</c:v>
                </c:pt>
                <c:pt idx="31">
                  <c:v>373.5</c:v>
                </c:pt>
                <c:pt idx="32">
                  <c:v>381.9</c:v>
                </c:pt>
                <c:pt idx="33">
                  <c:v>389.8</c:v>
                </c:pt>
                <c:pt idx="34">
                  <c:v>395.8</c:v>
                </c:pt>
                <c:pt idx="35">
                  <c:v>402.2</c:v>
                </c:pt>
                <c:pt idx="36">
                  <c:v>407.9</c:v>
                </c:pt>
                <c:pt idx="37">
                  <c:v>414</c:v>
                </c:pt>
                <c:pt idx="38">
                  <c:v>421.1</c:v>
                </c:pt>
                <c:pt idx="39">
                  <c:v>427.9</c:v>
                </c:pt>
                <c:pt idx="40">
                  <c:v>434.3</c:v>
                </c:pt>
                <c:pt idx="41">
                  <c:v>440.7</c:v>
                </c:pt>
                <c:pt idx="42">
                  <c:v>446.7</c:v>
                </c:pt>
                <c:pt idx="43">
                  <c:v>453.1</c:v>
                </c:pt>
                <c:pt idx="44">
                  <c:v>459.8</c:v>
                </c:pt>
                <c:pt idx="45">
                  <c:v>466.5</c:v>
                </c:pt>
                <c:pt idx="46">
                  <c:v>472.6</c:v>
                </c:pt>
                <c:pt idx="47">
                  <c:v>478.8</c:v>
                </c:pt>
                <c:pt idx="48">
                  <c:v>485.2</c:v>
                </c:pt>
                <c:pt idx="49">
                  <c:v>491.6</c:v>
                </c:pt>
                <c:pt idx="50">
                  <c:v>497.8</c:v>
                </c:pt>
                <c:pt idx="51">
                  <c:v>503.4</c:v>
                </c:pt>
                <c:pt idx="52">
                  <c:v>508.9</c:v>
                </c:pt>
                <c:pt idx="53">
                  <c:v>515</c:v>
                </c:pt>
                <c:pt idx="54">
                  <c:v>521</c:v>
                </c:pt>
                <c:pt idx="55">
                  <c:v>526.5</c:v>
                </c:pt>
                <c:pt idx="56">
                  <c:v>531.70000000000005</c:v>
                </c:pt>
                <c:pt idx="57">
                  <c:v>536.79999999999995</c:v>
                </c:pt>
                <c:pt idx="58">
                  <c:v>541.9</c:v>
                </c:pt>
                <c:pt idx="59">
                  <c:v>546.9</c:v>
                </c:pt>
                <c:pt idx="60">
                  <c:v>552.1</c:v>
                </c:pt>
                <c:pt idx="61">
                  <c:v>557.1</c:v>
                </c:pt>
                <c:pt idx="62">
                  <c:v>561.79999999999995</c:v>
                </c:pt>
                <c:pt idx="63">
                  <c:v>566.5</c:v>
                </c:pt>
                <c:pt idx="64">
                  <c:v>570.79999999999995</c:v>
                </c:pt>
                <c:pt idx="65">
                  <c:v>575.29999999999995</c:v>
                </c:pt>
                <c:pt idx="66">
                  <c:v>579.9</c:v>
                </c:pt>
                <c:pt idx="67">
                  <c:v>584.6</c:v>
                </c:pt>
                <c:pt idx="68">
                  <c:v>589.5</c:v>
                </c:pt>
                <c:pt idx="69">
                  <c:v>594.29999999999995</c:v>
                </c:pt>
                <c:pt idx="70">
                  <c:v>599.29999999999995</c:v>
                </c:pt>
                <c:pt idx="71">
                  <c:v>604.6</c:v>
                </c:pt>
                <c:pt idx="72">
                  <c:v>610.1</c:v>
                </c:pt>
                <c:pt idx="73">
                  <c:v>615.9</c:v>
                </c:pt>
                <c:pt idx="74">
                  <c:v>622.20000000000005</c:v>
                </c:pt>
                <c:pt idx="75">
                  <c:v>628.70000000000005</c:v>
                </c:pt>
                <c:pt idx="76">
                  <c:v>635.4</c:v>
                </c:pt>
                <c:pt idx="77">
                  <c:v>642.9</c:v>
                </c:pt>
                <c:pt idx="78">
                  <c:v>651.29999999999995</c:v>
                </c:pt>
                <c:pt idx="79">
                  <c:v>660.3</c:v>
                </c:pt>
                <c:pt idx="80">
                  <c:v>672.3</c:v>
                </c:pt>
                <c:pt idx="81">
                  <c:v>686.7</c:v>
                </c:pt>
                <c:pt idx="82">
                  <c:v>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01-40AB-AC9A-34C66892D7BE}"/>
            </c:ext>
          </c:extLst>
        </c:ser>
        <c:ser>
          <c:idx val="8"/>
          <c:order val="8"/>
          <c:tx>
            <c:v>5%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E01-40AB-AC9A-34C66892D7BE}"/>
              </c:ext>
            </c:extLst>
          </c:dPt>
          <c:xVal>
            <c:numRef>
              <c:f>'LCF HS Products'!$X$75:$X$76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'LCF HS Products'!$Y$75:$Y$76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E01-40AB-AC9A-34C66892D7BE}"/>
            </c:ext>
          </c:extLst>
        </c:ser>
        <c:ser>
          <c:idx val="9"/>
          <c:order val="9"/>
          <c:tx>
            <c:v>95%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BE01-40AB-AC9A-34C66892D7BE}"/>
              </c:ext>
            </c:extLst>
          </c:dPt>
          <c:xVal>
            <c:numRef>
              <c:f>'LCF HS Products'!$X$78:$X$79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'LCF HS Products'!$Y$78:$Y$79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E01-40AB-AC9A-34C66892D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9136"/>
        <c:axId val="2720825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3"/>
                <c:tx>
                  <c:strRef>
                    <c:extLst>
                      <c:ext uri="{02D57815-91ED-43cb-92C2-25804820EDAC}">
                        <c15:formulaRef>
                          <c15:sqref>'LCF HS Products'!$E$72</c15:sqref>
                        </c15:formulaRef>
                      </c:ext>
                    </c:extLst>
                    <c:strCache>
                      <c:ptCount val="1"/>
                      <c:pt idx="0">
                        <c:v>IBP-160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'LCF HS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'LCF HS Products'!$E$73:$E$173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24.6</c:v>
                      </c:pt>
                      <c:pt idx="1">
                        <c:v>35</c:v>
                      </c:pt>
                      <c:pt idx="2">
                        <c:v>52.7</c:v>
                      </c:pt>
                      <c:pt idx="3">
                        <c:v>56.3</c:v>
                      </c:pt>
                      <c:pt idx="4">
                        <c:v>57.3</c:v>
                      </c:pt>
                      <c:pt idx="5">
                        <c:v>61.8</c:v>
                      </c:pt>
                      <c:pt idx="6">
                        <c:v>68.5</c:v>
                      </c:pt>
                      <c:pt idx="7">
                        <c:v>69.099999999999994</c:v>
                      </c:pt>
                      <c:pt idx="8">
                        <c:v>69.400000000000006</c:v>
                      </c:pt>
                      <c:pt idx="9">
                        <c:v>69.599999999999994</c:v>
                      </c:pt>
                      <c:pt idx="10">
                        <c:v>74.3</c:v>
                      </c:pt>
                      <c:pt idx="11">
                        <c:v>75.099999999999994</c:v>
                      </c:pt>
                      <c:pt idx="12">
                        <c:v>83</c:v>
                      </c:pt>
                      <c:pt idx="13">
                        <c:v>83.8</c:v>
                      </c:pt>
                      <c:pt idx="14">
                        <c:v>86</c:v>
                      </c:pt>
                      <c:pt idx="15">
                        <c:v>88.2</c:v>
                      </c:pt>
                      <c:pt idx="16">
                        <c:v>88.7</c:v>
                      </c:pt>
                      <c:pt idx="17">
                        <c:v>89.8</c:v>
                      </c:pt>
                      <c:pt idx="18">
                        <c:v>91</c:v>
                      </c:pt>
                      <c:pt idx="19">
                        <c:v>91.5</c:v>
                      </c:pt>
                      <c:pt idx="20">
                        <c:v>92</c:v>
                      </c:pt>
                      <c:pt idx="21">
                        <c:v>93.2</c:v>
                      </c:pt>
                      <c:pt idx="22">
                        <c:v>94.6</c:v>
                      </c:pt>
                      <c:pt idx="23">
                        <c:v>98.7</c:v>
                      </c:pt>
                      <c:pt idx="24">
                        <c:v>99.1</c:v>
                      </c:pt>
                      <c:pt idx="25">
                        <c:v>99.4</c:v>
                      </c:pt>
                      <c:pt idx="26">
                        <c:v>99.7</c:v>
                      </c:pt>
                      <c:pt idx="27">
                        <c:v>99.9</c:v>
                      </c:pt>
                      <c:pt idx="28">
                        <c:v>100.1</c:v>
                      </c:pt>
                      <c:pt idx="29">
                        <c:v>100.3</c:v>
                      </c:pt>
                      <c:pt idx="30">
                        <c:v>100.4</c:v>
                      </c:pt>
                      <c:pt idx="31">
                        <c:v>102.4</c:v>
                      </c:pt>
                      <c:pt idx="32">
                        <c:v>103.1</c:v>
                      </c:pt>
                      <c:pt idx="33">
                        <c:v>103.4</c:v>
                      </c:pt>
                      <c:pt idx="34">
                        <c:v>103.7</c:v>
                      </c:pt>
                      <c:pt idx="35">
                        <c:v>104.1</c:v>
                      </c:pt>
                      <c:pt idx="36">
                        <c:v>106.9</c:v>
                      </c:pt>
                      <c:pt idx="37">
                        <c:v>109.2</c:v>
                      </c:pt>
                      <c:pt idx="38">
                        <c:v>113.1</c:v>
                      </c:pt>
                      <c:pt idx="39">
                        <c:v>113.6</c:v>
                      </c:pt>
                      <c:pt idx="40">
                        <c:v>114</c:v>
                      </c:pt>
                      <c:pt idx="41">
                        <c:v>114.2</c:v>
                      </c:pt>
                      <c:pt idx="42">
                        <c:v>114.4</c:v>
                      </c:pt>
                      <c:pt idx="43">
                        <c:v>114.6</c:v>
                      </c:pt>
                      <c:pt idx="44">
                        <c:v>114.8</c:v>
                      </c:pt>
                      <c:pt idx="45">
                        <c:v>115</c:v>
                      </c:pt>
                      <c:pt idx="46">
                        <c:v>115.1</c:v>
                      </c:pt>
                      <c:pt idx="47">
                        <c:v>115.3</c:v>
                      </c:pt>
                      <c:pt idx="48">
                        <c:v>115.5</c:v>
                      </c:pt>
                      <c:pt idx="49">
                        <c:v>117.2</c:v>
                      </c:pt>
                      <c:pt idx="50">
                        <c:v>117.9</c:v>
                      </c:pt>
                      <c:pt idx="51">
                        <c:v>118.3</c:v>
                      </c:pt>
                      <c:pt idx="52">
                        <c:v>118.7</c:v>
                      </c:pt>
                      <c:pt idx="53">
                        <c:v>118.9</c:v>
                      </c:pt>
                      <c:pt idx="54">
                        <c:v>119.3</c:v>
                      </c:pt>
                      <c:pt idx="55">
                        <c:v>119.8</c:v>
                      </c:pt>
                      <c:pt idx="56">
                        <c:v>120.3</c:v>
                      </c:pt>
                      <c:pt idx="57">
                        <c:v>120.7</c:v>
                      </c:pt>
                      <c:pt idx="58">
                        <c:v>122.9</c:v>
                      </c:pt>
                      <c:pt idx="59">
                        <c:v>124.1</c:v>
                      </c:pt>
                      <c:pt idx="60">
                        <c:v>126.6</c:v>
                      </c:pt>
                      <c:pt idx="61">
                        <c:v>127.2</c:v>
                      </c:pt>
                      <c:pt idx="62">
                        <c:v>127.6</c:v>
                      </c:pt>
                      <c:pt idx="63">
                        <c:v>127.9</c:v>
                      </c:pt>
                      <c:pt idx="64">
                        <c:v>128.1</c:v>
                      </c:pt>
                      <c:pt idx="65">
                        <c:v>128.30000000000001</c:v>
                      </c:pt>
                      <c:pt idx="66">
                        <c:v>128.5</c:v>
                      </c:pt>
                      <c:pt idx="67">
                        <c:v>130.5</c:v>
                      </c:pt>
                      <c:pt idx="68">
                        <c:v>133.30000000000001</c:v>
                      </c:pt>
                      <c:pt idx="69">
                        <c:v>134</c:v>
                      </c:pt>
                      <c:pt idx="70">
                        <c:v>134.69999999999999</c:v>
                      </c:pt>
                      <c:pt idx="71">
                        <c:v>135.6</c:v>
                      </c:pt>
                      <c:pt idx="72">
                        <c:v>138.30000000000001</c:v>
                      </c:pt>
                      <c:pt idx="73">
                        <c:v>139.19999999999999</c:v>
                      </c:pt>
                      <c:pt idx="74">
                        <c:v>141</c:v>
                      </c:pt>
                      <c:pt idx="75">
                        <c:v>141.6</c:v>
                      </c:pt>
                      <c:pt idx="76">
                        <c:v>143.4</c:v>
                      </c:pt>
                      <c:pt idx="77">
                        <c:v>144.19999999999999</c:v>
                      </c:pt>
                      <c:pt idx="78">
                        <c:v>145.4</c:v>
                      </c:pt>
                      <c:pt idx="79">
                        <c:v>146.19999999999999</c:v>
                      </c:pt>
                      <c:pt idx="80">
                        <c:v>147.4</c:v>
                      </c:pt>
                      <c:pt idx="81">
                        <c:v>151.4</c:v>
                      </c:pt>
                      <c:pt idx="82">
                        <c:v>152.1</c:v>
                      </c:pt>
                      <c:pt idx="83">
                        <c:v>152.5</c:v>
                      </c:pt>
                      <c:pt idx="84">
                        <c:v>152.9</c:v>
                      </c:pt>
                      <c:pt idx="85">
                        <c:v>154.9</c:v>
                      </c:pt>
                      <c:pt idx="86">
                        <c:v>158.69999999999999</c:v>
                      </c:pt>
                      <c:pt idx="87">
                        <c:v>160.6</c:v>
                      </c:pt>
                      <c:pt idx="88">
                        <c:v>162.9</c:v>
                      </c:pt>
                      <c:pt idx="89">
                        <c:v>165.6</c:v>
                      </c:pt>
                      <c:pt idx="90">
                        <c:v>166.8</c:v>
                      </c:pt>
                      <c:pt idx="91">
                        <c:v>169.5</c:v>
                      </c:pt>
                      <c:pt idx="92">
                        <c:v>173.8</c:v>
                      </c:pt>
                      <c:pt idx="93">
                        <c:v>175.1</c:v>
                      </c:pt>
                      <c:pt idx="94">
                        <c:v>178.3</c:v>
                      </c:pt>
                      <c:pt idx="95">
                        <c:v>182.9</c:v>
                      </c:pt>
                      <c:pt idx="96">
                        <c:v>188.5</c:v>
                      </c:pt>
                      <c:pt idx="97">
                        <c:v>196.3</c:v>
                      </c:pt>
                      <c:pt idx="98">
                        <c:v>203.7</c:v>
                      </c:pt>
                      <c:pt idx="99">
                        <c:v>218.3</c:v>
                      </c:pt>
                      <c:pt idx="100">
                        <c:v>232.9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BE01-40AB-AC9A-34C66892D7BE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HS Products'!$G$72</c15:sqref>
                        </c15:formulaRef>
                      </c:ext>
                    </c:extLst>
                    <c:strCache>
                      <c:ptCount val="1"/>
                      <c:pt idx="0">
                        <c:v>160-250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HS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HS Products'!$G$73:$G$173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97.5</c:v>
                      </c:pt>
                      <c:pt idx="1">
                        <c:v>101.8</c:v>
                      </c:pt>
                      <c:pt idx="2">
                        <c:v>112.9</c:v>
                      </c:pt>
                      <c:pt idx="3">
                        <c:v>117.3</c:v>
                      </c:pt>
                      <c:pt idx="4">
                        <c:v>122.2</c:v>
                      </c:pt>
                      <c:pt idx="5">
                        <c:v>126.4</c:v>
                      </c:pt>
                      <c:pt idx="6">
                        <c:v>127.2</c:v>
                      </c:pt>
                      <c:pt idx="7">
                        <c:v>133.30000000000001</c:v>
                      </c:pt>
                      <c:pt idx="8">
                        <c:v>135.80000000000001</c:v>
                      </c:pt>
                      <c:pt idx="9">
                        <c:v>139.9</c:v>
                      </c:pt>
                      <c:pt idx="10">
                        <c:v>141</c:v>
                      </c:pt>
                      <c:pt idx="11">
                        <c:v>143.30000000000001</c:v>
                      </c:pt>
                      <c:pt idx="12">
                        <c:v>145</c:v>
                      </c:pt>
                      <c:pt idx="13">
                        <c:v>146.5</c:v>
                      </c:pt>
                      <c:pt idx="14">
                        <c:v>150.6</c:v>
                      </c:pt>
                      <c:pt idx="15">
                        <c:v>151.69999999999999</c:v>
                      </c:pt>
                      <c:pt idx="16">
                        <c:v>152.1</c:v>
                      </c:pt>
                      <c:pt idx="17">
                        <c:v>152.5</c:v>
                      </c:pt>
                      <c:pt idx="18">
                        <c:v>155.80000000000001</c:v>
                      </c:pt>
                      <c:pt idx="19">
                        <c:v>158.30000000000001</c:v>
                      </c:pt>
                      <c:pt idx="20">
                        <c:v>160</c:v>
                      </c:pt>
                      <c:pt idx="21">
                        <c:v>161.4</c:v>
                      </c:pt>
                      <c:pt idx="22">
                        <c:v>162.80000000000001</c:v>
                      </c:pt>
                      <c:pt idx="23">
                        <c:v>163.5</c:v>
                      </c:pt>
                      <c:pt idx="24">
                        <c:v>165.9</c:v>
                      </c:pt>
                      <c:pt idx="25">
                        <c:v>166.6</c:v>
                      </c:pt>
                      <c:pt idx="26">
                        <c:v>167</c:v>
                      </c:pt>
                      <c:pt idx="27">
                        <c:v>168.1</c:v>
                      </c:pt>
                      <c:pt idx="28">
                        <c:v>169.8</c:v>
                      </c:pt>
                      <c:pt idx="29">
                        <c:v>170.5</c:v>
                      </c:pt>
                      <c:pt idx="30">
                        <c:v>172.6</c:v>
                      </c:pt>
                      <c:pt idx="31">
                        <c:v>174.7</c:v>
                      </c:pt>
                      <c:pt idx="32">
                        <c:v>175.3</c:v>
                      </c:pt>
                      <c:pt idx="33">
                        <c:v>175.7</c:v>
                      </c:pt>
                      <c:pt idx="34">
                        <c:v>176</c:v>
                      </c:pt>
                      <c:pt idx="35">
                        <c:v>176.9</c:v>
                      </c:pt>
                      <c:pt idx="36">
                        <c:v>178.3</c:v>
                      </c:pt>
                      <c:pt idx="37">
                        <c:v>180.1</c:v>
                      </c:pt>
                      <c:pt idx="38">
                        <c:v>180.9</c:v>
                      </c:pt>
                      <c:pt idx="39">
                        <c:v>182.3</c:v>
                      </c:pt>
                      <c:pt idx="40">
                        <c:v>183.4</c:v>
                      </c:pt>
                      <c:pt idx="41">
                        <c:v>184.4</c:v>
                      </c:pt>
                      <c:pt idx="42">
                        <c:v>185.3</c:v>
                      </c:pt>
                      <c:pt idx="43">
                        <c:v>186.8</c:v>
                      </c:pt>
                      <c:pt idx="44">
                        <c:v>188.5</c:v>
                      </c:pt>
                      <c:pt idx="45">
                        <c:v>189.3</c:v>
                      </c:pt>
                      <c:pt idx="46">
                        <c:v>189.9</c:v>
                      </c:pt>
                      <c:pt idx="47">
                        <c:v>190.7</c:v>
                      </c:pt>
                      <c:pt idx="48">
                        <c:v>192.4</c:v>
                      </c:pt>
                      <c:pt idx="49">
                        <c:v>194.3</c:v>
                      </c:pt>
                      <c:pt idx="50">
                        <c:v>195.4</c:v>
                      </c:pt>
                      <c:pt idx="51">
                        <c:v>196.8</c:v>
                      </c:pt>
                      <c:pt idx="52">
                        <c:v>197.4</c:v>
                      </c:pt>
                      <c:pt idx="53">
                        <c:v>197.7</c:v>
                      </c:pt>
                      <c:pt idx="54">
                        <c:v>198</c:v>
                      </c:pt>
                      <c:pt idx="55">
                        <c:v>198.5</c:v>
                      </c:pt>
                      <c:pt idx="56">
                        <c:v>200.7</c:v>
                      </c:pt>
                      <c:pt idx="57">
                        <c:v>201.9</c:v>
                      </c:pt>
                      <c:pt idx="58">
                        <c:v>203.1</c:v>
                      </c:pt>
                      <c:pt idx="59">
                        <c:v>203.7</c:v>
                      </c:pt>
                      <c:pt idx="60">
                        <c:v>204.5</c:v>
                      </c:pt>
                      <c:pt idx="61">
                        <c:v>205.3</c:v>
                      </c:pt>
                      <c:pt idx="62">
                        <c:v>206.2</c:v>
                      </c:pt>
                      <c:pt idx="63">
                        <c:v>207.4</c:v>
                      </c:pt>
                      <c:pt idx="64">
                        <c:v>208.4</c:v>
                      </c:pt>
                      <c:pt idx="65">
                        <c:v>209.6</c:v>
                      </c:pt>
                      <c:pt idx="66">
                        <c:v>210.9</c:v>
                      </c:pt>
                      <c:pt idx="67">
                        <c:v>211.9</c:v>
                      </c:pt>
                      <c:pt idx="68">
                        <c:v>213.2</c:v>
                      </c:pt>
                      <c:pt idx="69">
                        <c:v>214.4</c:v>
                      </c:pt>
                      <c:pt idx="70">
                        <c:v>216</c:v>
                      </c:pt>
                      <c:pt idx="71">
                        <c:v>217</c:v>
                      </c:pt>
                      <c:pt idx="72">
                        <c:v>217.5</c:v>
                      </c:pt>
                      <c:pt idx="73">
                        <c:v>217.9</c:v>
                      </c:pt>
                      <c:pt idx="74">
                        <c:v>218.9</c:v>
                      </c:pt>
                      <c:pt idx="75">
                        <c:v>220</c:v>
                      </c:pt>
                      <c:pt idx="76">
                        <c:v>220.8</c:v>
                      </c:pt>
                      <c:pt idx="77">
                        <c:v>222.3</c:v>
                      </c:pt>
                      <c:pt idx="78">
                        <c:v>223.8</c:v>
                      </c:pt>
                      <c:pt idx="79">
                        <c:v>225.5</c:v>
                      </c:pt>
                      <c:pt idx="80">
                        <c:v>226.8</c:v>
                      </c:pt>
                      <c:pt idx="81">
                        <c:v>228.3</c:v>
                      </c:pt>
                      <c:pt idx="82">
                        <c:v>229.6</c:v>
                      </c:pt>
                      <c:pt idx="83">
                        <c:v>230.8</c:v>
                      </c:pt>
                      <c:pt idx="84">
                        <c:v>232.1</c:v>
                      </c:pt>
                      <c:pt idx="85">
                        <c:v>234.4</c:v>
                      </c:pt>
                      <c:pt idx="86">
                        <c:v>236</c:v>
                      </c:pt>
                      <c:pt idx="87">
                        <c:v>236.6</c:v>
                      </c:pt>
                      <c:pt idx="88">
                        <c:v>237.7</c:v>
                      </c:pt>
                      <c:pt idx="89">
                        <c:v>240</c:v>
                      </c:pt>
                      <c:pt idx="90">
                        <c:v>242.9</c:v>
                      </c:pt>
                      <c:pt idx="91">
                        <c:v>245.8</c:v>
                      </c:pt>
                      <c:pt idx="92">
                        <c:v>248.6</c:v>
                      </c:pt>
                      <c:pt idx="93">
                        <c:v>251.5</c:v>
                      </c:pt>
                      <c:pt idx="94">
                        <c:v>254.6</c:v>
                      </c:pt>
                      <c:pt idx="95">
                        <c:v>256.7</c:v>
                      </c:pt>
                      <c:pt idx="96">
                        <c:v>262.3</c:v>
                      </c:pt>
                      <c:pt idx="97">
                        <c:v>267.60000000000002</c:v>
                      </c:pt>
                      <c:pt idx="98">
                        <c:v>273.89999999999998</c:v>
                      </c:pt>
                      <c:pt idx="99">
                        <c:v>287.2</c:v>
                      </c:pt>
                      <c:pt idx="100">
                        <c:v>298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01-40AB-AC9A-34C66892D7BE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HS Products'!$H$72</c15:sqref>
                        </c15:formulaRef>
                      </c:ext>
                    </c:extLst>
                    <c:strCache>
                      <c:ptCount val="1"/>
                      <c:pt idx="0">
                        <c:v>250-360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HS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HS Products'!$H$73:$H$173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212.9</c:v>
                      </c:pt>
                      <c:pt idx="1">
                        <c:v>219.2</c:v>
                      </c:pt>
                      <c:pt idx="2">
                        <c:v>227.6</c:v>
                      </c:pt>
                      <c:pt idx="3">
                        <c:v>232.2</c:v>
                      </c:pt>
                      <c:pt idx="4">
                        <c:v>235.8</c:v>
                      </c:pt>
                      <c:pt idx="5">
                        <c:v>238.7</c:v>
                      </c:pt>
                      <c:pt idx="6">
                        <c:v>242.4</c:v>
                      </c:pt>
                      <c:pt idx="7">
                        <c:v>245.6</c:v>
                      </c:pt>
                      <c:pt idx="8">
                        <c:v>248.2</c:v>
                      </c:pt>
                      <c:pt idx="9">
                        <c:v>250.4</c:v>
                      </c:pt>
                      <c:pt idx="10">
                        <c:v>252.5</c:v>
                      </c:pt>
                      <c:pt idx="11">
                        <c:v>254.5</c:v>
                      </c:pt>
                      <c:pt idx="12">
                        <c:v>255.5</c:v>
                      </c:pt>
                      <c:pt idx="13">
                        <c:v>256.5</c:v>
                      </c:pt>
                      <c:pt idx="14">
                        <c:v>258</c:v>
                      </c:pt>
                      <c:pt idx="15">
                        <c:v>259.89999999999998</c:v>
                      </c:pt>
                      <c:pt idx="16">
                        <c:v>261.8</c:v>
                      </c:pt>
                      <c:pt idx="17">
                        <c:v>263.60000000000002</c:v>
                      </c:pt>
                      <c:pt idx="18">
                        <c:v>265</c:v>
                      </c:pt>
                      <c:pt idx="19">
                        <c:v>266.2</c:v>
                      </c:pt>
                      <c:pt idx="20">
                        <c:v>267.3</c:v>
                      </c:pt>
                      <c:pt idx="21">
                        <c:v>268.7</c:v>
                      </c:pt>
                      <c:pt idx="22">
                        <c:v>270.10000000000002</c:v>
                      </c:pt>
                      <c:pt idx="23">
                        <c:v>271.60000000000002</c:v>
                      </c:pt>
                      <c:pt idx="24">
                        <c:v>272.60000000000002</c:v>
                      </c:pt>
                      <c:pt idx="25">
                        <c:v>273.3</c:v>
                      </c:pt>
                      <c:pt idx="26">
                        <c:v>274.10000000000002</c:v>
                      </c:pt>
                      <c:pt idx="27">
                        <c:v>275.2</c:v>
                      </c:pt>
                      <c:pt idx="28">
                        <c:v>276.60000000000002</c:v>
                      </c:pt>
                      <c:pt idx="29">
                        <c:v>278.10000000000002</c:v>
                      </c:pt>
                      <c:pt idx="30">
                        <c:v>279.5</c:v>
                      </c:pt>
                      <c:pt idx="31">
                        <c:v>280.7</c:v>
                      </c:pt>
                      <c:pt idx="32">
                        <c:v>281.8</c:v>
                      </c:pt>
                      <c:pt idx="33">
                        <c:v>282.89999999999998</c:v>
                      </c:pt>
                      <c:pt idx="34">
                        <c:v>283.89999999999998</c:v>
                      </c:pt>
                      <c:pt idx="35">
                        <c:v>285</c:v>
                      </c:pt>
                      <c:pt idx="36">
                        <c:v>286.2</c:v>
                      </c:pt>
                      <c:pt idx="37">
                        <c:v>287.5</c:v>
                      </c:pt>
                      <c:pt idx="38">
                        <c:v>288.5</c:v>
                      </c:pt>
                      <c:pt idx="39">
                        <c:v>289.2</c:v>
                      </c:pt>
                      <c:pt idx="40">
                        <c:v>289.8</c:v>
                      </c:pt>
                      <c:pt idx="41">
                        <c:v>290.39999999999998</c:v>
                      </c:pt>
                      <c:pt idx="42">
                        <c:v>291.39999999999998</c:v>
                      </c:pt>
                      <c:pt idx="43">
                        <c:v>292.7</c:v>
                      </c:pt>
                      <c:pt idx="44">
                        <c:v>293.89999999999998</c:v>
                      </c:pt>
                      <c:pt idx="45">
                        <c:v>295.2</c:v>
                      </c:pt>
                      <c:pt idx="46">
                        <c:v>296.3</c:v>
                      </c:pt>
                      <c:pt idx="47">
                        <c:v>297.2</c:v>
                      </c:pt>
                      <c:pt idx="48">
                        <c:v>298.2</c:v>
                      </c:pt>
                      <c:pt idx="49">
                        <c:v>299.2</c:v>
                      </c:pt>
                      <c:pt idx="50">
                        <c:v>300.10000000000002</c:v>
                      </c:pt>
                      <c:pt idx="51">
                        <c:v>301.3</c:v>
                      </c:pt>
                      <c:pt idx="52">
                        <c:v>302.39999999999998</c:v>
                      </c:pt>
                      <c:pt idx="53">
                        <c:v>303.39999999999998</c:v>
                      </c:pt>
                      <c:pt idx="54">
                        <c:v>304.2</c:v>
                      </c:pt>
                      <c:pt idx="55">
                        <c:v>304.8</c:v>
                      </c:pt>
                      <c:pt idx="56">
                        <c:v>305.39999999999998</c:v>
                      </c:pt>
                      <c:pt idx="57">
                        <c:v>306</c:v>
                      </c:pt>
                      <c:pt idx="58">
                        <c:v>306.8</c:v>
                      </c:pt>
                      <c:pt idx="59">
                        <c:v>307.89999999999998</c:v>
                      </c:pt>
                      <c:pt idx="60">
                        <c:v>309.10000000000002</c:v>
                      </c:pt>
                      <c:pt idx="61">
                        <c:v>310.2</c:v>
                      </c:pt>
                      <c:pt idx="62">
                        <c:v>311.2</c:v>
                      </c:pt>
                      <c:pt idx="63">
                        <c:v>312.10000000000002</c:v>
                      </c:pt>
                      <c:pt idx="64">
                        <c:v>313.2</c:v>
                      </c:pt>
                      <c:pt idx="65">
                        <c:v>314.3</c:v>
                      </c:pt>
                      <c:pt idx="66">
                        <c:v>315.39999999999998</c:v>
                      </c:pt>
                      <c:pt idx="67">
                        <c:v>316.7</c:v>
                      </c:pt>
                      <c:pt idx="68">
                        <c:v>317.89999999999998</c:v>
                      </c:pt>
                      <c:pt idx="69">
                        <c:v>318.7</c:v>
                      </c:pt>
                      <c:pt idx="70">
                        <c:v>319.3</c:v>
                      </c:pt>
                      <c:pt idx="71">
                        <c:v>320.2</c:v>
                      </c:pt>
                      <c:pt idx="72">
                        <c:v>321.39999999999998</c:v>
                      </c:pt>
                      <c:pt idx="73">
                        <c:v>322.89999999999998</c:v>
                      </c:pt>
                      <c:pt idx="74">
                        <c:v>324.2</c:v>
                      </c:pt>
                      <c:pt idx="75">
                        <c:v>325.5</c:v>
                      </c:pt>
                      <c:pt idx="76">
                        <c:v>326.8</c:v>
                      </c:pt>
                      <c:pt idx="77">
                        <c:v>328.2</c:v>
                      </c:pt>
                      <c:pt idx="78">
                        <c:v>329.7</c:v>
                      </c:pt>
                      <c:pt idx="79">
                        <c:v>331.3</c:v>
                      </c:pt>
                      <c:pt idx="80">
                        <c:v>332.3</c:v>
                      </c:pt>
                      <c:pt idx="81">
                        <c:v>333.3</c:v>
                      </c:pt>
                      <c:pt idx="82">
                        <c:v>334.9</c:v>
                      </c:pt>
                      <c:pt idx="83">
                        <c:v>336.9</c:v>
                      </c:pt>
                      <c:pt idx="84">
                        <c:v>338.8</c:v>
                      </c:pt>
                      <c:pt idx="85">
                        <c:v>340.7</c:v>
                      </c:pt>
                      <c:pt idx="86">
                        <c:v>342.9</c:v>
                      </c:pt>
                      <c:pt idx="87">
                        <c:v>345</c:v>
                      </c:pt>
                      <c:pt idx="88">
                        <c:v>346.2</c:v>
                      </c:pt>
                      <c:pt idx="89">
                        <c:v>348.4</c:v>
                      </c:pt>
                      <c:pt idx="90">
                        <c:v>351</c:v>
                      </c:pt>
                      <c:pt idx="91">
                        <c:v>353.7</c:v>
                      </c:pt>
                      <c:pt idx="92">
                        <c:v>356.6</c:v>
                      </c:pt>
                      <c:pt idx="93">
                        <c:v>358.9</c:v>
                      </c:pt>
                      <c:pt idx="94">
                        <c:v>362.6</c:v>
                      </c:pt>
                      <c:pt idx="95">
                        <c:v>366.8</c:v>
                      </c:pt>
                      <c:pt idx="96">
                        <c:v>370.6</c:v>
                      </c:pt>
                      <c:pt idx="97">
                        <c:v>376.6</c:v>
                      </c:pt>
                      <c:pt idx="98">
                        <c:v>383.7</c:v>
                      </c:pt>
                      <c:pt idx="99">
                        <c:v>395.1</c:v>
                      </c:pt>
                      <c:pt idx="100">
                        <c:v>405.2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01-40AB-AC9A-34C66892D7B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HS Products'!$J$72</c15:sqref>
                        </c15:formulaRef>
                      </c:ext>
                    </c:extLst>
                    <c:strCache>
                      <c:ptCount val="1"/>
                      <c:pt idx="0">
                        <c:v>360-560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HS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HS Products'!$J$73:$J$173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316.39999999999998</c:v>
                      </c:pt>
                      <c:pt idx="1">
                        <c:v>322.3</c:v>
                      </c:pt>
                      <c:pt idx="2">
                        <c:v>329.8</c:v>
                      </c:pt>
                      <c:pt idx="3">
                        <c:v>335.6</c:v>
                      </c:pt>
                      <c:pt idx="4">
                        <c:v>339.9</c:v>
                      </c:pt>
                      <c:pt idx="5">
                        <c:v>344.1</c:v>
                      </c:pt>
                      <c:pt idx="6">
                        <c:v>348.2</c:v>
                      </c:pt>
                      <c:pt idx="7">
                        <c:v>351.6</c:v>
                      </c:pt>
                      <c:pt idx="8">
                        <c:v>354.8</c:v>
                      </c:pt>
                      <c:pt idx="9">
                        <c:v>358.2</c:v>
                      </c:pt>
                      <c:pt idx="10">
                        <c:v>361.4</c:v>
                      </c:pt>
                      <c:pt idx="11">
                        <c:v>364</c:v>
                      </c:pt>
                      <c:pt idx="12">
                        <c:v>366.8</c:v>
                      </c:pt>
                      <c:pt idx="13">
                        <c:v>369.8</c:v>
                      </c:pt>
                      <c:pt idx="14">
                        <c:v>372.5</c:v>
                      </c:pt>
                      <c:pt idx="15">
                        <c:v>375.1</c:v>
                      </c:pt>
                      <c:pt idx="16">
                        <c:v>377</c:v>
                      </c:pt>
                      <c:pt idx="17">
                        <c:v>379.9</c:v>
                      </c:pt>
                      <c:pt idx="18">
                        <c:v>382.4</c:v>
                      </c:pt>
                      <c:pt idx="19">
                        <c:v>385</c:v>
                      </c:pt>
                      <c:pt idx="20">
                        <c:v>387.2</c:v>
                      </c:pt>
                      <c:pt idx="21">
                        <c:v>389</c:v>
                      </c:pt>
                      <c:pt idx="22">
                        <c:v>391.5</c:v>
                      </c:pt>
                      <c:pt idx="23">
                        <c:v>393.4</c:v>
                      </c:pt>
                      <c:pt idx="24">
                        <c:v>395.4</c:v>
                      </c:pt>
                      <c:pt idx="25">
                        <c:v>397</c:v>
                      </c:pt>
                      <c:pt idx="26">
                        <c:v>398.3</c:v>
                      </c:pt>
                      <c:pt idx="27">
                        <c:v>400.3</c:v>
                      </c:pt>
                      <c:pt idx="28">
                        <c:v>402.2</c:v>
                      </c:pt>
                      <c:pt idx="29">
                        <c:v>404</c:v>
                      </c:pt>
                      <c:pt idx="30">
                        <c:v>405.6</c:v>
                      </c:pt>
                      <c:pt idx="31">
                        <c:v>406.9</c:v>
                      </c:pt>
                      <c:pt idx="32">
                        <c:v>408.8</c:v>
                      </c:pt>
                      <c:pt idx="33">
                        <c:v>410.5</c:v>
                      </c:pt>
                      <c:pt idx="34">
                        <c:v>412.2</c:v>
                      </c:pt>
                      <c:pt idx="35">
                        <c:v>414.5</c:v>
                      </c:pt>
                      <c:pt idx="36">
                        <c:v>416.2</c:v>
                      </c:pt>
                      <c:pt idx="37">
                        <c:v>418.5</c:v>
                      </c:pt>
                      <c:pt idx="38">
                        <c:v>420.8</c:v>
                      </c:pt>
                      <c:pt idx="39">
                        <c:v>423.1</c:v>
                      </c:pt>
                      <c:pt idx="40">
                        <c:v>425.4</c:v>
                      </c:pt>
                      <c:pt idx="41">
                        <c:v>427.1</c:v>
                      </c:pt>
                      <c:pt idx="42">
                        <c:v>429.4</c:v>
                      </c:pt>
                      <c:pt idx="43">
                        <c:v>431.5</c:v>
                      </c:pt>
                      <c:pt idx="44">
                        <c:v>433.2</c:v>
                      </c:pt>
                      <c:pt idx="45">
                        <c:v>434.8</c:v>
                      </c:pt>
                      <c:pt idx="46">
                        <c:v>436.1</c:v>
                      </c:pt>
                      <c:pt idx="47">
                        <c:v>437.7</c:v>
                      </c:pt>
                      <c:pt idx="48">
                        <c:v>439.4</c:v>
                      </c:pt>
                      <c:pt idx="49">
                        <c:v>441</c:v>
                      </c:pt>
                      <c:pt idx="50">
                        <c:v>442.6</c:v>
                      </c:pt>
                      <c:pt idx="51">
                        <c:v>443.9</c:v>
                      </c:pt>
                      <c:pt idx="52">
                        <c:v>445.6</c:v>
                      </c:pt>
                      <c:pt idx="53">
                        <c:v>447.3</c:v>
                      </c:pt>
                      <c:pt idx="54">
                        <c:v>448.9</c:v>
                      </c:pt>
                      <c:pt idx="55">
                        <c:v>451.2</c:v>
                      </c:pt>
                      <c:pt idx="56">
                        <c:v>453.5</c:v>
                      </c:pt>
                      <c:pt idx="57">
                        <c:v>456</c:v>
                      </c:pt>
                      <c:pt idx="58">
                        <c:v>458.5</c:v>
                      </c:pt>
                      <c:pt idx="59">
                        <c:v>461</c:v>
                      </c:pt>
                      <c:pt idx="60">
                        <c:v>463.2</c:v>
                      </c:pt>
                      <c:pt idx="61">
                        <c:v>465.7</c:v>
                      </c:pt>
                      <c:pt idx="62">
                        <c:v>467.5</c:v>
                      </c:pt>
                      <c:pt idx="63">
                        <c:v>469.3</c:v>
                      </c:pt>
                      <c:pt idx="64">
                        <c:v>470.9</c:v>
                      </c:pt>
                      <c:pt idx="65">
                        <c:v>472.7</c:v>
                      </c:pt>
                      <c:pt idx="66">
                        <c:v>474.5</c:v>
                      </c:pt>
                      <c:pt idx="67">
                        <c:v>476.3</c:v>
                      </c:pt>
                      <c:pt idx="68">
                        <c:v>477.9</c:v>
                      </c:pt>
                      <c:pt idx="69">
                        <c:v>479.7</c:v>
                      </c:pt>
                      <c:pt idx="70">
                        <c:v>481.7</c:v>
                      </c:pt>
                      <c:pt idx="71">
                        <c:v>484.1</c:v>
                      </c:pt>
                      <c:pt idx="72">
                        <c:v>486.3</c:v>
                      </c:pt>
                      <c:pt idx="73">
                        <c:v>488.7</c:v>
                      </c:pt>
                      <c:pt idx="74">
                        <c:v>491.1</c:v>
                      </c:pt>
                      <c:pt idx="75">
                        <c:v>493.4</c:v>
                      </c:pt>
                      <c:pt idx="76">
                        <c:v>495.8</c:v>
                      </c:pt>
                      <c:pt idx="77">
                        <c:v>497.7</c:v>
                      </c:pt>
                      <c:pt idx="78">
                        <c:v>499.6</c:v>
                      </c:pt>
                      <c:pt idx="79">
                        <c:v>501.4</c:v>
                      </c:pt>
                      <c:pt idx="80">
                        <c:v>503.2</c:v>
                      </c:pt>
                      <c:pt idx="81">
                        <c:v>505.1</c:v>
                      </c:pt>
                      <c:pt idx="82">
                        <c:v>507</c:v>
                      </c:pt>
                      <c:pt idx="83">
                        <c:v>509.1</c:v>
                      </c:pt>
                      <c:pt idx="84">
                        <c:v>511.6</c:v>
                      </c:pt>
                      <c:pt idx="85">
                        <c:v>514.1</c:v>
                      </c:pt>
                      <c:pt idx="86">
                        <c:v>516.79999999999995</c:v>
                      </c:pt>
                      <c:pt idx="87">
                        <c:v>519.5</c:v>
                      </c:pt>
                      <c:pt idx="88">
                        <c:v>522.29999999999995</c:v>
                      </c:pt>
                      <c:pt idx="89">
                        <c:v>524.79999999999995</c:v>
                      </c:pt>
                      <c:pt idx="90">
                        <c:v>527.29999999999995</c:v>
                      </c:pt>
                      <c:pt idx="91">
                        <c:v>530.1</c:v>
                      </c:pt>
                      <c:pt idx="92">
                        <c:v>533</c:v>
                      </c:pt>
                      <c:pt idx="93">
                        <c:v>536.20000000000005</c:v>
                      </c:pt>
                      <c:pt idx="94">
                        <c:v>539.70000000000005</c:v>
                      </c:pt>
                      <c:pt idx="95">
                        <c:v>543.70000000000005</c:v>
                      </c:pt>
                      <c:pt idx="96">
                        <c:v>548.29999999999995</c:v>
                      </c:pt>
                      <c:pt idx="97">
                        <c:v>554</c:v>
                      </c:pt>
                      <c:pt idx="98">
                        <c:v>561.20000000000005</c:v>
                      </c:pt>
                      <c:pt idx="99">
                        <c:v>572.5</c:v>
                      </c:pt>
                      <c:pt idx="100">
                        <c:v>584.20000000000005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01-40AB-AC9A-34C66892D7B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HS Products'!$K$72</c15:sqref>
                        </c15:formulaRef>
                      </c:ext>
                    </c:extLst>
                    <c:strCache>
                      <c:ptCount val="1"/>
                      <c:pt idx="0">
                        <c:v>560+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HS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HS Products'!$K$73:$K$136</c15:sqref>
                        </c15:formulaRef>
                      </c:ext>
                    </c:extLst>
                    <c:numCache>
                      <c:formatCode>General</c:formatCode>
                      <c:ptCount val="64"/>
                      <c:pt idx="0">
                        <c:v>451.5</c:v>
                      </c:pt>
                      <c:pt idx="1">
                        <c:v>503.7</c:v>
                      </c:pt>
                      <c:pt idx="2">
                        <c:v>527.4</c:v>
                      </c:pt>
                      <c:pt idx="3">
                        <c:v>535.9</c:v>
                      </c:pt>
                      <c:pt idx="4">
                        <c:v>542</c:v>
                      </c:pt>
                      <c:pt idx="5">
                        <c:v>546.9</c:v>
                      </c:pt>
                      <c:pt idx="6">
                        <c:v>551</c:v>
                      </c:pt>
                      <c:pt idx="7">
                        <c:v>554.70000000000005</c:v>
                      </c:pt>
                      <c:pt idx="8">
                        <c:v>557.9</c:v>
                      </c:pt>
                      <c:pt idx="9">
                        <c:v>560.79999999999995</c:v>
                      </c:pt>
                      <c:pt idx="10">
                        <c:v>563.6</c:v>
                      </c:pt>
                      <c:pt idx="11">
                        <c:v>566.1</c:v>
                      </c:pt>
                      <c:pt idx="12">
                        <c:v>568.4</c:v>
                      </c:pt>
                      <c:pt idx="13">
                        <c:v>570.5</c:v>
                      </c:pt>
                      <c:pt idx="14">
                        <c:v>572.6</c:v>
                      </c:pt>
                      <c:pt idx="15">
                        <c:v>574.6</c:v>
                      </c:pt>
                      <c:pt idx="16">
                        <c:v>576.70000000000005</c:v>
                      </c:pt>
                      <c:pt idx="17">
                        <c:v>578.70000000000005</c:v>
                      </c:pt>
                      <c:pt idx="18">
                        <c:v>580.6</c:v>
                      </c:pt>
                      <c:pt idx="19">
                        <c:v>582.6</c:v>
                      </c:pt>
                      <c:pt idx="20">
                        <c:v>584.5</c:v>
                      </c:pt>
                      <c:pt idx="21">
                        <c:v>586.29999999999995</c:v>
                      </c:pt>
                      <c:pt idx="22">
                        <c:v>588.1</c:v>
                      </c:pt>
                      <c:pt idx="23">
                        <c:v>590</c:v>
                      </c:pt>
                      <c:pt idx="24">
                        <c:v>591.79999999999995</c:v>
                      </c:pt>
                      <c:pt idx="25">
                        <c:v>593.6</c:v>
                      </c:pt>
                      <c:pt idx="26">
                        <c:v>595.29999999999995</c:v>
                      </c:pt>
                      <c:pt idx="27">
                        <c:v>597</c:v>
                      </c:pt>
                      <c:pt idx="28">
                        <c:v>598.79999999999995</c:v>
                      </c:pt>
                      <c:pt idx="29">
                        <c:v>600.6</c:v>
                      </c:pt>
                      <c:pt idx="30">
                        <c:v>602.4</c:v>
                      </c:pt>
                      <c:pt idx="31">
                        <c:v>604.29999999999995</c:v>
                      </c:pt>
                      <c:pt idx="32">
                        <c:v>606.20000000000005</c:v>
                      </c:pt>
                      <c:pt idx="33">
                        <c:v>608.1</c:v>
                      </c:pt>
                      <c:pt idx="34">
                        <c:v>609.9</c:v>
                      </c:pt>
                      <c:pt idx="35">
                        <c:v>611.79999999999995</c:v>
                      </c:pt>
                      <c:pt idx="36">
                        <c:v>613.6</c:v>
                      </c:pt>
                      <c:pt idx="37">
                        <c:v>615.5</c:v>
                      </c:pt>
                      <c:pt idx="38">
                        <c:v>617.5</c:v>
                      </c:pt>
                      <c:pt idx="39">
                        <c:v>619.6</c:v>
                      </c:pt>
                      <c:pt idx="40">
                        <c:v>621.6</c:v>
                      </c:pt>
                      <c:pt idx="41">
                        <c:v>623.70000000000005</c:v>
                      </c:pt>
                      <c:pt idx="42">
                        <c:v>625.70000000000005</c:v>
                      </c:pt>
                      <c:pt idx="43">
                        <c:v>627.79999999999995</c:v>
                      </c:pt>
                      <c:pt idx="44">
                        <c:v>629.9</c:v>
                      </c:pt>
                      <c:pt idx="45">
                        <c:v>632</c:v>
                      </c:pt>
                      <c:pt idx="46">
                        <c:v>634.1</c:v>
                      </c:pt>
                      <c:pt idx="47">
                        <c:v>636.29999999999995</c:v>
                      </c:pt>
                      <c:pt idx="48">
                        <c:v>638.6</c:v>
                      </c:pt>
                      <c:pt idx="49">
                        <c:v>641</c:v>
                      </c:pt>
                      <c:pt idx="50">
                        <c:v>643.5</c:v>
                      </c:pt>
                      <c:pt idx="51">
                        <c:v>646</c:v>
                      </c:pt>
                      <c:pt idx="52">
                        <c:v>648.6</c:v>
                      </c:pt>
                      <c:pt idx="53">
                        <c:v>651.20000000000005</c:v>
                      </c:pt>
                      <c:pt idx="54">
                        <c:v>653.70000000000005</c:v>
                      </c:pt>
                      <c:pt idx="55">
                        <c:v>656.3</c:v>
                      </c:pt>
                      <c:pt idx="56">
                        <c:v>659.2</c:v>
                      </c:pt>
                      <c:pt idx="57">
                        <c:v>662.6</c:v>
                      </c:pt>
                      <c:pt idx="58">
                        <c:v>666.2</c:v>
                      </c:pt>
                      <c:pt idx="59">
                        <c:v>670</c:v>
                      </c:pt>
                      <c:pt idx="60">
                        <c:v>673.3</c:v>
                      </c:pt>
                      <c:pt idx="61">
                        <c:v>677.2</c:v>
                      </c:pt>
                      <c:pt idx="62">
                        <c:v>681.7</c:v>
                      </c:pt>
                      <c:pt idx="63">
                        <c:v>685.8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E01-40AB-AC9A-34C66892D7BE}"/>
                  </c:ext>
                </c:extLst>
              </c15:ser>
            </c15:filteredScatterSeries>
          </c:ext>
        </c:extLst>
      </c:scatterChart>
      <c:valAx>
        <c:axId val="271991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256"/>
        <c:crosses val="autoZero"/>
        <c:crossBetween val="midCat"/>
        <c:majorUnit val="10"/>
      </c:valAx>
      <c:valAx>
        <c:axId val="272082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Boiling Temp (deg.C)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CII (&lt;0.7:</a:t>
            </a:r>
            <a:r>
              <a:rPr lang="en-US" b="1" baseline="0"/>
              <a:t> Stable, &gt; 0.9 Unstable by TLC IP 469)</a:t>
            </a:r>
            <a:r>
              <a:rPr lang="en-US" b="1"/>
              <a:t> </a:t>
            </a:r>
          </a:p>
        </c:rich>
      </c:tx>
      <c:layout>
        <c:manualLayout>
          <c:xMode val="edge"/>
          <c:yMode val="edge"/>
          <c:x val="0.40969353007945514"/>
          <c:y val="4.1237113402061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40889658360316"/>
          <c:y val="0.19611413336704986"/>
          <c:w val="0.68274178989290646"/>
          <c:h val="0.65890051043486697"/>
        </c:manualLayout>
      </c:layout>
      <c:scatterChart>
        <c:scatterStyle val="smoothMarker"/>
        <c:varyColors val="0"/>
        <c:ser>
          <c:idx val="0"/>
          <c:order val="0"/>
          <c:tx>
            <c:v>CII HPS_Commissioing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'HPS DAILY'!$O$6:$U$6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DAILY'!$O$124:$U$124</c:f>
              <c:numCache>
                <c:formatCode>0.00</c:formatCode>
                <c:ptCount val="7"/>
                <c:pt idx="0">
                  <c:v>0.54209000000000007</c:v>
                </c:pt>
                <c:pt idx="1">
                  <c:v>0.52590999999999999</c:v>
                </c:pt>
                <c:pt idx="2">
                  <c:v>0.57391000000000003</c:v>
                </c:pt>
                <c:pt idx="3">
                  <c:v>0.53727999999999998</c:v>
                </c:pt>
                <c:pt idx="4">
                  <c:v>0.55016999999999994</c:v>
                </c:pt>
                <c:pt idx="5">
                  <c:v>0.55549999999999999</c:v>
                </c:pt>
                <c:pt idx="6">
                  <c:v>0.60474000000000006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827-4D75-B83E-A953CEE81114}"/>
            </c:ext>
          </c:extLst>
        </c:ser>
        <c:ser>
          <c:idx val="2"/>
          <c:order val="2"/>
          <c:tx>
            <c:v>CII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'HPS DAILY'!$J$6:$Y$6</c:f>
              <c:strCach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16_1</c:v>
                </c:pt>
              </c:strCache>
            </c:strRef>
          </c:xVal>
          <c:yVal>
            <c:numRef>
              <c:f>'HPS DAILY'!$J$79:$Y$79</c:f>
              <c:numCache>
                <c:formatCode>0.00</c:formatCode>
                <c:ptCount val="16"/>
                <c:pt idx="0">
                  <c:v>0.37174211248285322</c:v>
                </c:pt>
                <c:pt idx="1">
                  <c:v>0.73913043478260865</c:v>
                </c:pt>
                <c:pt idx="2">
                  <c:v>0.71232876712328774</c:v>
                </c:pt>
                <c:pt idx="3">
                  <c:v>0</c:v>
                </c:pt>
                <c:pt idx="4">
                  <c:v>0.37311385459533603</c:v>
                </c:pt>
                <c:pt idx="5">
                  <c:v>0.42389758179231868</c:v>
                </c:pt>
                <c:pt idx="6">
                  <c:v>0.48588410104011892</c:v>
                </c:pt>
                <c:pt idx="7">
                  <c:v>0.55279503105590044</c:v>
                </c:pt>
                <c:pt idx="8">
                  <c:v>0.58730158730158732</c:v>
                </c:pt>
                <c:pt idx="9">
                  <c:v>0.47058823529411764</c:v>
                </c:pt>
                <c:pt idx="10">
                  <c:v>0.44092219020172907</c:v>
                </c:pt>
                <c:pt idx="11">
                  <c:v>0.52439024390243916</c:v>
                </c:pt>
                <c:pt idx="12">
                  <c:v>0.59235668789808915</c:v>
                </c:pt>
                <c:pt idx="13">
                  <c:v>0.61812297734627841</c:v>
                </c:pt>
                <c:pt idx="14">
                  <c:v>0.51975683890577518</c:v>
                </c:pt>
                <c:pt idx="15">
                  <c:v>0.65289256198347112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FA-4107-B048-2316E46A9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CII VR Feed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'HPS DAILY'!$N$119:$X$119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DAILY'!$N$124:$X$124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 formatCode="General">
                        <c:v>0</c:v>
                      </c:pt>
                      <c:pt idx="1">
                        <c:v>0.54209000000000007</c:v>
                      </c:pt>
                      <c:pt idx="2">
                        <c:v>0.52590999999999999</c:v>
                      </c:pt>
                      <c:pt idx="3">
                        <c:v>0.57391000000000003</c:v>
                      </c:pt>
                      <c:pt idx="4">
                        <c:v>0.53727999999999998</c:v>
                      </c:pt>
                      <c:pt idx="5">
                        <c:v>0.55016999999999994</c:v>
                      </c:pt>
                      <c:pt idx="6">
                        <c:v>0.55549999999999999</c:v>
                      </c:pt>
                      <c:pt idx="7">
                        <c:v>0.60474000000000006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0-6827-4D75-B83E-A953CEE81114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 on 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81644138930387"/>
          <c:y val="0.43149626040491162"/>
          <c:w val="0.18620816814211766"/>
          <c:h val="0.116798353703132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SARA by TLC</a:t>
            </a:r>
            <a:r>
              <a:rPr lang="en-US" b="1" baseline="0"/>
              <a:t> FID (IP 469)</a:t>
            </a:r>
            <a:endParaRPr lang="en-US" b="1"/>
          </a:p>
        </c:rich>
      </c:tx>
      <c:layout>
        <c:manualLayout>
          <c:xMode val="edge"/>
          <c:yMode val="edge"/>
          <c:x val="0.40969353007945514"/>
          <c:y val="4.1237113402061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40889658360316"/>
          <c:y val="0.19611413336704986"/>
          <c:w val="0.68274178989290646"/>
          <c:h val="0.65890051043486697"/>
        </c:manualLayout>
      </c:layout>
      <c:scatterChart>
        <c:scatterStyle val="smoothMarker"/>
        <c:varyColors val="0"/>
        <c:ser>
          <c:idx val="1"/>
          <c:order val="0"/>
          <c:tx>
            <c:v>Saturates in HPS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04-4E32-99E0-BE938A97A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'HPS DAILY'!$J$6:$Y$6</c:f>
              <c:strCach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16_1</c:v>
                </c:pt>
              </c:strCache>
            </c:strRef>
          </c:xVal>
          <c:yVal>
            <c:numRef>
              <c:f>'HPS DAILY'!$J$75:$Y$75</c:f>
              <c:numCache>
                <c:formatCode>General</c:formatCode>
                <c:ptCount val="16"/>
                <c:pt idx="0">
                  <c:v>13.8</c:v>
                </c:pt>
                <c:pt idx="1">
                  <c:v>11.4</c:v>
                </c:pt>
                <c:pt idx="2">
                  <c:v>12.4</c:v>
                </c:pt>
                <c:pt idx="4">
                  <c:v>16.7</c:v>
                </c:pt>
                <c:pt idx="5">
                  <c:v>13.2</c:v>
                </c:pt>
                <c:pt idx="6">
                  <c:v>14</c:v>
                </c:pt>
                <c:pt idx="7">
                  <c:v>17.899999999999999</c:v>
                </c:pt>
                <c:pt idx="8">
                  <c:v>13.4</c:v>
                </c:pt>
                <c:pt idx="9">
                  <c:v>13</c:v>
                </c:pt>
                <c:pt idx="10">
                  <c:v>15.8</c:v>
                </c:pt>
                <c:pt idx="11">
                  <c:v>18.3</c:v>
                </c:pt>
                <c:pt idx="12">
                  <c:v>16.899999999999999</c:v>
                </c:pt>
                <c:pt idx="13">
                  <c:v>19.399999999999999</c:v>
                </c:pt>
                <c:pt idx="14">
                  <c:v>18.8</c:v>
                </c:pt>
                <c:pt idx="15">
                  <c:v>18.600000000000001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04-4E32-99E0-BE938A97A8E8}"/>
            </c:ext>
          </c:extLst>
        </c:ser>
        <c:ser>
          <c:idx val="5"/>
          <c:order val="1"/>
          <c:tx>
            <c:v>Aromatics in HPS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04-4E32-99E0-BE938A97A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'HPS DAILY'!$J$6:$Y$6</c:f>
              <c:strCach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16_1</c:v>
                </c:pt>
              </c:strCache>
            </c:strRef>
          </c:xVal>
          <c:yVal>
            <c:numRef>
              <c:f>'HPS DAILY'!$J$76:$Y$76</c:f>
              <c:numCache>
                <c:formatCode>General</c:formatCode>
                <c:ptCount val="16"/>
                <c:pt idx="0">
                  <c:v>68</c:v>
                </c:pt>
                <c:pt idx="1">
                  <c:v>51</c:v>
                </c:pt>
                <c:pt idx="2">
                  <c:v>53.4</c:v>
                </c:pt>
                <c:pt idx="4">
                  <c:v>66.5</c:v>
                </c:pt>
                <c:pt idx="5">
                  <c:v>60.7</c:v>
                </c:pt>
                <c:pt idx="6">
                  <c:v>56.6</c:v>
                </c:pt>
                <c:pt idx="7">
                  <c:v>56.1</c:v>
                </c:pt>
                <c:pt idx="8">
                  <c:v>51.5</c:v>
                </c:pt>
                <c:pt idx="9">
                  <c:v>54.1</c:v>
                </c:pt>
                <c:pt idx="10">
                  <c:v>59.1</c:v>
                </c:pt>
                <c:pt idx="11">
                  <c:v>52</c:v>
                </c:pt>
                <c:pt idx="12">
                  <c:v>52.7</c:v>
                </c:pt>
                <c:pt idx="13">
                  <c:v>53.1</c:v>
                </c:pt>
                <c:pt idx="14">
                  <c:v>58.9</c:v>
                </c:pt>
                <c:pt idx="15">
                  <c:v>51.6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AA04-4E32-99E0-BE938A97A8E8}"/>
            </c:ext>
          </c:extLst>
        </c:ser>
        <c:ser>
          <c:idx val="3"/>
          <c:order val="5"/>
          <c:tx>
            <c:v>Asphaltenes in HPS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strRef>
              <c:f>'HPS DAILY'!$J$6:$Y$6</c:f>
              <c:strCach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16_1</c:v>
                </c:pt>
              </c:strCache>
            </c:strRef>
          </c:xVal>
          <c:yVal>
            <c:numRef>
              <c:f>'HPS DAILY'!$J$78:$Y$78</c:f>
              <c:numCache>
                <c:formatCode>General</c:formatCode>
                <c:ptCount val="16"/>
                <c:pt idx="0">
                  <c:v>13.3</c:v>
                </c:pt>
                <c:pt idx="1">
                  <c:v>31.1</c:v>
                </c:pt>
                <c:pt idx="2">
                  <c:v>29.2</c:v>
                </c:pt>
                <c:pt idx="4">
                  <c:v>10.5</c:v>
                </c:pt>
                <c:pt idx="5">
                  <c:v>16.600000000000001</c:v>
                </c:pt>
                <c:pt idx="6">
                  <c:v>18.7</c:v>
                </c:pt>
                <c:pt idx="7">
                  <c:v>17.7</c:v>
                </c:pt>
                <c:pt idx="8">
                  <c:v>23.6</c:v>
                </c:pt>
                <c:pt idx="9">
                  <c:v>19</c:v>
                </c:pt>
                <c:pt idx="10">
                  <c:v>14.8</c:v>
                </c:pt>
                <c:pt idx="11">
                  <c:v>16.100000000000001</c:v>
                </c:pt>
                <c:pt idx="12">
                  <c:v>20.3</c:v>
                </c:pt>
                <c:pt idx="13">
                  <c:v>18.8</c:v>
                </c:pt>
                <c:pt idx="14">
                  <c:v>15.4</c:v>
                </c:pt>
                <c:pt idx="15">
                  <c:v>20.9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A04-4E32-99E0-BE938A97A8E8}"/>
            </c:ext>
          </c:extLst>
        </c:ser>
        <c:ser>
          <c:idx val="2"/>
          <c:order val="6"/>
          <c:tx>
            <c:v>Resins in HPS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strRef>
              <c:f>'HPS DAILY'!$J$6:$Y$6</c:f>
              <c:strCach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16_1</c:v>
                </c:pt>
              </c:strCache>
            </c:strRef>
          </c:xVal>
          <c:yVal>
            <c:numRef>
              <c:f>'HPS DAILY'!$J$77:$Y$77</c:f>
              <c:numCache>
                <c:formatCode>0.0</c:formatCode>
                <c:ptCount val="16"/>
                <c:pt idx="0" formatCode="General">
                  <c:v>4.9000000000000004</c:v>
                </c:pt>
                <c:pt idx="1">
                  <c:v>6.5</c:v>
                </c:pt>
                <c:pt idx="2" formatCode="General">
                  <c:v>5</c:v>
                </c:pt>
                <c:pt idx="4">
                  <c:v>6.4</c:v>
                </c:pt>
                <c:pt idx="5">
                  <c:v>9.6</c:v>
                </c:pt>
                <c:pt idx="6">
                  <c:v>10.7</c:v>
                </c:pt>
                <c:pt idx="7">
                  <c:v>8.3000000000000007</c:v>
                </c:pt>
                <c:pt idx="8">
                  <c:v>11.5</c:v>
                </c:pt>
                <c:pt idx="9">
                  <c:v>13.9</c:v>
                </c:pt>
                <c:pt idx="10">
                  <c:v>10.3</c:v>
                </c:pt>
                <c:pt idx="11">
                  <c:v>13.6</c:v>
                </c:pt>
                <c:pt idx="12">
                  <c:v>10.1</c:v>
                </c:pt>
                <c:pt idx="13">
                  <c:v>8.6999999999999993</c:v>
                </c:pt>
                <c:pt idx="14">
                  <c:v>6.9</c:v>
                </c:pt>
                <c:pt idx="15" formatCode="General">
                  <c:v>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A04-4E32-99E0-BE938A97A8E8}"/>
            </c:ext>
          </c:extLst>
        </c:ser>
        <c:ser>
          <c:idx val="8"/>
          <c:order val="8"/>
          <c:tx>
            <c:v>Aromatics in HPS_Com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'HPS DAILY'!$O$6:$U$6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DAILY'!$O$121:$U$121</c:f>
              <c:numCache>
                <c:formatCode>General</c:formatCode>
                <c:ptCount val="7"/>
                <c:pt idx="0">
                  <c:v>76.599999999999994</c:v>
                </c:pt>
                <c:pt idx="1">
                  <c:v>72.3</c:v>
                </c:pt>
                <c:pt idx="2">
                  <c:v>68.400000000000006</c:v>
                </c:pt>
                <c:pt idx="3">
                  <c:v>68.2</c:v>
                </c:pt>
                <c:pt idx="4">
                  <c:v>66.599999999999994</c:v>
                </c:pt>
                <c:pt idx="5">
                  <c:v>68.7</c:v>
                </c:pt>
                <c:pt idx="6">
                  <c:v>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DC-4317-B3FE-957E4A63D405}"/>
            </c:ext>
          </c:extLst>
        </c:ser>
        <c:ser>
          <c:idx val="9"/>
          <c:order val="9"/>
          <c:tx>
            <c:v>Asphaltene in HPS_Com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'HPS DAILY'!$O$6:$U$6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DAILY'!$O$123:$U$123</c:f>
              <c:numCache>
                <c:formatCode>General</c:formatCode>
                <c:ptCount val="7"/>
                <c:pt idx="0">
                  <c:v>4.7</c:v>
                </c:pt>
                <c:pt idx="1">
                  <c:v>4.5999999999999996</c:v>
                </c:pt>
                <c:pt idx="2">
                  <c:v>6.7</c:v>
                </c:pt>
                <c:pt idx="3">
                  <c:v>7</c:v>
                </c:pt>
                <c:pt idx="4">
                  <c:v>10.3</c:v>
                </c:pt>
                <c:pt idx="5">
                  <c:v>8.3000000000000007</c:v>
                </c:pt>
                <c:pt idx="6">
                  <c:v>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DC-4317-B3FE-957E4A63D405}"/>
            </c:ext>
          </c:extLst>
        </c:ser>
        <c:ser>
          <c:idx val="10"/>
          <c:order val="10"/>
          <c:tx>
            <c:v>Saturates in HPS_Com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'HPS DAILY'!$O$6:$U$6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DAILY'!$O$120:$U$120</c:f>
              <c:numCache>
                <c:formatCode>General</c:formatCode>
                <c:ptCount val="7"/>
                <c:pt idx="0">
                  <c:v>18.8</c:v>
                </c:pt>
                <c:pt idx="1">
                  <c:v>18.399999999999999</c:v>
                </c:pt>
                <c:pt idx="2">
                  <c:v>19.399999999999999</c:v>
                </c:pt>
                <c:pt idx="3">
                  <c:v>17.399999999999999</c:v>
                </c:pt>
                <c:pt idx="4">
                  <c:v>15.7</c:v>
                </c:pt>
                <c:pt idx="5">
                  <c:v>13.8</c:v>
                </c:pt>
                <c:pt idx="6">
                  <c:v>13.5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DC-4317-B3FE-957E4A63D405}"/>
            </c:ext>
          </c:extLst>
        </c:ser>
        <c:ser>
          <c:idx val="11"/>
          <c:order val="11"/>
          <c:tx>
            <c:v>Resin in HPS_Com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B050"/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'HPS DAILY'!$O$6:$U$6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DAILY'!$O$122:$U$122</c:f>
              <c:numCache>
                <c:formatCode>0.0</c:formatCode>
                <c:ptCount val="7"/>
                <c:pt idx="0">
                  <c:v>0</c:v>
                </c:pt>
                <c:pt idx="1">
                  <c:v>4.7</c:v>
                </c:pt>
                <c:pt idx="2">
                  <c:v>5.6</c:v>
                </c:pt>
                <c:pt idx="3">
                  <c:v>7.5</c:v>
                </c:pt>
                <c:pt idx="4">
                  <c:v>7.4</c:v>
                </c:pt>
                <c:pt idx="5">
                  <c:v>9.1999999999999993</c:v>
                </c:pt>
                <c:pt idx="6">
                  <c:v>8.6999999999999993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5DC-4317-B3FE-957E4A63D405}"/>
            </c:ext>
          </c:extLst>
        </c:ser>
        <c:ser>
          <c:idx val="12"/>
          <c:order val="12"/>
          <c:tx>
            <c:strRef>
              <c:f>CII!$P$8:$P$9</c:f>
              <c:strCache>
                <c:ptCount val="1"/>
                <c:pt idx="0">
                  <c:v>4.5 4.5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CII!$P$8:$P$9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CII!$Q$8:$Q$9</c:f>
              <c:numCache>
                <c:formatCode>General</c:formatCode>
                <c:ptCount val="2"/>
                <c:pt idx="0">
                  <c:v>-5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5DC-4317-B3FE-957E4A63D405}"/>
            </c:ext>
          </c:extLst>
        </c:ser>
        <c:ser>
          <c:idx val="13"/>
          <c:order val="13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CII!$P$11:$P$12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CII!$Q$11:$Q$12</c:f>
              <c:numCache>
                <c:formatCode>General</c:formatCode>
                <c:ptCount val="2"/>
                <c:pt idx="0">
                  <c:v>-5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5DC-4317-B3FE-957E4A63D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2"/>
                <c:tx>
                  <c:v>Asphaltenes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AA04-4E32-99E0-BE938A97A8E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31.6</c:v>
                    </c:pt>
                    <c:pt idx="2">
                      <c:v>31.6</c:v>
                    </c:pt>
                    <c:pt idx="3">
                      <c:v>31.6</c:v>
                    </c:pt>
                    <c:pt idx="4">
                      <c:v>31.6</c:v>
                    </c:pt>
                    <c:pt idx="5">
                      <c:v>31.6</c:v>
                    </c:pt>
                    <c:pt idx="6">
                      <c:v>31.6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5-AA04-4E32-99E0-BE938A97A8E8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Resin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AA04-4E32-99E0-BE938A97A8E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24.4</c:v>
                    </c:pt>
                    <c:pt idx="2">
                      <c:v>24.4</c:v>
                    </c:pt>
                    <c:pt idx="3">
                      <c:v>24.4</c:v>
                    </c:pt>
                    <c:pt idx="4">
                      <c:v>24.4</c:v>
                    </c:pt>
                    <c:pt idx="5">
                      <c:v>24.4</c:v>
                    </c:pt>
                    <c:pt idx="6">
                      <c:v>24.4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A04-4E32-99E0-BE938A97A8E8}"/>
                  </c:ext>
                </c:extLst>
              </c15:ser>
            </c15:filteredScatterSeries>
            <c15:filteredScatterSeries>
              <c15:ser>
                <c:idx val="0"/>
                <c:order val="4"/>
                <c:tx>
                  <c:v>Saturates in HPS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5"/>
                  <c:spPr>
                    <a:solidFill>
                      <a:srgbClr val="2D0DA3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AA04-4E32-99E0-BE938A97A8E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0">
                      <c:v>18.8</c:v>
                    </c:pt>
                    <c:pt idx="1">
                      <c:v>18.399999999999999</c:v>
                    </c:pt>
                    <c:pt idx="2">
                      <c:v>19.399999999999999</c:v>
                    </c:pt>
                    <c:pt idx="3">
                      <c:v>17.399999999999999</c:v>
                    </c:pt>
                    <c:pt idx="4">
                      <c:v>15.7</c:v>
                    </c:pt>
                    <c:pt idx="5">
                      <c:v>13.8</c:v>
                    </c:pt>
                    <c:pt idx="6">
                      <c:v>13.5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A04-4E32-99E0-BE938A97A8E8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Saturates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AA04-4E32-99E0-BE938A97A8E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2.2999999999999998</c:v>
                    </c:pt>
                    <c:pt idx="2">
                      <c:v>2.2999999999999998</c:v>
                    </c:pt>
                    <c:pt idx="3">
                      <c:v>2.2999999999999998</c:v>
                    </c:pt>
                    <c:pt idx="4">
                      <c:v>2.2999999999999998</c:v>
                    </c:pt>
                    <c:pt idx="5">
                      <c:v>2.2999999999999998</c:v>
                    </c:pt>
                    <c:pt idx="6">
                      <c:v>2.2999999999999998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A04-4E32-99E0-BE938A97A8E8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 on 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%wt</a:t>
                </a:r>
                <a:r>
                  <a:rPr lang="en-US" sz="1800" b="1" baseline="0"/>
                  <a:t> 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3.16868596563794E-2"/>
              <c:y val="0.391218639114354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83242736490766489"/>
          <c:y val="0.15641455202609833"/>
          <c:w val="0.16757278168118189"/>
          <c:h val="0.635445493319448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SARA by TLC</a:t>
            </a:r>
            <a:r>
              <a:rPr lang="en-US" b="1" baseline="0"/>
              <a:t> FID (IP 469)</a:t>
            </a:r>
            <a:endParaRPr lang="en-US" b="1"/>
          </a:p>
        </c:rich>
      </c:tx>
      <c:layout>
        <c:manualLayout>
          <c:xMode val="edge"/>
          <c:yMode val="edge"/>
          <c:x val="0.40969353007945514"/>
          <c:y val="4.1237113402061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40889658360316"/>
          <c:y val="0.19611413336704986"/>
          <c:w val="0.68274178989290646"/>
          <c:h val="0.65890051043486697"/>
        </c:manualLayout>
      </c:layout>
      <c:scatterChart>
        <c:scatterStyle val="smoothMarker"/>
        <c:varyColors val="0"/>
        <c:ser>
          <c:idx val="1"/>
          <c:order val="0"/>
          <c:tx>
            <c:v>Aromatics in HPS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086-434D-B7D0-8E4044FEFB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1"/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11"/>
              <c:pt idx="0">
                <c:v>76.599999999999994</c:v>
              </c:pt>
              <c:pt idx="1">
                <c:v>72.3</c:v>
              </c:pt>
              <c:pt idx="2">
                <c:v>68.400000000000006</c:v>
              </c:pt>
              <c:pt idx="3">
                <c:v>68.2</c:v>
              </c:pt>
              <c:pt idx="4">
                <c:v>66.599999999999994</c:v>
              </c:pt>
              <c:pt idx="5">
                <c:v>68.7</c:v>
              </c:pt>
              <c:pt idx="6">
                <c:v>69.7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086-434D-B7D0-8E4044FEFB2D}"/>
            </c:ext>
          </c:extLst>
        </c:ser>
        <c:ser>
          <c:idx val="0"/>
          <c:order val="4"/>
          <c:tx>
            <c:v>Saturates in HPS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rgbClr val="2D0DA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086-434D-B7D0-8E4044FEFB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1"/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11"/>
              <c:pt idx="0">
                <c:v>18.8</c:v>
              </c:pt>
              <c:pt idx="1">
                <c:v>18.399999999999999</c:v>
              </c:pt>
              <c:pt idx="2">
                <c:v>19.399999999999999</c:v>
              </c:pt>
              <c:pt idx="3">
                <c:v>17.399999999999999</c:v>
              </c:pt>
              <c:pt idx="4">
                <c:v>15.7</c:v>
              </c:pt>
              <c:pt idx="5">
                <c:v>13.8</c:v>
              </c:pt>
              <c:pt idx="6">
                <c:v>13.5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9-5086-434D-B7D0-8E4044FEF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1"/>
                <c:tx>
                  <c:v>Aromatics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41.8</c:v>
                    </c:pt>
                    <c:pt idx="2">
                      <c:v>41.8</c:v>
                    </c:pt>
                    <c:pt idx="3">
                      <c:v>41.8</c:v>
                    </c:pt>
                    <c:pt idx="4">
                      <c:v>41.8</c:v>
                    </c:pt>
                    <c:pt idx="5">
                      <c:v>41.8</c:v>
                    </c:pt>
                    <c:pt idx="6">
                      <c:v>41.8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3-5086-434D-B7D0-8E4044FEFB2D}"/>
                  </c:ext>
                </c:extLst>
              </c15:ser>
            </c15:filteredScatterSeries>
            <c15:filteredScatterSeries>
              <c15:ser>
                <c:idx val="7"/>
                <c:order val="2"/>
                <c:tx>
                  <c:v>Asphaltenes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31.6</c:v>
                    </c:pt>
                    <c:pt idx="2">
                      <c:v>31.6</c:v>
                    </c:pt>
                    <c:pt idx="3">
                      <c:v>31.6</c:v>
                    </c:pt>
                    <c:pt idx="4">
                      <c:v>31.6</c:v>
                    </c:pt>
                    <c:pt idx="5">
                      <c:v>31.6</c:v>
                    </c:pt>
                    <c:pt idx="6">
                      <c:v>31.6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086-434D-B7D0-8E4044FEFB2D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Resin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24.4</c:v>
                    </c:pt>
                    <c:pt idx="2">
                      <c:v>24.4</c:v>
                    </c:pt>
                    <c:pt idx="3">
                      <c:v>24.4</c:v>
                    </c:pt>
                    <c:pt idx="4">
                      <c:v>24.4</c:v>
                    </c:pt>
                    <c:pt idx="5">
                      <c:v>24.4</c:v>
                    </c:pt>
                    <c:pt idx="6">
                      <c:v>24.4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086-434D-B7D0-8E4044FEFB2D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v>Asphaltenes in HPS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0">
                      <c:v>4.7</c:v>
                    </c:pt>
                    <c:pt idx="1">
                      <c:v>4.5999999999999996</c:v>
                    </c:pt>
                    <c:pt idx="2">
                      <c:v>6.7</c:v>
                    </c:pt>
                    <c:pt idx="3">
                      <c:v>7</c:v>
                    </c:pt>
                    <c:pt idx="4">
                      <c:v>10.3</c:v>
                    </c:pt>
                    <c:pt idx="5">
                      <c:v>8.3000000000000007</c:v>
                    </c:pt>
                    <c:pt idx="6">
                      <c:v>8.1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086-434D-B7D0-8E4044FEFB2D}"/>
                  </c:ext>
                </c:extLst>
              </c15:ser>
            </c15:filteredScatterSeries>
            <c15:filteredScatterSeries>
              <c15:ser>
                <c:idx val="2"/>
                <c:order val="6"/>
                <c:tx>
                  <c:v>Resins in HPS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0">
                      <c:v>0</c:v>
                    </c:pt>
                    <c:pt idx="1">
                      <c:v>4.7</c:v>
                    </c:pt>
                    <c:pt idx="2">
                      <c:v>5.6</c:v>
                    </c:pt>
                    <c:pt idx="3">
                      <c:v>7.5</c:v>
                    </c:pt>
                    <c:pt idx="4">
                      <c:v>7.4</c:v>
                    </c:pt>
                    <c:pt idx="5">
                      <c:v>9.1999999999999993</c:v>
                    </c:pt>
                    <c:pt idx="6">
                      <c:v>8.6999999999999993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086-434D-B7D0-8E4044FEFB2D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Saturates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2.2999999999999998</c:v>
                    </c:pt>
                    <c:pt idx="2">
                      <c:v>2.2999999999999998</c:v>
                    </c:pt>
                    <c:pt idx="3">
                      <c:v>2.2999999999999998</c:v>
                    </c:pt>
                    <c:pt idx="4">
                      <c:v>2.2999999999999998</c:v>
                    </c:pt>
                    <c:pt idx="5">
                      <c:v>2.2999999999999998</c:v>
                    </c:pt>
                    <c:pt idx="6">
                      <c:v>2.2999999999999998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086-434D-B7D0-8E4044FEFB2D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 on 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  <a:r>
                  <a:rPr lang="en-US" b="1" baseline="0"/>
                  <a:t> 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3.16868596563794E-2"/>
              <c:y val="0.391218639114354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242736490766489"/>
          <c:y val="0.15641455202609833"/>
          <c:w val="0.15777574011541631"/>
          <c:h val="0.702086646400415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MEBU</a:t>
            </a:r>
            <a:r>
              <a:rPr lang="en-US" b="1" baseline="0"/>
              <a:t> TBP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148530239858728E-2"/>
          <c:y val="8.572117501901709E-2"/>
          <c:w val="0.80608729730155115"/>
          <c:h val="0.81184027107984258"/>
        </c:manualLayout>
      </c:layout>
      <c:scatterChart>
        <c:scatterStyle val="smoothMarker"/>
        <c:varyColors val="0"/>
        <c:ser>
          <c:idx val="30"/>
          <c:order val="2"/>
          <c:tx>
            <c:v>HIGH SEDIMENT FEED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'!$I$10:$I$54</c:f>
              <c:numCache>
                <c:formatCode>General</c:formatCode>
                <c:ptCount val="45"/>
                <c:pt idx="0">
                  <c:v>436.7</c:v>
                </c:pt>
                <c:pt idx="1">
                  <c:v>499.2</c:v>
                </c:pt>
                <c:pt idx="2">
                  <c:v>527.20000000000005</c:v>
                </c:pt>
                <c:pt idx="3">
                  <c:v>538.6</c:v>
                </c:pt>
                <c:pt idx="4">
                  <c:v>546.5</c:v>
                </c:pt>
                <c:pt idx="5">
                  <c:v>553.1</c:v>
                </c:pt>
                <c:pt idx="6">
                  <c:v>558.5</c:v>
                </c:pt>
                <c:pt idx="7">
                  <c:v>563.20000000000005</c:v>
                </c:pt>
                <c:pt idx="8">
                  <c:v>567.4</c:v>
                </c:pt>
                <c:pt idx="9">
                  <c:v>571.1</c:v>
                </c:pt>
                <c:pt idx="10">
                  <c:v>574.70000000000005</c:v>
                </c:pt>
                <c:pt idx="11">
                  <c:v>578.20000000000005</c:v>
                </c:pt>
                <c:pt idx="12">
                  <c:v>581.70000000000005</c:v>
                </c:pt>
                <c:pt idx="13">
                  <c:v>585.1</c:v>
                </c:pt>
                <c:pt idx="14">
                  <c:v>588.4</c:v>
                </c:pt>
                <c:pt idx="15">
                  <c:v>591.6</c:v>
                </c:pt>
                <c:pt idx="16">
                  <c:v>594.79999999999995</c:v>
                </c:pt>
                <c:pt idx="17">
                  <c:v>598</c:v>
                </c:pt>
                <c:pt idx="18">
                  <c:v>601.20000000000005</c:v>
                </c:pt>
                <c:pt idx="19">
                  <c:v>604.6</c:v>
                </c:pt>
                <c:pt idx="20">
                  <c:v>607.9</c:v>
                </c:pt>
                <c:pt idx="21">
                  <c:v>611.20000000000005</c:v>
                </c:pt>
                <c:pt idx="22">
                  <c:v>614.5</c:v>
                </c:pt>
                <c:pt idx="23">
                  <c:v>618</c:v>
                </c:pt>
                <c:pt idx="24">
                  <c:v>621.5</c:v>
                </c:pt>
                <c:pt idx="25">
                  <c:v>624.9</c:v>
                </c:pt>
                <c:pt idx="26">
                  <c:v>628.4</c:v>
                </c:pt>
                <c:pt idx="27">
                  <c:v>631.79999999999995</c:v>
                </c:pt>
                <c:pt idx="28">
                  <c:v>635.20000000000005</c:v>
                </c:pt>
                <c:pt idx="29">
                  <c:v>638.79999999999995</c:v>
                </c:pt>
                <c:pt idx="30">
                  <c:v>642.6</c:v>
                </c:pt>
                <c:pt idx="31">
                  <c:v>646.5</c:v>
                </c:pt>
                <c:pt idx="32">
                  <c:v>650.20000000000005</c:v>
                </c:pt>
                <c:pt idx="33">
                  <c:v>654</c:v>
                </c:pt>
                <c:pt idx="34">
                  <c:v>657.6</c:v>
                </c:pt>
                <c:pt idx="35">
                  <c:v>662.3</c:v>
                </c:pt>
                <c:pt idx="36">
                  <c:v>667.3</c:v>
                </c:pt>
                <c:pt idx="37">
                  <c:v>672.1</c:v>
                </c:pt>
                <c:pt idx="38">
                  <c:v>677.2</c:v>
                </c:pt>
                <c:pt idx="39">
                  <c:v>683</c:v>
                </c:pt>
                <c:pt idx="40">
                  <c:v>688.5</c:v>
                </c:pt>
                <c:pt idx="41">
                  <c:v>693.9</c:v>
                </c:pt>
                <c:pt idx="42">
                  <c:v>700.7</c:v>
                </c:pt>
                <c:pt idx="43">
                  <c:v>708.3</c:v>
                </c:pt>
                <c:pt idx="44">
                  <c:v>721.3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3EE7-42F8-9B0B-A07A8C1580B4}"/>
            </c:ext>
          </c:extLst>
        </c:ser>
        <c:ser>
          <c:idx val="10"/>
          <c:order val="13"/>
          <c:tx>
            <c:v>HPS D11 HS1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'!$T$10:$T$97</c:f>
              <c:numCache>
                <c:formatCode>General</c:formatCode>
                <c:ptCount val="88"/>
                <c:pt idx="0">
                  <c:v>68.7</c:v>
                </c:pt>
                <c:pt idx="1">
                  <c:v>92.1</c:v>
                </c:pt>
                <c:pt idx="2">
                  <c:v>139.4</c:v>
                </c:pt>
                <c:pt idx="3">
                  <c:v>162.4</c:v>
                </c:pt>
                <c:pt idx="4">
                  <c:v>178.2</c:v>
                </c:pt>
                <c:pt idx="5">
                  <c:v>193.1</c:v>
                </c:pt>
                <c:pt idx="6">
                  <c:v>204.4</c:v>
                </c:pt>
                <c:pt idx="7">
                  <c:v>215.7</c:v>
                </c:pt>
                <c:pt idx="8">
                  <c:v>225.7</c:v>
                </c:pt>
                <c:pt idx="9">
                  <c:v>234.8</c:v>
                </c:pt>
                <c:pt idx="10">
                  <c:v>245</c:v>
                </c:pt>
                <c:pt idx="11">
                  <c:v>253.3</c:v>
                </c:pt>
                <c:pt idx="12">
                  <c:v>262.7</c:v>
                </c:pt>
                <c:pt idx="13">
                  <c:v>270.5</c:v>
                </c:pt>
                <c:pt idx="14">
                  <c:v>279.8</c:v>
                </c:pt>
                <c:pt idx="15">
                  <c:v>287.39999999999998</c:v>
                </c:pt>
                <c:pt idx="16">
                  <c:v>295.39999999999998</c:v>
                </c:pt>
                <c:pt idx="17">
                  <c:v>301.8</c:v>
                </c:pt>
                <c:pt idx="18">
                  <c:v>309.60000000000002</c:v>
                </c:pt>
                <c:pt idx="19">
                  <c:v>315.8</c:v>
                </c:pt>
                <c:pt idx="20">
                  <c:v>323.2</c:v>
                </c:pt>
                <c:pt idx="21">
                  <c:v>329.4</c:v>
                </c:pt>
                <c:pt idx="22">
                  <c:v>336.6</c:v>
                </c:pt>
                <c:pt idx="23">
                  <c:v>342.7</c:v>
                </c:pt>
                <c:pt idx="24">
                  <c:v>349.4</c:v>
                </c:pt>
                <c:pt idx="25">
                  <c:v>355</c:v>
                </c:pt>
                <c:pt idx="26">
                  <c:v>361.2</c:v>
                </c:pt>
                <c:pt idx="27">
                  <c:v>366.8</c:v>
                </c:pt>
                <c:pt idx="28">
                  <c:v>373.9</c:v>
                </c:pt>
                <c:pt idx="29">
                  <c:v>381.4</c:v>
                </c:pt>
                <c:pt idx="30">
                  <c:v>388.5</c:v>
                </c:pt>
                <c:pt idx="31">
                  <c:v>395.3</c:v>
                </c:pt>
                <c:pt idx="32">
                  <c:v>400.7</c:v>
                </c:pt>
                <c:pt idx="33">
                  <c:v>406.7</c:v>
                </c:pt>
                <c:pt idx="34">
                  <c:v>412</c:v>
                </c:pt>
                <c:pt idx="35">
                  <c:v>418.3</c:v>
                </c:pt>
                <c:pt idx="36">
                  <c:v>425</c:v>
                </c:pt>
                <c:pt idx="37">
                  <c:v>431.2</c:v>
                </c:pt>
                <c:pt idx="38">
                  <c:v>437.2</c:v>
                </c:pt>
                <c:pt idx="39">
                  <c:v>442.7</c:v>
                </c:pt>
                <c:pt idx="40">
                  <c:v>448.2</c:v>
                </c:pt>
                <c:pt idx="41">
                  <c:v>454.5</c:v>
                </c:pt>
                <c:pt idx="42">
                  <c:v>460.6</c:v>
                </c:pt>
                <c:pt idx="43">
                  <c:v>466.6</c:v>
                </c:pt>
                <c:pt idx="44">
                  <c:v>472.3</c:v>
                </c:pt>
                <c:pt idx="45">
                  <c:v>478.1</c:v>
                </c:pt>
                <c:pt idx="46">
                  <c:v>483.9</c:v>
                </c:pt>
                <c:pt idx="47">
                  <c:v>489.8</c:v>
                </c:pt>
                <c:pt idx="48">
                  <c:v>495.7</c:v>
                </c:pt>
                <c:pt idx="49">
                  <c:v>501</c:v>
                </c:pt>
                <c:pt idx="50">
                  <c:v>506</c:v>
                </c:pt>
                <c:pt idx="51">
                  <c:v>511.4</c:v>
                </c:pt>
                <c:pt idx="52">
                  <c:v>517</c:v>
                </c:pt>
                <c:pt idx="53">
                  <c:v>522.5</c:v>
                </c:pt>
                <c:pt idx="54">
                  <c:v>527.5</c:v>
                </c:pt>
                <c:pt idx="55">
                  <c:v>532.4</c:v>
                </c:pt>
                <c:pt idx="56">
                  <c:v>537.29999999999995</c:v>
                </c:pt>
                <c:pt idx="57">
                  <c:v>542</c:v>
                </c:pt>
                <c:pt idx="58">
                  <c:v>546.70000000000005</c:v>
                </c:pt>
                <c:pt idx="59">
                  <c:v>551.4</c:v>
                </c:pt>
                <c:pt idx="60">
                  <c:v>556.1</c:v>
                </c:pt>
                <c:pt idx="61">
                  <c:v>560.29999999999995</c:v>
                </c:pt>
                <c:pt idx="62">
                  <c:v>564.5</c:v>
                </c:pt>
                <c:pt idx="63">
                  <c:v>568.5</c:v>
                </c:pt>
                <c:pt idx="64">
                  <c:v>572.29999999999995</c:v>
                </c:pt>
                <c:pt idx="65">
                  <c:v>576.1</c:v>
                </c:pt>
                <c:pt idx="66">
                  <c:v>580.1</c:v>
                </c:pt>
                <c:pt idx="67">
                  <c:v>584.1</c:v>
                </c:pt>
                <c:pt idx="68">
                  <c:v>588.20000000000005</c:v>
                </c:pt>
                <c:pt idx="69">
                  <c:v>592.29999999999995</c:v>
                </c:pt>
                <c:pt idx="70">
                  <c:v>596.29999999999995</c:v>
                </c:pt>
                <c:pt idx="71">
                  <c:v>600.5</c:v>
                </c:pt>
                <c:pt idx="72">
                  <c:v>604.9</c:v>
                </c:pt>
                <c:pt idx="73">
                  <c:v>609.4</c:v>
                </c:pt>
                <c:pt idx="74">
                  <c:v>614</c:v>
                </c:pt>
                <c:pt idx="75">
                  <c:v>618.9</c:v>
                </c:pt>
                <c:pt idx="76">
                  <c:v>624</c:v>
                </c:pt>
                <c:pt idx="77">
                  <c:v>629.20000000000005</c:v>
                </c:pt>
                <c:pt idx="78">
                  <c:v>634.5</c:v>
                </c:pt>
                <c:pt idx="79">
                  <c:v>640.29999999999995</c:v>
                </c:pt>
                <c:pt idx="80">
                  <c:v>646.70000000000005</c:v>
                </c:pt>
                <c:pt idx="81">
                  <c:v>653.20000000000005</c:v>
                </c:pt>
                <c:pt idx="82">
                  <c:v>660.3</c:v>
                </c:pt>
                <c:pt idx="83">
                  <c:v>669.6</c:v>
                </c:pt>
                <c:pt idx="84">
                  <c:v>679.2</c:v>
                </c:pt>
                <c:pt idx="85">
                  <c:v>690.1</c:v>
                </c:pt>
                <c:pt idx="86">
                  <c:v>701.7</c:v>
                </c:pt>
                <c:pt idx="87">
                  <c:v>716.1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AFB-4FCE-B367-E1B6F071C83C}"/>
            </c:ext>
          </c:extLst>
        </c:ser>
        <c:ser>
          <c:idx val="11"/>
          <c:order val="14"/>
          <c:tx>
            <c:v>HPS D12 HS2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'!$U$10:$U$92</c:f>
              <c:numCache>
                <c:formatCode>General</c:formatCode>
                <c:ptCount val="83"/>
                <c:pt idx="0">
                  <c:v>107.7</c:v>
                </c:pt>
                <c:pt idx="1">
                  <c:v>128.6</c:v>
                </c:pt>
                <c:pt idx="2">
                  <c:v>158.9</c:v>
                </c:pt>
                <c:pt idx="3">
                  <c:v>177</c:v>
                </c:pt>
                <c:pt idx="4">
                  <c:v>193.2</c:v>
                </c:pt>
                <c:pt idx="5">
                  <c:v>206</c:v>
                </c:pt>
                <c:pt idx="6">
                  <c:v>217.6</c:v>
                </c:pt>
                <c:pt idx="7">
                  <c:v>228.8</c:v>
                </c:pt>
                <c:pt idx="8">
                  <c:v>238.3</c:v>
                </c:pt>
                <c:pt idx="9">
                  <c:v>249.4</c:v>
                </c:pt>
                <c:pt idx="10">
                  <c:v>258.10000000000002</c:v>
                </c:pt>
                <c:pt idx="11">
                  <c:v>268</c:v>
                </c:pt>
                <c:pt idx="12">
                  <c:v>276.89999999999998</c:v>
                </c:pt>
                <c:pt idx="13">
                  <c:v>285.8</c:v>
                </c:pt>
                <c:pt idx="14">
                  <c:v>293.89999999999998</c:v>
                </c:pt>
                <c:pt idx="15">
                  <c:v>300.7</c:v>
                </c:pt>
                <c:pt idx="16">
                  <c:v>308.5</c:v>
                </c:pt>
                <c:pt idx="17">
                  <c:v>314.89999999999998</c:v>
                </c:pt>
                <c:pt idx="18">
                  <c:v>322.7</c:v>
                </c:pt>
                <c:pt idx="19">
                  <c:v>329.1</c:v>
                </c:pt>
                <c:pt idx="20">
                  <c:v>336.6</c:v>
                </c:pt>
                <c:pt idx="21">
                  <c:v>343</c:v>
                </c:pt>
                <c:pt idx="22">
                  <c:v>349.9</c:v>
                </c:pt>
                <c:pt idx="23">
                  <c:v>355.6</c:v>
                </c:pt>
                <c:pt idx="24">
                  <c:v>361.9</c:v>
                </c:pt>
                <c:pt idx="25">
                  <c:v>367.8</c:v>
                </c:pt>
                <c:pt idx="26">
                  <c:v>374.9</c:v>
                </c:pt>
                <c:pt idx="27">
                  <c:v>383.5</c:v>
                </c:pt>
                <c:pt idx="28">
                  <c:v>391</c:v>
                </c:pt>
                <c:pt idx="29">
                  <c:v>397.3</c:v>
                </c:pt>
                <c:pt idx="30">
                  <c:v>402.9</c:v>
                </c:pt>
                <c:pt idx="31">
                  <c:v>408.3</c:v>
                </c:pt>
                <c:pt idx="32">
                  <c:v>414.9</c:v>
                </c:pt>
                <c:pt idx="33">
                  <c:v>421.4</c:v>
                </c:pt>
                <c:pt idx="34">
                  <c:v>428.2</c:v>
                </c:pt>
                <c:pt idx="35">
                  <c:v>434.5</c:v>
                </c:pt>
                <c:pt idx="36">
                  <c:v>440.2</c:v>
                </c:pt>
                <c:pt idx="37">
                  <c:v>446.1</c:v>
                </c:pt>
                <c:pt idx="38">
                  <c:v>452.4</c:v>
                </c:pt>
                <c:pt idx="39">
                  <c:v>458.7</c:v>
                </c:pt>
                <c:pt idx="40">
                  <c:v>465</c:v>
                </c:pt>
                <c:pt idx="41">
                  <c:v>471.2</c:v>
                </c:pt>
                <c:pt idx="42">
                  <c:v>477.1</c:v>
                </c:pt>
                <c:pt idx="43">
                  <c:v>483.2</c:v>
                </c:pt>
                <c:pt idx="44">
                  <c:v>489.4</c:v>
                </c:pt>
                <c:pt idx="45">
                  <c:v>495.6</c:v>
                </c:pt>
                <c:pt idx="46">
                  <c:v>501.1</c:v>
                </c:pt>
                <c:pt idx="47">
                  <c:v>506.5</c:v>
                </c:pt>
                <c:pt idx="48">
                  <c:v>512.1</c:v>
                </c:pt>
                <c:pt idx="49">
                  <c:v>517.9</c:v>
                </c:pt>
                <c:pt idx="50">
                  <c:v>523.6</c:v>
                </c:pt>
                <c:pt idx="51">
                  <c:v>528.79999999999995</c:v>
                </c:pt>
                <c:pt idx="52">
                  <c:v>533.9</c:v>
                </c:pt>
                <c:pt idx="53">
                  <c:v>538.79999999999995</c:v>
                </c:pt>
                <c:pt idx="54">
                  <c:v>543.79999999999995</c:v>
                </c:pt>
                <c:pt idx="55">
                  <c:v>548.70000000000005</c:v>
                </c:pt>
                <c:pt idx="56">
                  <c:v>553.70000000000005</c:v>
                </c:pt>
                <c:pt idx="57">
                  <c:v>558.4</c:v>
                </c:pt>
                <c:pt idx="58">
                  <c:v>562.9</c:v>
                </c:pt>
                <c:pt idx="59">
                  <c:v>567.29999999999995</c:v>
                </c:pt>
                <c:pt idx="60">
                  <c:v>571.5</c:v>
                </c:pt>
                <c:pt idx="61">
                  <c:v>575.70000000000005</c:v>
                </c:pt>
                <c:pt idx="62">
                  <c:v>580</c:v>
                </c:pt>
                <c:pt idx="63">
                  <c:v>584.4</c:v>
                </c:pt>
                <c:pt idx="64">
                  <c:v>588.9</c:v>
                </c:pt>
                <c:pt idx="65">
                  <c:v>593.29999999999995</c:v>
                </c:pt>
                <c:pt idx="66">
                  <c:v>597.9</c:v>
                </c:pt>
                <c:pt idx="67">
                  <c:v>602.70000000000005</c:v>
                </c:pt>
                <c:pt idx="68">
                  <c:v>607.70000000000005</c:v>
                </c:pt>
                <c:pt idx="69">
                  <c:v>612.70000000000005</c:v>
                </c:pt>
                <c:pt idx="70">
                  <c:v>618.1</c:v>
                </c:pt>
                <c:pt idx="71">
                  <c:v>623.70000000000005</c:v>
                </c:pt>
                <c:pt idx="72">
                  <c:v>629.5</c:v>
                </c:pt>
                <c:pt idx="73">
                  <c:v>635.4</c:v>
                </c:pt>
                <c:pt idx="74">
                  <c:v>641.9</c:v>
                </c:pt>
                <c:pt idx="75">
                  <c:v>648.9</c:v>
                </c:pt>
                <c:pt idx="76">
                  <c:v>655.9</c:v>
                </c:pt>
                <c:pt idx="77">
                  <c:v>664.6</c:v>
                </c:pt>
                <c:pt idx="78">
                  <c:v>674</c:v>
                </c:pt>
                <c:pt idx="79">
                  <c:v>685</c:v>
                </c:pt>
                <c:pt idx="80">
                  <c:v>695.6</c:v>
                </c:pt>
                <c:pt idx="81">
                  <c:v>708</c:v>
                </c:pt>
                <c:pt idx="82">
                  <c:v>723.5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AFB-4FCE-B367-E1B6F071C83C}"/>
            </c:ext>
          </c:extLst>
        </c:ser>
        <c:ser>
          <c:idx val="31"/>
          <c:order val="15"/>
          <c:tx>
            <c:v>HPS D13 HS3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'!$V$10:$V$98</c:f>
              <c:numCache>
                <c:formatCode>General</c:formatCode>
                <c:ptCount val="89"/>
                <c:pt idx="0">
                  <c:v>121.9</c:v>
                </c:pt>
                <c:pt idx="1">
                  <c:v>144.19999999999999</c:v>
                </c:pt>
                <c:pt idx="2">
                  <c:v>169.7</c:v>
                </c:pt>
                <c:pt idx="3">
                  <c:v>185.8</c:v>
                </c:pt>
                <c:pt idx="4">
                  <c:v>200.3</c:v>
                </c:pt>
                <c:pt idx="5">
                  <c:v>212.1</c:v>
                </c:pt>
                <c:pt idx="6">
                  <c:v>221.4</c:v>
                </c:pt>
                <c:pt idx="7">
                  <c:v>231.3</c:v>
                </c:pt>
                <c:pt idx="8">
                  <c:v>239.7</c:v>
                </c:pt>
                <c:pt idx="9">
                  <c:v>249.7</c:v>
                </c:pt>
                <c:pt idx="10">
                  <c:v>257</c:v>
                </c:pt>
                <c:pt idx="11">
                  <c:v>266.5</c:v>
                </c:pt>
                <c:pt idx="12">
                  <c:v>274</c:v>
                </c:pt>
                <c:pt idx="13">
                  <c:v>283.3</c:v>
                </c:pt>
                <c:pt idx="14">
                  <c:v>290.89999999999998</c:v>
                </c:pt>
                <c:pt idx="15">
                  <c:v>298.7</c:v>
                </c:pt>
                <c:pt idx="16">
                  <c:v>305.2</c:v>
                </c:pt>
                <c:pt idx="17">
                  <c:v>313</c:v>
                </c:pt>
                <c:pt idx="18">
                  <c:v>319.2</c:v>
                </c:pt>
                <c:pt idx="19">
                  <c:v>326.5</c:v>
                </c:pt>
                <c:pt idx="20">
                  <c:v>332.5</c:v>
                </c:pt>
                <c:pt idx="21">
                  <c:v>339.7</c:v>
                </c:pt>
                <c:pt idx="22">
                  <c:v>345.6</c:v>
                </c:pt>
                <c:pt idx="23">
                  <c:v>352.5</c:v>
                </c:pt>
                <c:pt idx="24">
                  <c:v>358.2</c:v>
                </c:pt>
                <c:pt idx="25">
                  <c:v>364.6</c:v>
                </c:pt>
                <c:pt idx="26">
                  <c:v>370.5</c:v>
                </c:pt>
                <c:pt idx="27">
                  <c:v>377.3</c:v>
                </c:pt>
                <c:pt idx="28">
                  <c:v>383.6</c:v>
                </c:pt>
                <c:pt idx="29">
                  <c:v>390.3</c:v>
                </c:pt>
                <c:pt idx="30">
                  <c:v>395.2</c:v>
                </c:pt>
                <c:pt idx="31">
                  <c:v>399.6</c:v>
                </c:pt>
                <c:pt idx="32">
                  <c:v>404.7</c:v>
                </c:pt>
                <c:pt idx="33">
                  <c:v>409</c:v>
                </c:pt>
                <c:pt idx="34">
                  <c:v>415.2</c:v>
                </c:pt>
                <c:pt idx="35">
                  <c:v>422.4</c:v>
                </c:pt>
                <c:pt idx="36">
                  <c:v>430</c:v>
                </c:pt>
                <c:pt idx="37">
                  <c:v>435.4</c:v>
                </c:pt>
                <c:pt idx="38">
                  <c:v>440.2</c:v>
                </c:pt>
                <c:pt idx="39">
                  <c:v>445.5</c:v>
                </c:pt>
                <c:pt idx="40">
                  <c:v>450.9</c:v>
                </c:pt>
                <c:pt idx="41">
                  <c:v>457.1</c:v>
                </c:pt>
                <c:pt idx="42">
                  <c:v>464</c:v>
                </c:pt>
                <c:pt idx="43">
                  <c:v>469.5</c:v>
                </c:pt>
                <c:pt idx="44">
                  <c:v>474.7</c:v>
                </c:pt>
                <c:pt idx="45">
                  <c:v>480.1</c:v>
                </c:pt>
                <c:pt idx="46">
                  <c:v>486</c:v>
                </c:pt>
                <c:pt idx="47">
                  <c:v>492</c:v>
                </c:pt>
                <c:pt idx="48">
                  <c:v>497.6</c:v>
                </c:pt>
                <c:pt idx="49">
                  <c:v>502.5</c:v>
                </c:pt>
                <c:pt idx="50">
                  <c:v>507.4</c:v>
                </c:pt>
                <c:pt idx="51">
                  <c:v>512.70000000000005</c:v>
                </c:pt>
                <c:pt idx="52">
                  <c:v>518.20000000000005</c:v>
                </c:pt>
                <c:pt idx="53">
                  <c:v>523.5</c:v>
                </c:pt>
                <c:pt idx="54">
                  <c:v>528.29999999999995</c:v>
                </c:pt>
                <c:pt idx="55">
                  <c:v>533</c:v>
                </c:pt>
                <c:pt idx="56">
                  <c:v>537.6</c:v>
                </c:pt>
                <c:pt idx="57">
                  <c:v>542.1</c:v>
                </c:pt>
                <c:pt idx="58">
                  <c:v>546.70000000000005</c:v>
                </c:pt>
                <c:pt idx="59">
                  <c:v>551.29999999999995</c:v>
                </c:pt>
                <c:pt idx="60">
                  <c:v>556</c:v>
                </c:pt>
                <c:pt idx="61">
                  <c:v>560.29999999999995</c:v>
                </c:pt>
                <c:pt idx="62">
                  <c:v>564.4</c:v>
                </c:pt>
                <c:pt idx="63">
                  <c:v>568.4</c:v>
                </c:pt>
                <c:pt idx="64">
                  <c:v>572.20000000000005</c:v>
                </c:pt>
                <c:pt idx="65">
                  <c:v>576.20000000000005</c:v>
                </c:pt>
                <c:pt idx="66">
                  <c:v>580.20000000000005</c:v>
                </c:pt>
                <c:pt idx="67">
                  <c:v>584.4</c:v>
                </c:pt>
                <c:pt idx="68">
                  <c:v>588.5</c:v>
                </c:pt>
                <c:pt idx="69">
                  <c:v>592.6</c:v>
                </c:pt>
                <c:pt idx="70">
                  <c:v>596.79999999999995</c:v>
                </c:pt>
                <c:pt idx="71">
                  <c:v>601.1</c:v>
                </c:pt>
                <c:pt idx="72">
                  <c:v>605.6</c:v>
                </c:pt>
                <c:pt idx="73">
                  <c:v>610.20000000000005</c:v>
                </c:pt>
                <c:pt idx="74">
                  <c:v>615</c:v>
                </c:pt>
                <c:pt idx="75">
                  <c:v>620</c:v>
                </c:pt>
                <c:pt idx="76">
                  <c:v>625.20000000000005</c:v>
                </c:pt>
                <c:pt idx="77">
                  <c:v>630.5</c:v>
                </c:pt>
                <c:pt idx="78">
                  <c:v>635.9</c:v>
                </c:pt>
                <c:pt idx="79">
                  <c:v>641.9</c:v>
                </c:pt>
                <c:pt idx="80">
                  <c:v>648.29999999999995</c:v>
                </c:pt>
                <c:pt idx="81">
                  <c:v>654.70000000000005</c:v>
                </c:pt>
                <c:pt idx="82">
                  <c:v>662.1</c:v>
                </c:pt>
                <c:pt idx="83">
                  <c:v>670.9</c:v>
                </c:pt>
                <c:pt idx="84">
                  <c:v>680.3</c:v>
                </c:pt>
                <c:pt idx="85">
                  <c:v>690.2</c:v>
                </c:pt>
                <c:pt idx="86">
                  <c:v>700.4</c:v>
                </c:pt>
                <c:pt idx="87">
                  <c:v>712.3</c:v>
                </c:pt>
                <c:pt idx="88">
                  <c:v>726.7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3EE7-42F8-9B0B-A07A8C1580B4}"/>
            </c:ext>
          </c:extLst>
        </c:ser>
        <c:ser>
          <c:idx val="32"/>
          <c:order val="16"/>
          <c:tx>
            <c:v>HPS D14 HS4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'!$W$10:$W$99</c:f>
              <c:numCache>
                <c:formatCode>General</c:formatCode>
                <c:ptCount val="90"/>
                <c:pt idx="0">
                  <c:v>77</c:v>
                </c:pt>
                <c:pt idx="1">
                  <c:v>116.1</c:v>
                </c:pt>
                <c:pt idx="2">
                  <c:v>147.80000000000001</c:v>
                </c:pt>
                <c:pt idx="3">
                  <c:v>168.4</c:v>
                </c:pt>
                <c:pt idx="4">
                  <c:v>182.3</c:v>
                </c:pt>
                <c:pt idx="5">
                  <c:v>195.3</c:v>
                </c:pt>
                <c:pt idx="6">
                  <c:v>206.1</c:v>
                </c:pt>
                <c:pt idx="7">
                  <c:v>216.3</c:v>
                </c:pt>
                <c:pt idx="8">
                  <c:v>224.8</c:v>
                </c:pt>
                <c:pt idx="9">
                  <c:v>233.9</c:v>
                </c:pt>
                <c:pt idx="10">
                  <c:v>242.2</c:v>
                </c:pt>
                <c:pt idx="11">
                  <c:v>250.8</c:v>
                </c:pt>
                <c:pt idx="12">
                  <c:v>258.3</c:v>
                </c:pt>
                <c:pt idx="13">
                  <c:v>266.8</c:v>
                </c:pt>
                <c:pt idx="14">
                  <c:v>274.39999999999998</c:v>
                </c:pt>
                <c:pt idx="15">
                  <c:v>283.10000000000002</c:v>
                </c:pt>
                <c:pt idx="16">
                  <c:v>290.5</c:v>
                </c:pt>
                <c:pt idx="17">
                  <c:v>297.89999999999998</c:v>
                </c:pt>
                <c:pt idx="18">
                  <c:v>304.39999999999998</c:v>
                </c:pt>
                <c:pt idx="19">
                  <c:v>311.8</c:v>
                </c:pt>
                <c:pt idx="20">
                  <c:v>317.89999999999998</c:v>
                </c:pt>
                <c:pt idx="21">
                  <c:v>325</c:v>
                </c:pt>
                <c:pt idx="22">
                  <c:v>330.7</c:v>
                </c:pt>
                <c:pt idx="23">
                  <c:v>337.9</c:v>
                </c:pt>
                <c:pt idx="24">
                  <c:v>343.6</c:v>
                </c:pt>
                <c:pt idx="25">
                  <c:v>350.5</c:v>
                </c:pt>
                <c:pt idx="26">
                  <c:v>355.8</c:v>
                </c:pt>
                <c:pt idx="27">
                  <c:v>362.4</c:v>
                </c:pt>
                <c:pt idx="28">
                  <c:v>367.8</c:v>
                </c:pt>
                <c:pt idx="29">
                  <c:v>374.7</c:v>
                </c:pt>
                <c:pt idx="30">
                  <c:v>380.8</c:v>
                </c:pt>
                <c:pt idx="31">
                  <c:v>387.6</c:v>
                </c:pt>
                <c:pt idx="32">
                  <c:v>393.1</c:v>
                </c:pt>
                <c:pt idx="33">
                  <c:v>397.9</c:v>
                </c:pt>
                <c:pt idx="34">
                  <c:v>402.5</c:v>
                </c:pt>
                <c:pt idx="35">
                  <c:v>406.9</c:v>
                </c:pt>
                <c:pt idx="36">
                  <c:v>411.8</c:v>
                </c:pt>
                <c:pt idx="37">
                  <c:v>418.4</c:v>
                </c:pt>
                <c:pt idx="38">
                  <c:v>426.4</c:v>
                </c:pt>
                <c:pt idx="39">
                  <c:v>432.8</c:v>
                </c:pt>
                <c:pt idx="40">
                  <c:v>437.8</c:v>
                </c:pt>
                <c:pt idx="41">
                  <c:v>442.9</c:v>
                </c:pt>
                <c:pt idx="42">
                  <c:v>447.8</c:v>
                </c:pt>
                <c:pt idx="43">
                  <c:v>454.1</c:v>
                </c:pt>
                <c:pt idx="44">
                  <c:v>460.6</c:v>
                </c:pt>
                <c:pt idx="45">
                  <c:v>466.7</c:v>
                </c:pt>
                <c:pt idx="46">
                  <c:v>471.9</c:v>
                </c:pt>
                <c:pt idx="47">
                  <c:v>477.4</c:v>
                </c:pt>
                <c:pt idx="48">
                  <c:v>482.8</c:v>
                </c:pt>
                <c:pt idx="49">
                  <c:v>488.9</c:v>
                </c:pt>
                <c:pt idx="50">
                  <c:v>494.9</c:v>
                </c:pt>
                <c:pt idx="51">
                  <c:v>500.1</c:v>
                </c:pt>
                <c:pt idx="52">
                  <c:v>505</c:v>
                </c:pt>
                <c:pt idx="53">
                  <c:v>510</c:v>
                </c:pt>
                <c:pt idx="54">
                  <c:v>515.5</c:v>
                </c:pt>
                <c:pt idx="55">
                  <c:v>521</c:v>
                </c:pt>
                <c:pt idx="56">
                  <c:v>526</c:v>
                </c:pt>
                <c:pt idx="57">
                  <c:v>530.70000000000005</c:v>
                </c:pt>
                <c:pt idx="58">
                  <c:v>535.4</c:v>
                </c:pt>
                <c:pt idx="59">
                  <c:v>540</c:v>
                </c:pt>
                <c:pt idx="60">
                  <c:v>544.5</c:v>
                </c:pt>
                <c:pt idx="61">
                  <c:v>549.29999999999995</c:v>
                </c:pt>
                <c:pt idx="62">
                  <c:v>553.9</c:v>
                </c:pt>
                <c:pt idx="63">
                  <c:v>558.4</c:v>
                </c:pt>
                <c:pt idx="64">
                  <c:v>562.6</c:v>
                </c:pt>
                <c:pt idx="65">
                  <c:v>566.79999999999995</c:v>
                </c:pt>
                <c:pt idx="66">
                  <c:v>570.70000000000005</c:v>
                </c:pt>
                <c:pt idx="67">
                  <c:v>574.6</c:v>
                </c:pt>
                <c:pt idx="68">
                  <c:v>578.79999999999995</c:v>
                </c:pt>
                <c:pt idx="69">
                  <c:v>583</c:v>
                </c:pt>
                <c:pt idx="70">
                  <c:v>587.1</c:v>
                </c:pt>
                <c:pt idx="71">
                  <c:v>591.4</c:v>
                </c:pt>
                <c:pt idx="72">
                  <c:v>595.70000000000005</c:v>
                </c:pt>
                <c:pt idx="73">
                  <c:v>600</c:v>
                </c:pt>
                <c:pt idx="74">
                  <c:v>604.70000000000005</c:v>
                </c:pt>
                <c:pt idx="75">
                  <c:v>609.5</c:v>
                </c:pt>
                <c:pt idx="76">
                  <c:v>614.29999999999995</c:v>
                </c:pt>
                <c:pt idx="77">
                  <c:v>619.5</c:v>
                </c:pt>
                <c:pt idx="78">
                  <c:v>624.9</c:v>
                </c:pt>
                <c:pt idx="79">
                  <c:v>630.4</c:v>
                </c:pt>
                <c:pt idx="80">
                  <c:v>636.1</c:v>
                </c:pt>
                <c:pt idx="81">
                  <c:v>642.4</c:v>
                </c:pt>
                <c:pt idx="82">
                  <c:v>649.1</c:v>
                </c:pt>
                <c:pt idx="83">
                  <c:v>655.9</c:v>
                </c:pt>
                <c:pt idx="84">
                  <c:v>664.1</c:v>
                </c:pt>
                <c:pt idx="85">
                  <c:v>673.3</c:v>
                </c:pt>
                <c:pt idx="86">
                  <c:v>683.7</c:v>
                </c:pt>
                <c:pt idx="87">
                  <c:v>694</c:v>
                </c:pt>
                <c:pt idx="88">
                  <c:v>706</c:v>
                </c:pt>
                <c:pt idx="89">
                  <c:v>721.5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3EE7-42F8-9B0B-A07A8C1580B4}"/>
            </c:ext>
          </c:extLst>
        </c:ser>
        <c:ser>
          <c:idx val="33"/>
          <c:order val="17"/>
          <c:tx>
            <c:v>HPS D15 HS5</c:v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'!$X$10:$X$100</c:f>
              <c:numCache>
                <c:formatCode>General</c:formatCode>
                <c:ptCount val="91"/>
                <c:pt idx="0">
                  <c:v>114.7</c:v>
                </c:pt>
                <c:pt idx="1">
                  <c:v>133.9</c:v>
                </c:pt>
                <c:pt idx="2">
                  <c:v>158.19999999999999</c:v>
                </c:pt>
                <c:pt idx="3">
                  <c:v>174.9</c:v>
                </c:pt>
                <c:pt idx="4">
                  <c:v>188.3</c:v>
                </c:pt>
                <c:pt idx="5">
                  <c:v>200.3</c:v>
                </c:pt>
                <c:pt idx="6">
                  <c:v>210</c:v>
                </c:pt>
                <c:pt idx="7">
                  <c:v>219.1</c:v>
                </c:pt>
                <c:pt idx="8">
                  <c:v>227.7</c:v>
                </c:pt>
                <c:pt idx="9">
                  <c:v>236</c:v>
                </c:pt>
                <c:pt idx="10">
                  <c:v>244.6</c:v>
                </c:pt>
                <c:pt idx="11">
                  <c:v>252.3</c:v>
                </c:pt>
                <c:pt idx="12">
                  <c:v>260.2</c:v>
                </c:pt>
                <c:pt idx="13">
                  <c:v>268.2</c:v>
                </c:pt>
                <c:pt idx="14">
                  <c:v>276.10000000000002</c:v>
                </c:pt>
                <c:pt idx="15">
                  <c:v>284.10000000000002</c:v>
                </c:pt>
                <c:pt idx="16">
                  <c:v>291.5</c:v>
                </c:pt>
                <c:pt idx="17">
                  <c:v>298.39999999999998</c:v>
                </c:pt>
                <c:pt idx="18">
                  <c:v>304.89999999999998</c:v>
                </c:pt>
                <c:pt idx="19">
                  <c:v>312</c:v>
                </c:pt>
                <c:pt idx="20">
                  <c:v>318.2</c:v>
                </c:pt>
                <c:pt idx="21">
                  <c:v>324.8</c:v>
                </c:pt>
                <c:pt idx="22">
                  <c:v>330.7</c:v>
                </c:pt>
                <c:pt idx="23">
                  <c:v>337.5</c:v>
                </c:pt>
                <c:pt idx="24">
                  <c:v>343.1</c:v>
                </c:pt>
                <c:pt idx="25">
                  <c:v>349.7</c:v>
                </c:pt>
                <c:pt idx="26">
                  <c:v>355</c:v>
                </c:pt>
                <c:pt idx="27">
                  <c:v>361.3</c:v>
                </c:pt>
                <c:pt idx="28">
                  <c:v>366.6</c:v>
                </c:pt>
                <c:pt idx="29">
                  <c:v>373.3</c:v>
                </c:pt>
                <c:pt idx="30">
                  <c:v>379.1</c:v>
                </c:pt>
                <c:pt idx="31">
                  <c:v>385.8</c:v>
                </c:pt>
                <c:pt idx="32">
                  <c:v>391.6</c:v>
                </c:pt>
                <c:pt idx="33">
                  <c:v>396.4</c:v>
                </c:pt>
                <c:pt idx="34">
                  <c:v>400.8</c:v>
                </c:pt>
                <c:pt idx="35">
                  <c:v>405.4</c:v>
                </c:pt>
                <c:pt idx="36">
                  <c:v>409.8</c:v>
                </c:pt>
                <c:pt idx="37">
                  <c:v>415.3</c:v>
                </c:pt>
                <c:pt idx="38">
                  <c:v>423</c:v>
                </c:pt>
                <c:pt idx="39">
                  <c:v>429.9</c:v>
                </c:pt>
                <c:pt idx="40">
                  <c:v>435.4</c:v>
                </c:pt>
                <c:pt idx="41">
                  <c:v>440.3</c:v>
                </c:pt>
                <c:pt idx="42">
                  <c:v>445</c:v>
                </c:pt>
                <c:pt idx="43">
                  <c:v>450.5</c:v>
                </c:pt>
                <c:pt idx="44">
                  <c:v>456.7</c:v>
                </c:pt>
                <c:pt idx="45">
                  <c:v>463</c:v>
                </c:pt>
                <c:pt idx="46">
                  <c:v>468.7</c:v>
                </c:pt>
                <c:pt idx="47">
                  <c:v>473.9</c:v>
                </c:pt>
                <c:pt idx="48">
                  <c:v>478.9</c:v>
                </c:pt>
                <c:pt idx="49">
                  <c:v>484.7</c:v>
                </c:pt>
                <c:pt idx="50">
                  <c:v>490.6</c:v>
                </c:pt>
                <c:pt idx="51">
                  <c:v>496.4</c:v>
                </c:pt>
                <c:pt idx="52">
                  <c:v>501.2</c:v>
                </c:pt>
                <c:pt idx="53">
                  <c:v>506</c:v>
                </c:pt>
                <c:pt idx="54">
                  <c:v>511.1</c:v>
                </c:pt>
                <c:pt idx="55">
                  <c:v>516.5</c:v>
                </c:pt>
                <c:pt idx="56">
                  <c:v>521.9</c:v>
                </c:pt>
                <c:pt idx="57">
                  <c:v>526.6</c:v>
                </c:pt>
                <c:pt idx="58">
                  <c:v>531.29999999999995</c:v>
                </c:pt>
                <c:pt idx="59">
                  <c:v>535.9</c:v>
                </c:pt>
                <c:pt idx="60">
                  <c:v>540.4</c:v>
                </c:pt>
                <c:pt idx="61">
                  <c:v>544.79999999999995</c:v>
                </c:pt>
                <c:pt idx="62">
                  <c:v>549.4</c:v>
                </c:pt>
                <c:pt idx="63">
                  <c:v>554</c:v>
                </c:pt>
                <c:pt idx="64">
                  <c:v>558.4</c:v>
                </c:pt>
                <c:pt idx="65">
                  <c:v>562.6</c:v>
                </c:pt>
                <c:pt idx="66">
                  <c:v>566.79999999999995</c:v>
                </c:pt>
                <c:pt idx="67">
                  <c:v>570.6</c:v>
                </c:pt>
                <c:pt idx="68">
                  <c:v>574.5</c:v>
                </c:pt>
                <c:pt idx="69">
                  <c:v>578.6</c:v>
                </c:pt>
                <c:pt idx="70">
                  <c:v>582.79999999999995</c:v>
                </c:pt>
                <c:pt idx="71">
                  <c:v>586.9</c:v>
                </c:pt>
                <c:pt idx="72">
                  <c:v>591.20000000000005</c:v>
                </c:pt>
                <c:pt idx="73">
                  <c:v>595.4</c:v>
                </c:pt>
                <c:pt idx="74">
                  <c:v>599.79999999999995</c:v>
                </c:pt>
                <c:pt idx="75">
                  <c:v>604.4</c:v>
                </c:pt>
                <c:pt idx="76">
                  <c:v>609.20000000000005</c:v>
                </c:pt>
                <c:pt idx="77">
                  <c:v>614</c:v>
                </c:pt>
                <c:pt idx="78">
                  <c:v>619.20000000000005</c:v>
                </c:pt>
                <c:pt idx="79">
                  <c:v>624.6</c:v>
                </c:pt>
                <c:pt idx="80">
                  <c:v>630.20000000000005</c:v>
                </c:pt>
                <c:pt idx="81">
                  <c:v>635.79999999999995</c:v>
                </c:pt>
                <c:pt idx="82">
                  <c:v>642.1</c:v>
                </c:pt>
                <c:pt idx="83">
                  <c:v>648.79999999999995</c:v>
                </c:pt>
                <c:pt idx="84">
                  <c:v>655.6</c:v>
                </c:pt>
                <c:pt idx="85">
                  <c:v>663.8</c:v>
                </c:pt>
                <c:pt idx="86">
                  <c:v>672.9</c:v>
                </c:pt>
                <c:pt idx="87">
                  <c:v>683.3</c:v>
                </c:pt>
                <c:pt idx="88">
                  <c:v>693.6</c:v>
                </c:pt>
                <c:pt idx="89">
                  <c:v>705.3</c:v>
                </c:pt>
                <c:pt idx="90">
                  <c:v>720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3EE7-42F8-9B0B-A07A8C1580B4}"/>
            </c:ext>
          </c:extLst>
        </c:ser>
        <c:ser>
          <c:idx val="34"/>
          <c:order val="18"/>
          <c:tx>
            <c:v>HPS D16_1 HS6</c:v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'!$Y$10:$Y$92</c:f>
              <c:numCache>
                <c:formatCode>General</c:formatCode>
                <c:ptCount val="83"/>
                <c:pt idx="0">
                  <c:v>116.5</c:v>
                </c:pt>
                <c:pt idx="1">
                  <c:v>141.6</c:v>
                </c:pt>
                <c:pt idx="2">
                  <c:v>170.7</c:v>
                </c:pt>
                <c:pt idx="3">
                  <c:v>190.5</c:v>
                </c:pt>
                <c:pt idx="4">
                  <c:v>205.1</c:v>
                </c:pt>
                <c:pt idx="5">
                  <c:v>217.3</c:v>
                </c:pt>
                <c:pt idx="6">
                  <c:v>229.1</c:v>
                </c:pt>
                <c:pt idx="7">
                  <c:v>239.5</c:v>
                </c:pt>
                <c:pt idx="8">
                  <c:v>250.3</c:v>
                </c:pt>
                <c:pt idx="9">
                  <c:v>259.7</c:v>
                </c:pt>
                <c:pt idx="10">
                  <c:v>268.8</c:v>
                </c:pt>
                <c:pt idx="11">
                  <c:v>278.39999999999998</c:v>
                </c:pt>
                <c:pt idx="12">
                  <c:v>286.60000000000002</c:v>
                </c:pt>
                <c:pt idx="13">
                  <c:v>295</c:v>
                </c:pt>
                <c:pt idx="14">
                  <c:v>301.89999999999998</c:v>
                </c:pt>
                <c:pt idx="15">
                  <c:v>310</c:v>
                </c:pt>
                <c:pt idx="16">
                  <c:v>316.60000000000002</c:v>
                </c:pt>
                <c:pt idx="17">
                  <c:v>324.3</c:v>
                </c:pt>
                <c:pt idx="18">
                  <c:v>330.8</c:v>
                </c:pt>
                <c:pt idx="19">
                  <c:v>338.1</c:v>
                </c:pt>
                <c:pt idx="20">
                  <c:v>344.6</c:v>
                </c:pt>
                <c:pt idx="21">
                  <c:v>350.7</c:v>
                </c:pt>
                <c:pt idx="22">
                  <c:v>356.8</c:v>
                </c:pt>
                <c:pt idx="23">
                  <c:v>362.5</c:v>
                </c:pt>
                <c:pt idx="24">
                  <c:v>369</c:v>
                </c:pt>
                <c:pt idx="25">
                  <c:v>376.6</c:v>
                </c:pt>
                <c:pt idx="26">
                  <c:v>385</c:v>
                </c:pt>
                <c:pt idx="27">
                  <c:v>392.1</c:v>
                </c:pt>
                <c:pt idx="28">
                  <c:v>397.9</c:v>
                </c:pt>
                <c:pt idx="29">
                  <c:v>403.8</c:v>
                </c:pt>
                <c:pt idx="30">
                  <c:v>409.1</c:v>
                </c:pt>
                <c:pt idx="31">
                  <c:v>415.7</c:v>
                </c:pt>
                <c:pt idx="32">
                  <c:v>422</c:v>
                </c:pt>
                <c:pt idx="33">
                  <c:v>428.4</c:v>
                </c:pt>
                <c:pt idx="34">
                  <c:v>434.8</c:v>
                </c:pt>
                <c:pt idx="35">
                  <c:v>440.5</c:v>
                </c:pt>
                <c:pt idx="36">
                  <c:v>446.1</c:v>
                </c:pt>
                <c:pt idx="37">
                  <c:v>452.4</c:v>
                </c:pt>
                <c:pt idx="38">
                  <c:v>458.5</c:v>
                </c:pt>
                <c:pt idx="39">
                  <c:v>464.8</c:v>
                </c:pt>
                <c:pt idx="40">
                  <c:v>470.8</c:v>
                </c:pt>
                <c:pt idx="41">
                  <c:v>476.5</c:v>
                </c:pt>
                <c:pt idx="42">
                  <c:v>482.4</c:v>
                </c:pt>
                <c:pt idx="43">
                  <c:v>488.5</c:v>
                </c:pt>
                <c:pt idx="44">
                  <c:v>494.6</c:v>
                </c:pt>
                <c:pt idx="45">
                  <c:v>500.1</c:v>
                </c:pt>
                <c:pt idx="46">
                  <c:v>505.3</c:v>
                </c:pt>
                <c:pt idx="47">
                  <c:v>510.6</c:v>
                </c:pt>
                <c:pt idx="48">
                  <c:v>516.29999999999995</c:v>
                </c:pt>
                <c:pt idx="49">
                  <c:v>521.9</c:v>
                </c:pt>
                <c:pt idx="50">
                  <c:v>527</c:v>
                </c:pt>
                <c:pt idx="51">
                  <c:v>531.9</c:v>
                </c:pt>
                <c:pt idx="52">
                  <c:v>536.70000000000005</c:v>
                </c:pt>
                <c:pt idx="53">
                  <c:v>541.5</c:v>
                </c:pt>
                <c:pt idx="54">
                  <c:v>546.1</c:v>
                </c:pt>
                <c:pt idx="55">
                  <c:v>551</c:v>
                </c:pt>
                <c:pt idx="56">
                  <c:v>555.79999999999995</c:v>
                </c:pt>
                <c:pt idx="57">
                  <c:v>560.20000000000005</c:v>
                </c:pt>
                <c:pt idx="58">
                  <c:v>564.5</c:v>
                </c:pt>
                <c:pt idx="59">
                  <c:v>568.6</c:v>
                </c:pt>
                <c:pt idx="60">
                  <c:v>572.6</c:v>
                </c:pt>
                <c:pt idx="61">
                  <c:v>576.70000000000005</c:v>
                </c:pt>
                <c:pt idx="62">
                  <c:v>580.9</c:v>
                </c:pt>
                <c:pt idx="63">
                  <c:v>585.1</c:v>
                </c:pt>
                <c:pt idx="64">
                  <c:v>589.4</c:v>
                </c:pt>
                <c:pt idx="65">
                  <c:v>593.79999999999995</c:v>
                </c:pt>
                <c:pt idx="66">
                  <c:v>598.20000000000005</c:v>
                </c:pt>
                <c:pt idx="67">
                  <c:v>602.79999999999995</c:v>
                </c:pt>
                <c:pt idx="68">
                  <c:v>607.70000000000005</c:v>
                </c:pt>
                <c:pt idx="69">
                  <c:v>612.5</c:v>
                </c:pt>
                <c:pt idx="70">
                  <c:v>617.70000000000005</c:v>
                </c:pt>
                <c:pt idx="71">
                  <c:v>623.29999999999995</c:v>
                </c:pt>
                <c:pt idx="72">
                  <c:v>628.79999999999995</c:v>
                </c:pt>
                <c:pt idx="73">
                  <c:v>634.5</c:v>
                </c:pt>
                <c:pt idx="74">
                  <c:v>640.70000000000005</c:v>
                </c:pt>
                <c:pt idx="75">
                  <c:v>647.5</c:v>
                </c:pt>
                <c:pt idx="76">
                  <c:v>654.4</c:v>
                </c:pt>
                <c:pt idx="77">
                  <c:v>662.4</c:v>
                </c:pt>
                <c:pt idx="78">
                  <c:v>671.9</c:v>
                </c:pt>
                <c:pt idx="79">
                  <c:v>682.7</c:v>
                </c:pt>
                <c:pt idx="80">
                  <c:v>693.7</c:v>
                </c:pt>
                <c:pt idx="81">
                  <c:v>707</c:v>
                </c:pt>
                <c:pt idx="82">
                  <c:v>726.7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3EE7-42F8-9B0B-A07A8C1580B4}"/>
            </c:ext>
          </c:extLst>
        </c:ser>
        <c:ser>
          <c:idx val="35"/>
          <c:order val="19"/>
          <c:tx>
            <c:v>HPS D16_2 HS6</c:v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'!$Z$10:$Z$87</c:f>
              <c:numCache>
                <c:formatCode>General</c:formatCode>
                <c:ptCount val="78"/>
                <c:pt idx="0">
                  <c:v>116.6</c:v>
                </c:pt>
                <c:pt idx="1">
                  <c:v>141.30000000000001</c:v>
                </c:pt>
                <c:pt idx="2">
                  <c:v>165.7</c:v>
                </c:pt>
                <c:pt idx="3">
                  <c:v>184.1</c:v>
                </c:pt>
                <c:pt idx="4">
                  <c:v>199.2</c:v>
                </c:pt>
                <c:pt idx="5">
                  <c:v>213.1</c:v>
                </c:pt>
                <c:pt idx="6">
                  <c:v>224.4</c:v>
                </c:pt>
                <c:pt idx="7">
                  <c:v>235.2</c:v>
                </c:pt>
                <c:pt idx="8">
                  <c:v>246.7</c:v>
                </c:pt>
                <c:pt idx="9">
                  <c:v>255.5</c:v>
                </c:pt>
                <c:pt idx="10">
                  <c:v>266</c:v>
                </c:pt>
                <c:pt idx="11">
                  <c:v>275.2</c:v>
                </c:pt>
                <c:pt idx="12">
                  <c:v>284.89999999999998</c:v>
                </c:pt>
                <c:pt idx="13">
                  <c:v>293.3</c:v>
                </c:pt>
                <c:pt idx="14">
                  <c:v>300.3</c:v>
                </c:pt>
                <c:pt idx="15">
                  <c:v>308.39999999999998</c:v>
                </c:pt>
                <c:pt idx="16">
                  <c:v>315.2</c:v>
                </c:pt>
                <c:pt idx="17">
                  <c:v>323.3</c:v>
                </c:pt>
                <c:pt idx="18">
                  <c:v>330.2</c:v>
                </c:pt>
                <c:pt idx="19">
                  <c:v>338</c:v>
                </c:pt>
                <c:pt idx="20">
                  <c:v>344.7</c:v>
                </c:pt>
                <c:pt idx="21">
                  <c:v>351</c:v>
                </c:pt>
                <c:pt idx="22">
                  <c:v>357.6</c:v>
                </c:pt>
                <c:pt idx="23">
                  <c:v>363.7</c:v>
                </c:pt>
                <c:pt idx="24">
                  <c:v>371</c:v>
                </c:pt>
                <c:pt idx="25">
                  <c:v>379</c:v>
                </c:pt>
                <c:pt idx="26">
                  <c:v>387.2</c:v>
                </c:pt>
                <c:pt idx="27">
                  <c:v>394.6</c:v>
                </c:pt>
                <c:pt idx="28">
                  <c:v>400.5</c:v>
                </c:pt>
                <c:pt idx="29">
                  <c:v>406.9</c:v>
                </c:pt>
                <c:pt idx="30">
                  <c:v>412.9</c:v>
                </c:pt>
                <c:pt idx="31">
                  <c:v>419.7</c:v>
                </c:pt>
                <c:pt idx="32">
                  <c:v>427.1</c:v>
                </c:pt>
                <c:pt idx="33">
                  <c:v>433.7</c:v>
                </c:pt>
                <c:pt idx="34">
                  <c:v>439.7</c:v>
                </c:pt>
                <c:pt idx="35">
                  <c:v>445.8</c:v>
                </c:pt>
                <c:pt idx="36">
                  <c:v>452.6</c:v>
                </c:pt>
                <c:pt idx="37">
                  <c:v>459.2</c:v>
                </c:pt>
                <c:pt idx="38">
                  <c:v>465.8</c:v>
                </c:pt>
                <c:pt idx="39">
                  <c:v>472</c:v>
                </c:pt>
                <c:pt idx="40">
                  <c:v>478.4</c:v>
                </c:pt>
                <c:pt idx="41">
                  <c:v>484.8</c:v>
                </c:pt>
                <c:pt idx="42">
                  <c:v>491.3</c:v>
                </c:pt>
                <c:pt idx="43">
                  <c:v>497.5</c:v>
                </c:pt>
                <c:pt idx="44">
                  <c:v>503.2</c:v>
                </c:pt>
                <c:pt idx="45">
                  <c:v>508.8</c:v>
                </c:pt>
                <c:pt idx="46">
                  <c:v>514.9</c:v>
                </c:pt>
                <c:pt idx="47">
                  <c:v>521</c:v>
                </c:pt>
                <c:pt idx="48">
                  <c:v>526.5</c:v>
                </c:pt>
                <c:pt idx="49">
                  <c:v>531.79999999999995</c:v>
                </c:pt>
                <c:pt idx="50">
                  <c:v>537</c:v>
                </c:pt>
                <c:pt idx="51">
                  <c:v>542.1</c:v>
                </c:pt>
                <c:pt idx="52">
                  <c:v>547.1</c:v>
                </c:pt>
                <c:pt idx="53">
                  <c:v>552.29999999999995</c:v>
                </c:pt>
                <c:pt idx="54">
                  <c:v>557.29999999999995</c:v>
                </c:pt>
                <c:pt idx="55">
                  <c:v>562</c:v>
                </c:pt>
                <c:pt idx="56">
                  <c:v>566.6</c:v>
                </c:pt>
                <c:pt idx="57">
                  <c:v>570.9</c:v>
                </c:pt>
                <c:pt idx="58">
                  <c:v>575.29999999999995</c:v>
                </c:pt>
                <c:pt idx="59">
                  <c:v>579.79999999999995</c:v>
                </c:pt>
                <c:pt idx="60">
                  <c:v>584.4</c:v>
                </c:pt>
                <c:pt idx="61">
                  <c:v>589.1</c:v>
                </c:pt>
                <c:pt idx="62">
                  <c:v>593.79999999999995</c:v>
                </c:pt>
                <c:pt idx="63">
                  <c:v>598.6</c:v>
                </c:pt>
                <c:pt idx="64">
                  <c:v>603.6</c:v>
                </c:pt>
                <c:pt idx="65">
                  <c:v>608.9</c:v>
                </c:pt>
                <c:pt idx="66">
                  <c:v>614.20000000000005</c:v>
                </c:pt>
                <c:pt idx="67">
                  <c:v>620</c:v>
                </c:pt>
                <c:pt idx="68">
                  <c:v>626</c:v>
                </c:pt>
                <c:pt idx="69">
                  <c:v>632.1</c:v>
                </c:pt>
                <c:pt idx="70">
                  <c:v>638.70000000000005</c:v>
                </c:pt>
                <c:pt idx="71">
                  <c:v>645.9</c:v>
                </c:pt>
                <c:pt idx="72">
                  <c:v>653.4</c:v>
                </c:pt>
                <c:pt idx="73">
                  <c:v>661.7</c:v>
                </c:pt>
                <c:pt idx="74">
                  <c:v>671.8</c:v>
                </c:pt>
                <c:pt idx="75">
                  <c:v>683.2</c:v>
                </c:pt>
                <c:pt idx="76">
                  <c:v>694.9</c:v>
                </c:pt>
                <c:pt idx="77">
                  <c:v>710.1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3EE7-42F8-9B0B-A07A8C1580B4}"/>
            </c:ext>
          </c:extLst>
        </c:ser>
        <c:ser>
          <c:idx val="13"/>
          <c:order val="21"/>
          <c:tx>
            <c:v>560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'!$AN$10:$AN$11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LTO DAILY '!$AO$10:$AO$11</c:f>
              <c:numCache>
                <c:formatCode>General</c:formatCode>
                <c:ptCount val="2"/>
                <c:pt idx="0">
                  <c:v>560</c:v>
                </c:pt>
                <c:pt idx="1">
                  <c:v>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BF-4AB3-9821-3A7844A12570}"/>
            </c:ext>
          </c:extLst>
        </c:ser>
        <c:ser>
          <c:idx val="16"/>
          <c:order val="28"/>
          <c:tx>
            <c:v>ISV D12 HS2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'!$U$223:$U$288</c:f>
              <c:numCache>
                <c:formatCode>General</c:formatCode>
                <c:ptCount val="66"/>
                <c:pt idx="0">
                  <c:v>200.7</c:v>
                </c:pt>
                <c:pt idx="1">
                  <c:v>237.7</c:v>
                </c:pt>
                <c:pt idx="2">
                  <c:v>279.7</c:v>
                </c:pt>
                <c:pt idx="3">
                  <c:v>307.3</c:v>
                </c:pt>
                <c:pt idx="4">
                  <c:v>328.5</c:v>
                </c:pt>
                <c:pt idx="5">
                  <c:v>348.3</c:v>
                </c:pt>
                <c:pt idx="6">
                  <c:v>363.9</c:v>
                </c:pt>
                <c:pt idx="7">
                  <c:v>381.4</c:v>
                </c:pt>
                <c:pt idx="8">
                  <c:v>397.3</c:v>
                </c:pt>
                <c:pt idx="9">
                  <c:v>410.7</c:v>
                </c:pt>
                <c:pt idx="10">
                  <c:v>424.3</c:v>
                </c:pt>
                <c:pt idx="11">
                  <c:v>436.9</c:v>
                </c:pt>
                <c:pt idx="12">
                  <c:v>449</c:v>
                </c:pt>
                <c:pt idx="13">
                  <c:v>461.1</c:v>
                </c:pt>
                <c:pt idx="14">
                  <c:v>472.5</c:v>
                </c:pt>
                <c:pt idx="15">
                  <c:v>483.3</c:v>
                </c:pt>
                <c:pt idx="16">
                  <c:v>493.8</c:v>
                </c:pt>
                <c:pt idx="17">
                  <c:v>502.8</c:v>
                </c:pt>
                <c:pt idx="18">
                  <c:v>511.3</c:v>
                </c:pt>
                <c:pt idx="19">
                  <c:v>519.70000000000005</c:v>
                </c:pt>
                <c:pt idx="20">
                  <c:v>527</c:v>
                </c:pt>
                <c:pt idx="21">
                  <c:v>533.5</c:v>
                </c:pt>
                <c:pt idx="22">
                  <c:v>539.20000000000005</c:v>
                </c:pt>
                <c:pt idx="23">
                  <c:v>544.29999999999995</c:v>
                </c:pt>
                <c:pt idx="24">
                  <c:v>549.20000000000005</c:v>
                </c:pt>
                <c:pt idx="25">
                  <c:v>553.79999999999995</c:v>
                </c:pt>
                <c:pt idx="26">
                  <c:v>557.9</c:v>
                </c:pt>
                <c:pt idx="27">
                  <c:v>561.79999999999995</c:v>
                </c:pt>
                <c:pt idx="28">
                  <c:v>565.4</c:v>
                </c:pt>
                <c:pt idx="29">
                  <c:v>568.6</c:v>
                </c:pt>
                <c:pt idx="30">
                  <c:v>571.79999999999995</c:v>
                </c:pt>
                <c:pt idx="31">
                  <c:v>574.9</c:v>
                </c:pt>
                <c:pt idx="32">
                  <c:v>578.1</c:v>
                </c:pt>
                <c:pt idx="33">
                  <c:v>581.29999999999995</c:v>
                </c:pt>
                <c:pt idx="34">
                  <c:v>584.5</c:v>
                </c:pt>
                <c:pt idx="35">
                  <c:v>587.5</c:v>
                </c:pt>
                <c:pt idx="36">
                  <c:v>590.5</c:v>
                </c:pt>
                <c:pt idx="37">
                  <c:v>593.5</c:v>
                </c:pt>
                <c:pt idx="38">
                  <c:v>596.5</c:v>
                </c:pt>
                <c:pt idx="39">
                  <c:v>599.5</c:v>
                </c:pt>
                <c:pt idx="40">
                  <c:v>602.6</c:v>
                </c:pt>
                <c:pt idx="41">
                  <c:v>605.79999999999995</c:v>
                </c:pt>
                <c:pt idx="42">
                  <c:v>608.9</c:v>
                </c:pt>
                <c:pt idx="43">
                  <c:v>612.1</c:v>
                </c:pt>
                <c:pt idx="44">
                  <c:v>615.29999999999995</c:v>
                </c:pt>
                <c:pt idx="45">
                  <c:v>618.70000000000005</c:v>
                </c:pt>
                <c:pt idx="46">
                  <c:v>622.20000000000005</c:v>
                </c:pt>
                <c:pt idx="47">
                  <c:v>625.6</c:v>
                </c:pt>
                <c:pt idx="48">
                  <c:v>629.1</c:v>
                </c:pt>
                <c:pt idx="49">
                  <c:v>632.5</c:v>
                </c:pt>
                <c:pt idx="50">
                  <c:v>636.1</c:v>
                </c:pt>
                <c:pt idx="51">
                  <c:v>639.79999999999995</c:v>
                </c:pt>
                <c:pt idx="52">
                  <c:v>643.79999999999995</c:v>
                </c:pt>
                <c:pt idx="53">
                  <c:v>647.9</c:v>
                </c:pt>
                <c:pt idx="54">
                  <c:v>651.9</c:v>
                </c:pt>
                <c:pt idx="55">
                  <c:v>655.9</c:v>
                </c:pt>
                <c:pt idx="56">
                  <c:v>660.5</c:v>
                </c:pt>
                <c:pt idx="57">
                  <c:v>666</c:v>
                </c:pt>
                <c:pt idx="58">
                  <c:v>671.6</c:v>
                </c:pt>
                <c:pt idx="59">
                  <c:v>677.3</c:v>
                </c:pt>
                <c:pt idx="60">
                  <c:v>683.7</c:v>
                </c:pt>
                <c:pt idx="61">
                  <c:v>690.2</c:v>
                </c:pt>
                <c:pt idx="62">
                  <c:v>696.5</c:v>
                </c:pt>
                <c:pt idx="63">
                  <c:v>704.1</c:v>
                </c:pt>
                <c:pt idx="64">
                  <c:v>713.5</c:v>
                </c:pt>
                <c:pt idx="65">
                  <c:v>727.9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3EE7-42F8-9B0B-A07A8C1580B4}"/>
            </c:ext>
          </c:extLst>
        </c:ser>
        <c:ser>
          <c:idx val="22"/>
          <c:order val="29"/>
          <c:tx>
            <c:v>ISV D13 HS3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'!$V$223:$V$295</c:f>
              <c:numCache>
                <c:formatCode>General</c:formatCode>
                <c:ptCount val="73"/>
                <c:pt idx="0">
                  <c:v>124.1</c:v>
                </c:pt>
                <c:pt idx="1">
                  <c:v>166.3</c:v>
                </c:pt>
                <c:pt idx="2">
                  <c:v>213.1</c:v>
                </c:pt>
                <c:pt idx="3">
                  <c:v>244.5</c:v>
                </c:pt>
                <c:pt idx="4">
                  <c:v>270</c:v>
                </c:pt>
                <c:pt idx="5">
                  <c:v>293.3</c:v>
                </c:pt>
                <c:pt idx="6">
                  <c:v>313</c:v>
                </c:pt>
                <c:pt idx="7">
                  <c:v>330.4</c:v>
                </c:pt>
                <c:pt idx="8">
                  <c:v>346.2</c:v>
                </c:pt>
                <c:pt idx="9">
                  <c:v>361.3</c:v>
                </c:pt>
                <c:pt idx="10">
                  <c:v>376</c:v>
                </c:pt>
                <c:pt idx="11">
                  <c:v>390.6</c:v>
                </c:pt>
                <c:pt idx="12">
                  <c:v>400.8</c:v>
                </c:pt>
                <c:pt idx="13">
                  <c:v>410.9</c:v>
                </c:pt>
                <c:pt idx="14">
                  <c:v>425.2</c:v>
                </c:pt>
                <c:pt idx="15">
                  <c:v>437</c:v>
                </c:pt>
                <c:pt idx="16">
                  <c:v>446.5</c:v>
                </c:pt>
                <c:pt idx="17">
                  <c:v>457.9</c:v>
                </c:pt>
                <c:pt idx="18">
                  <c:v>468.9</c:v>
                </c:pt>
                <c:pt idx="19">
                  <c:v>478.1</c:v>
                </c:pt>
                <c:pt idx="20">
                  <c:v>487.9</c:v>
                </c:pt>
                <c:pt idx="21">
                  <c:v>497.5</c:v>
                </c:pt>
                <c:pt idx="22">
                  <c:v>505.2</c:v>
                </c:pt>
                <c:pt idx="23">
                  <c:v>513</c:v>
                </c:pt>
                <c:pt idx="24">
                  <c:v>520.9</c:v>
                </c:pt>
                <c:pt idx="25">
                  <c:v>527.5</c:v>
                </c:pt>
                <c:pt idx="26">
                  <c:v>533.6</c:v>
                </c:pt>
                <c:pt idx="27">
                  <c:v>539.1</c:v>
                </c:pt>
                <c:pt idx="28">
                  <c:v>544.20000000000005</c:v>
                </c:pt>
                <c:pt idx="29">
                  <c:v>549.20000000000005</c:v>
                </c:pt>
                <c:pt idx="30">
                  <c:v>553.79999999999995</c:v>
                </c:pt>
                <c:pt idx="31">
                  <c:v>558.1</c:v>
                </c:pt>
                <c:pt idx="32">
                  <c:v>562</c:v>
                </c:pt>
                <c:pt idx="33">
                  <c:v>565.79999999999995</c:v>
                </c:pt>
                <c:pt idx="34">
                  <c:v>569.20000000000005</c:v>
                </c:pt>
                <c:pt idx="35">
                  <c:v>572.4</c:v>
                </c:pt>
                <c:pt idx="36">
                  <c:v>575.6</c:v>
                </c:pt>
                <c:pt idx="37">
                  <c:v>578.9</c:v>
                </c:pt>
                <c:pt idx="38">
                  <c:v>582.1</c:v>
                </c:pt>
                <c:pt idx="39">
                  <c:v>585.20000000000005</c:v>
                </c:pt>
                <c:pt idx="40">
                  <c:v>588.4</c:v>
                </c:pt>
                <c:pt idx="41">
                  <c:v>591.5</c:v>
                </c:pt>
                <c:pt idx="42">
                  <c:v>594.5</c:v>
                </c:pt>
                <c:pt idx="43">
                  <c:v>597.5</c:v>
                </c:pt>
                <c:pt idx="44">
                  <c:v>600.6</c:v>
                </c:pt>
                <c:pt idx="45">
                  <c:v>603.79999999999995</c:v>
                </c:pt>
                <c:pt idx="46">
                  <c:v>607</c:v>
                </c:pt>
                <c:pt idx="47">
                  <c:v>610.20000000000005</c:v>
                </c:pt>
                <c:pt idx="48">
                  <c:v>613.4</c:v>
                </c:pt>
                <c:pt idx="49">
                  <c:v>616.6</c:v>
                </c:pt>
                <c:pt idx="50">
                  <c:v>620.1</c:v>
                </c:pt>
                <c:pt idx="51">
                  <c:v>623.5</c:v>
                </c:pt>
                <c:pt idx="52">
                  <c:v>626.9</c:v>
                </c:pt>
                <c:pt idx="53">
                  <c:v>630.29999999999995</c:v>
                </c:pt>
                <c:pt idx="54">
                  <c:v>633.79999999999995</c:v>
                </c:pt>
                <c:pt idx="55">
                  <c:v>637.29999999999995</c:v>
                </c:pt>
                <c:pt idx="56">
                  <c:v>641.1</c:v>
                </c:pt>
                <c:pt idx="57">
                  <c:v>645</c:v>
                </c:pt>
                <c:pt idx="58">
                  <c:v>648.9</c:v>
                </c:pt>
                <c:pt idx="59">
                  <c:v>652.9</c:v>
                </c:pt>
                <c:pt idx="60">
                  <c:v>656.7</c:v>
                </c:pt>
                <c:pt idx="61">
                  <c:v>661.3</c:v>
                </c:pt>
                <c:pt idx="62">
                  <c:v>666.3</c:v>
                </c:pt>
                <c:pt idx="63">
                  <c:v>671.4</c:v>
                </c:pt>
                <c:pt idx="64">
                  <c:v>676.3</c:v>
                </c:pt>
                <c:pt idx="65">
                  <c:v>682.2</c:v>
                </c:pt>
                <c:pt idx="66">
                  <c:v>687.5</c:v>
                </c:pt>
                <c:pt idx="67">
                  <c:v>692.8</c:v>
                </c:pt>
                <c:pt idx="68">
                  <c:v>698.5</c:v>
                </c:pt>
                <c:pt idx="69">
                  <c:v>704.3</c:v>
                </c:pt>
                <c:pt idx="70">
                  <c:v>710.9</c:v>
                </c:pt>
                <c:pt idx="71">
                  <c:v>718.7</c:v>
                </c:pt>
                <c:pt idx="72">
                  <c:v>727.3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3EE7-42F8-9B0B-A07A8C1580B4}"/>
            </c:ext>
          </c:extLst>
        </c:ser>
        <c:ser>
          <c:idx val="41"/>
          <c:order val="40"/>
          <c:tx>
            <c:v>LTO D11 HS1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'!$T$116:$T$216</c:f>
              <c:numCache>
                <c:formatCode>General</c:formatCode>
                <c:ptCount val="101"/>
                <c:pt idx="0">
                  <c:v>35.200000000000003</c:v>
                </c:pt>
                <c:pt idx="1">
                  <c:v>55.4</c:v>
                </c:pt>
                <c:pt idx="2">
                  <c:v>67</c:v>
                </c:pt>
                <c:pt idx="3">
                  <c:v>68.400000000000006</c:v>
                </c:pt>
                <c:pt idx="4">
                  <c:v>74.5</c:v>
                </c:pt>
                <c:pt idx="5">
                  <c:v>86.6</c:v>
                </c:pt>
                <c:pt idx="6">
                  <c:v>88.3</c:v>
                </c:pt>
                <c:pt idx="7">
                  <c:v>90.5</c:v>
                </c:pt>
                <c:pt idx="8">
                  <c:v>97.5</c:v>
                </c:pt>
                <c:pt idx="9">
                  <c:v>98.1</c:v>
                </c:pt>
                <c:pt idx="10">
                  <c:v>98.5</c:v>
                </c:pt>
                <c:pt idx="11">
                  <c:v>101.5</c:v>
                </c:pt>
                <c:pt idx="12">
                  <c:v>102.4</c:v>
                </c:pt>
                <c:pt idx="13">
                  <c:v>112</c:v>
                </c:pt>
                <c:pt idx="14">
                  <c:v>115.2</c:v>
                </c:pt>
                <c:pt idx="15">
                  <c:v>117.1</c:v>
                </c:pt>
                <c:pt idx="16">
                  <c:v>117.8</c:v>
                </c:pt>
                <c:pt idx="17">
                  <c:v>119</c:v>
                </c:pt>
                <c:pt idx="18">
                  <c:v>122.7</c:v>
                </c:pt>
                <c:pt idx="19">
                  <c:v>126.3</c:v>
                </c:pt>
                <c:pt idx="20">
                  <c:v>126.8</c:v>
                </c:pt>
                <c:pt idx="21">
                  <c:v>127.1</c:v>
                </c:pt>
                <c:pt idx="22">
                  <c:v>130.9</c:v>
                </c:pt>
                <c:pt idx="23">
                  <c:v>133.30000000000001</c:v>
                </c:pt>
                <c:pt idx="24">
                  <c:v>135.1</c:v>
                </c:pt>
                <c:pt idx="25">
                  <c:v>138.30000000000001</c:v>
                </c:pt>
                <c:pt idx="26">
                  <c:v>140.6</c:v>
                </c:pt>
                <c:pt idx="27">
                  <c:v>142.80000000000001</c:v>
                </c:pt>
                <c:pt idx="28">
                  <c:v>144.19999999999999</c:v>
                </c:pt>
                <c:pt idx="29">
                  <c:v>145.4</c:v>
                </c:pt>
                <c:pt idx="30">
                  <c:v>147</c:v>
                </c:pt>
                <c:pt idx="31">
                  <c:v>151.4</c:v>
                </c:pt>
                <c:pt idx="32">
                  <c:v>152</c:v>
                </c:pt>
                <c:pt idx="33">
                  <c:v>152.30000000000001</c:v>
                </c:pt>
                <c:pt idx="34">
                  <c:v>153.6</c:v>
                </c:pt>
                <c:pt idx="35">
                  <c:v>157.30000000000001</c:v>
                </c:pt>
                <c:pt idx="36">
                  <c:v>159.9</c:v>
                </c:pt>
                <c:pt idx="37">
                  <c:v>161.69999999999999</c:v>
                </c:pt>
                <c:pt idx="38">
                  <c:v>163.1</c:v>
                </c:pt>
                <c:pt idx="39">
                  <c:v>165.7</c:v>
                </c:pt>
                <c:pt idx="40">
                  <c:v>166.6</c:v>
                </c:pt>
                <c:pt idx="41">
                  <c:v>167.3</c:v>
                </c:pt>
                <c:pt idx="42">
                  <c:v>169.7</c:v>
                </c:pt>
                <c:pt idx="43">
                  <c:v>171.1</c:v>
                </c:pt>
                <c:pt idx="44">
                  <c:v>174.6</c:v>
                </c:pt>
                <c:pt idx="45">
                  <c:v>175.2</c:v>
                </c:pt>
                <c:pt idx="46">
                  <c:v>175.7</c:v>
                </c:pt>
                <c:pt idx="47">
                  <c:v>177.4</c:v>
                </c:pt>
                <c:pt idx="48">
                  <c:v>180</c:v>
                </c:pt>
                <c:pt idx="49">
                  <c:v>182</c:v>
                </c:pt>
                <c:pt idx="50">
                  <c:v>183.8</c:v>
                </c:pt>
                <c:pt idx="51">
                  <c:v>185.9</c:v>
                </c:pt>
                <c:pt idx="52">
                  <c:v>188.5</c:v>
                </c:pt>
                <c:pt idx="53">
                  <c:v>189.6</c:v>
                </c:pt>
                <c:pt idx="54">
                  <c:v>191.8</c:v>
                </c:pt>
                <c:pt idx="55">
                  <c:v>194.9</c:v>
                </c:pt>
                <c:pt idx="56">
                  <c:v>196.9</c:v>
                </c:pt>
                <c:pt idx="57">
                  <c:v>197.4</c:v>
                </c:pt>
                <c:pt idx="58">
                  <c:v>198.7</c:v>
                </c:pt>
                <c:pt idx="59">
                  <c:v>202</c:v>
                </c:pt>
                <c:pt idx="60">
                  <c:v>203.6</c:v>
                </c:pt>
                <c:pt idx="61">
                  <c:v>205.4</c:v>
                </c:pt>
                <c:pt idx="62">
                  <c:v>207.9</c:v>
                </c:pt>
                <c:pt idx="63">
                  <c:v>210.2</c:v>
                </c:pt>
                <c:pt idx="64">
                  <c:v>212.8</c:v>
                </c:pt>
                <c:pt idx="65">
                  <c:v>215.6</c:v>
                </c:pt>
                <c:pt idx="66">
                  <c:v>217</c:v>
                </c:pt>
                <c:pt idx="67">
                  <c:v>217.9</c:v>
                </c:pt>
                <c:pt idx="68">
                  <c:v>220.2</c:v>
                </c:pt>
                <c:pt idx="69">
                  <c:v>223.2</c:v>
                </c:pt>
                <c:pt idx="70">
                  <c:v>226</c:v>
                </c:pt>
                <c:pt idx="71">
                  <c:v>228.7</c:v>
                </c:pt>
                <c:pt idx="72">
                  <c:v>230.8</c:v>
                </c:pt>
                <c:pt idx="73">
                  <c:v>234.3</c:v>
                </c:pt>
                <c:pt idx="74">
                  <c:v>236.1</c:v>
                </c:pt>
                <c:pt idx="75">
                  <c:v>237.5</c:v>
                </c:pt>
                <c:pt idx="76">
                  <c:v>241</c:v>
                </c:pt>
                <c:pt idx="77">
                  <c:v>245.2</c:v>
                </c:pt>
                <c:pt idx="78">
                  <c:v>248.4</c:v>
                </c:pt>
                <c:pt idx="79">
                  <c:v>251.8</c:v>
                </c:pt>
                <c:pt idx="80">
                  <c:v>254.8</c:v>
                </c:pt>
                <c:pt idx="81">
                  <c:v>256.7</c:v>
                </c:pt>
                <c:pt idx="82">
                  <c:v>261.2</c:v>
                </c:pt>
                <c:pt idx="83">
                  <c:v>265.10000000000002</c:v>
                </c:pt>
                <c:pt idx="84">
                  <c:v>269</c:v>
                </c:pt>
                <c:pt idx="85">
                  <c:v>272.10000000000002</c:v>
                </c:pt>
                <c:pt idx="86">
                  <c:v>276.7</c:v>
                </c:pt>
                <c:pt idx="87">
                  <c:v>281.8</c:v>
                </c:pt>
                <c:pt idx="88">
                  <c:v>287.3</c:v>
                </c:pt>
                <c:pt idx="89">
                  <c:v>291.39999999999998</c:v>
                </c:pt>
                <c:pt idx="90">
                  <c:v>297.5</c:v>
                </c:pt>
                <c:pt idx="91">
                  <c:v>303</c:v>
                </c:pt>
                <c:pt idx="92">
                  <c:v>309.7</c:v>
                </c:pt>
                <c:pt idx="93">
                  <c:v>316.8</c:v>
                </c:pt>
                <c:pt idx="94">
                  <c:v>325.3</c:v>
                </c:pt>
                <c:pt idx="95">
                  <c:v>334.9</c:v>
                </c:pt>
                <c:pt idx="96">
                  <c:v>346.4</c:v>
                </c:pt>
                <c:pt idx="97">
                  <c:v>361</c:v>
                </c:pt>
                <c:pt idx="98">
                  <c:v>380.1</c:v>
                </c:pt>
                <c:pt idx="99">
                  <c:v>408.7</c:v>
                </c:pt>
                <c:pt idx="100">
                  <c:v>432.2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3EE7-42F8-9B0B-A07A8C1580B4}"/>
            </c:ext>
          </c:extLst>
        </c:ser>
        <c:ser>
          <c:idx val="42"/>
          <c:order val="41"/>
          <c:tx>
            <c:v>LTO D12 HS2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'!$U$116:$U$216</c:f>
              <c:numCache>
                <c:formatCode>General</c:formatCode>
                <c:ptCount val="101"/>
                <c:pt idx="0">
                  <c:v>55</c:v>
                </c:pt>
                <c:pt idx="1">
                  <c:v>66.8</c:v>
                </c:pt>
                <c:pt idx="2">
                  <c:v>74.7</c:v>
                </c:pt>
                <c:pt idx="3">
                  <c:v>87.7</c:v>
                </c:pt>
                <c:pt idx="4">
                  <c:v>92.3</c:v>
                </c:pt>
                <c:pt idx="5">
                  <c:v>97.9</c:v>
                </c:pt>
                <c:pt idx="6">
                  <c:v>98.4</c:v>
                </c:pt>
                <c:pt idx="7">
                  <c:v>102</c:v>
                </c:pt>
                <c:pt idx="8">
                  <c:v>112.2</c:v>
                </c:pt>
                <c:pt idx="9">
                  <c:v>116.5</c:v>
                </c:pt>
                <c:pt idx="10">
                  <c:v>117.3</c:v>
                </c:pt>
                <c:pt idx="11">
                  <c:v>118.6</c:v>
                </c:pt>
                <c:pt idx="12">
                  <c:v>122</c:v>
                </c:pt>
                <c:pt idx="13">
                  <c:v>126.2</c:v>
                </c:pt>
                <c:pt idx="14">
                  <c:v>126.7</c:v>
                </c:pt>
                <c:pt idx="15">
                  <c:v>127.1</c:v>
                </c:pt>
                <c:pt idx="16">
                  <c:v>132</c:v>
                </c:pt>
                <c:pt idx="17">
                  <c:v>133.6</c:v>
                </c:pt>
                <c:pt idx="18">
                  <c:v>135.6</c:v>
                </c:pt>
                <c:pt idx="19">
                  <c:v>138.69999999999999</c:v>
                </c:pt>
                <c:pt idx="20">
                  <c:v>140.69999999999999</c:v>
                </c:pt>
                <c:pt idx="21">
                  <c:v>143</c:v>
                </c:pt>
                <c:pt idx="22">
                  <c:v>144.5</c:v>
                </c:pt>
                <c:pt idx="23">
                  <c:v>145.69999999999999</c:v>
                </c:pt>
                <c:pt idx="24">
                  <c:v>147.4</c:v>
                </c:pt>
                <c:pt idx="25">
                  <c:v>151.5</c:v>
                </c:pt>
                <c:pt idx="26">
                  <c:v>152</c:v>
                </c:pt>
                <c:pt idx="27">
                  <c:v>152.30000000000001</c:v>
                </c:pt>
                <c:pt idx="28">
                  <c:v>153.9</c:v>
                </c:pt>
                <c:pt idx="29">
                  <c:v>157.6</c:v>
                </c:pt>
                <c:pt idx="30">
                  <c:v>159.9</c:v>
                </c:pt>
                <c:pt idx="31">
                  <c:v>161.6</c:v>
                </c:pt>
                <c:pt idx="32">
                  <c:v>163</c:v>
                </c:pt>
                <c:pt idx="33">
                  <c:v>165.4</c:v>
                </c:pt>
                <c:pt idx="34">
                  <c:v>166.5</c:v>
                </c:pt>
                <c:pt idx="35">
                  <c:v>167.1</c:v>
                </c:pt>
                <c:pt idx="36">
                  <c:v>169.3</c:v>
                </c:pt>
                <c:pt idx="37">
                  <c:v>170.5</c:v>
                </c:pt>
                <c:pt idx="38">
                  <c:v>174.2</c:v>
                </c:pt>
                <c:pt idx="39">
                  <c:v>175</c:v>
                </c:pt>
                <c:pt idx="40">
                  <c:v>175.4</c:v>
                </c:pt>
                <c:pt idx="41">
                  <c:v>176.4</c:v>
                </c:pt>
                <c:pt idx="42">
                  <c:v>178.7</c:v>
                </c:pt>
                <c:pt idx="43">
                  <c:v>180.5</c:v>
                </c:pt>
                <c:pt idx="44">
                  <c:v>182.7</c:v>
                </c:pt>
                <c:pt idx="45">
                  <c:v>184.3</c:v>
                </c:pt>
                <c:pt idx="46">
                  <c:v>186.4</c:v>
                </c:pt>
                <c:pt idx="47">
                  <c:v>188.7</c:v>
                </c:pt>
                <c:pt idx="48">
                  <c:v>189.8</c:v>
                </c:pt>
                <c:pt idx="49">
                  <c:v>192.2</c:v>
                </c:pt>
                <c:pt idx="50">
                  <c:v>194.9</c:v>
                </c:pt>
                <c:pt idx="51">
                  <c:v>196.8</c:v>
                </c:pt>
                <c:pt idx="52">
                  <c:v>197.3</c:v>
                </c:pt>
                <c:pt idx="53">
                  <c:v>198</c:v>
                </c:pt>
                <c:pt idx="54">
                  <c:v>201.3</c:v>
                </c:pt>
                <c:pt idx="55">
                  <c:v>203.1</c:v>
                </c:pt>
                <c:pt idx="56">
                  <c:v>204.7</c:v>
                </c:pt>
                <c:pt idx="57">
                  <c:v>206.9</c:v>
                </c:pt>
                <c:pt idx="58">
                  <c:v>208.9</c:v>
                </c:pt>
                <c:pt idx="59">
                  <c:v>211.1</c:v>
                </c:pt>
                <c:pt idx="60">
                  <c:v>213.6</c:v>
                </c:pt>
                <c:pt idx="61">
                  <c:v>216.3</c:v>
                </c:pt>
                <c:pt idx="62">
                  <c:v>217.1</c:v>
                </c:pt>
                <c:pt idx="63">
                  <c:v>218.5</c:v>
                </c:pt>
                <c:pt idx="64">
                  <c:v>220.3</c:v>
                </c:pt>
                <c:pt idx="65">
                  <c:v>223</c:v>
                </c:pt>
                <c:pt idx="66">
                  <c:v>225.6</c:v>
                </c:pt>
                <c:pt idx="67">
                  <c:v>228.2</c:v>
                </c:pt>
                <c:pt idx="68">
                  <c:v>230.2</c:v>
                </c:pt>
                <c:pt idx="69">
                  <c:v>232.6</c:v>
                </c:pt>
                <c:pt idx="70">
                  <c:v>235.6</c:v>
                </c:pt>
                <c:pt idx="71">
                  <c:v>236.4</c:v>
                </c:pt>
                <c:pt idx="72">
                  <c:v>238.7</c:v>
                </c:pt>
                <c:pt idx="73">
                  <c:v>242.2</c:v>
                </c:pt>
                <c:pt idx="74">
                  <c:v>245.8</c:v>
                </c:pt>
                <c:pt idx="75">
                  <c:v>248.8</c:v>
                </c:pt>
                <c:pt idx="76">
                  <c:v>251.8</c:v>
                </c:pt>
                <c:pt idx="77">
                  <c:v>254.7</c:v>
                </c:pt>
                <c:pt idx="78">
                  <c:v>255.9</c:v>
                </c:pt>
                <c:pt idx="79">
                  <c:v>259.8</c:v>
                </c:pt>
                <c:pt idx="80">
                  <c:v>263.8</c:v>
                </c:pt>
                <c:pt idx="81">
                  <c:v>266.7</c:v>
                </c:pt>
                <c:pt idx="82">
                  <c:v>271.2</c:v>
                </c:pt>
                <c:pt idx="83">
                  <c:v>272.89999999999998</c:v>
                </c:pt>
                <c:pt idx="84">
                  <c:v>278.2</c:v>
                </c:pt>
                <c:pt idx="85">
                  <c:v>282.39999999999998</c:v>
                </c:pt>
                <c:pt idx="86">
                  <c:v>287.39999999999998</c:v>
                </c:pt>
                <c:pt idx="87">
                  <c:v>290.89999999999998</c:v>
                </c:pt>
                <c:pt idx="88">
                  <c:v>296.5</c:v>
                </c:pt>
                <c:pt idx="89">
                  <c:v>302.3</c:v>
                </c:pt>
                <c:pt idx="90">
                  <c:v>306.60000000000002</c:v>
                </c:pt>
                <c:pt idx="91">
                  <c:v>313.2</c:v>
                </c:pt>
                <c:pt idx="92">
                  <c:v>318.89999999999998</c:v>
                </c:pt>
                <c:pt idx="93">
                  <c:v>327.60000000000002</c:v>
                </c:pt>
                <c:pt idx="94">
                  <c:v>336.1</c:v>
                </c:pt>
                <c:pt idx="95">
                  <c:v>345.7</c:v>
                </c:pt>
                <c:pt idx="96">
                  <c:v>357.5</c:v>
                </c:pt>
                <c:pt idx="97">
                  <c:v>372</c:v>
                </c:pt>
                <c:pt idx="98">
                  <c:v>391.4</c:v>
                </c:pt>
                <c:pt idx="99">
                  <c:v>420</c:v>
                </c:pt>
                <c:pt idx="100">
                  <c:v>442.9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3EE7-42F8-9B0B-A07A8C1580B4}"/>
            </c:ext>
          </c:extLst>
        </c:ser>
        <c:ser>
          <c:idx val="43"/>
          <c:order val="42"/>
          <c:tx>
            <c:v>LTO D13 HS3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'!$V$116:$V$216</c:f>
              <c:numCache>
                <c:formatCode>General</c:formatCode>
                <c:ptCount val="101"/>
                <c:pt idx="0">
                  <c:v>54.4</c:v>
                </c:pt>
                <c:pt idx="1">
                  <c:v>61.4</c:v>
                </c:pt>
                <c:pt idx="2">
                  <c:v>74.3</c:v>
                </c:pt>
                <c:pt idx="3">
                  <c:v>87.8</c:v>
                </c:pt>
                <c:pt idx="4">
                  <c:v>92.7</c:v>
                </c:pt>
                <c:pt idx="5">
                  <c:v>98.2</c:v>
                </c:pt>
                <c:pt idx="6">
                  <c:v>101.3</c:v>
                </c:pt>
                <c:pt idx="7">
                  <c:v>105.5</c:v>
                </c:pt>
                <c:pt idx="8">
                  <c:v>114.5</c:v>
                </c:pt>
                <c:pt idx="9">
                  <c:v>117.2</c:v>
                </c:pt>
                <c:pt idx="10">
                  <c:v>118.4</c:v>
                </c:pt>
                <c:pt idx="11">
                  <c:v>121.9</c:v>
                </c:pt>
                <c:pt idx="12">
                  <c:v>126.3</c:v>
                </c:pt>
                <c:pt idx="13">
                  <c:v>126.9</c:v>
                </c:pt>
                <c:pt idx="14">
                  <c:v>127.3</c:v>
                </c:pt>
                <c:pt idx="15">
                  <c:v>133</c:v>
                </c:pt>
                <c:pt idx="16">
                  <c:v>134.30000000000001</c:v>
                </c:pt>
                <c:pt idx="17">
                  <c:v>138.1</c:v>
                </c:pt>
                <c:pt idx="18">
                  <c:v>140.69999999999999</c:v>
                </c:pt>
                <c:pt idx="19">
                  <c:v>143</c:v>
                </c:pt>
                <c:pt idx="20">
                  <c:v>144.69999999999999</c:v>
                </c:pt>
                <c:pt idx="21">
                  <c:v>146</c:v>
                </c:pt>
                <c:pt idx="22">
                  <c:v>149.80000000000001</c:v>
                </c:pt>
                <c:pt idx="23">
                  <c:v>151.80000000000001</c:v>
                </c:pt>
                <c:pt idx="24">
                  <c:v>152.30000000000001</c:v>
                </c:pt>
                <c:pt idx="25">
                  <c:v>152.80000000000001</c:v>
                </c:pt>
                <c:pt idx="26">
                  <c:v>157.1</c:v>
                </c:pt>
                <c:pt idx="27">
                  <c:v>159.80000000000001</c:v>
                </c:pt>
                <c:pt idx="28">
                  <c:v>161.4</c:v>
                </c:pt>
                <c:pt idx="29">
                  <c:v>163</c:v>
                </c:pt>
                <c:pt idx="30">
                  <c:v>165.8</c:v>
                </c:pt>
                <c:pt idx="31">
                  <c:v>166.6</c:v>
                </c:pt>
                <c:pt idx="32">
                  <c:v>167.7</c:v>
                </c:pt>
                <c:pt idx="33">
                  <c:v>169.9</c:v>
                </c:pt>
                <c:pt idx="34">
                  <c:v>172.3</c:v>
                </c:pt>
                <c:pt idx="35">
                  <c:v>174.8</c:v>
                </c:pt>
                <c:pt idx="36">
                  <c:v>175.4</c:v>
                </c:pt>
                <c:pt idx="37">
                  <c:v>175.9</c:v>
                </c:pt>
                <c:pt idx="38">
                  <c:v>178.3</c:v>
                </c:pt>
                <c:pt idx="39">
                  <c:v>180.4</c:v>
                </c:pt>
                <c:pt idx="40">
                  <c:v>182.5</c:v>
                </c:pt>
                <c:pt idx="41">
                  <c:v>184.2</c:v>
                </c:pt>
                <c:pt idx="42">
                  <c:v>186.4</c:v>
                </c:pt>
                <c:pt idx="43">
                  <c:v>188.7</c:v>
                </c:pt>
                <c:pt idx="44">
                  <c:v>190</c:v>
                </c:pt>
                <c:pt idx="45">
                  <c:v>192.8</c:v>
                </c:pt>
                <c:pt idx="46">
                  <c:v>195.6</c:v>
                </c:pt>
                <c:pt idx="47">
                  <c:v>197</c:v>
                </c:pt>
                <c:pt idx="48">
                  <c:v>197.5</c:v>
                </c:pt>
                <c:pt idx="49">
                  <c:v>199.5</c:v>
                </c:pt>
                <c:pt idx="50">
                  <c:v>202.3</c:v>
                </c:pt>
                <c:pt idx="51">
                  <c:v>203.7</c:v>
                </c:pt>
                <c:pt idx="52">
                  <c:v>205.4</c:v>
                </c:pt>
                <c:pt idx="53">
                  <c:v>207.7</c:v>
                </c:pt>
                <c:pt idx="54">
                  <c:v>209.9</c:v>
                </c:pt>
                <c:pt idx="55">
                  <c:v>212.3</c:v>
                </c:pt>
                <c:pt idx="56">
                  <c:v>214.7</c:v>
                </c:pt>
                <c:pt idx="57">
                  <c:v>216.8</c:v>
                </c:pt>
                <c:pt idx="58">
                  <c:v>217.4</c:v>
                </c:pt>
                <c:pt idx="59">
                  <c:v>219.5</c:v>
                </c:pt>
                <c:pt idx="60">
                  <c:v>221.3</c:v>
                </c:pt>
                <c:pt idx="61">
                  <c:v>224</c:v>
                </c:pt>
                <c:pt idx="62">
                  <c:v>226.6</c:v>
                </c:pt>
                <c:pt idx="63">
                  <c:v>228.8</c:v>
                </c:pt>
                <c:pt idx="64">
                  <c:v>230.8</c:v>
                </c:pt>
                <c:pt idx="65">
                  <c:v>233.2</c:v>
                </c:pt>
                <c:pt idx="66">
                  <c:v>235.9</c:v>
                </c:pt>
                <c:pt idx="67">
                  <c:v>236.6</c:v>
                </c:pt>
                <c:pt idx="68">
                  <c:v>239</c:v>
                </c:pt>
                <c:pt idx="69">
                  <c:v>242.2</c:v>
                </c:pt>
                <c:pt idx="70">
                  <c:v>245.6</c:v>
                </c:pt>
                <c:pt idx="71">
                  <c:v>248.5</c:v>
                </c:pt>
                <c:pt idx="72">
                  <c:v>251.1</c:v>
                </c:pt>
                <c:pt idx="73">
                  <c:v>254.4</c:v>
                </c:pt>
                <c:pt idx="74">
                  <c:v>255.5</c:v>
                </c:pt>
                <c:pt idx="75">
                  <c:v>258</c:v>
                </c:pt>
                <c:pt idx="76">
                  <c:v>262</c:v>
                </c:pt>
                <c:pt idx="77">
                  <c:v>265.10000000000002</c:v>
                </c:pt>
                <c:pt idx="78">
                  <c:v>268.10000000000002</c:v>
                </c:pt>
                <c:pt idx="79">
                  <c:v>271.60000000000002</c:v>
                </c:pt>
                <c:pt idx="80">
                  <c:v>273.39999999999998</c:v>
                </c:pt>
                <c:pt idx="81">
                  <c:v>278.2</c:v>
                </c:pt>
                <c:pt idx="82">
                  <c:v>282</c:v>
                </c:pt>
                <c:pt idx="83">
                  <c:v>286.60000000000002</c:v>
                </c:pt>
                <c:pt idx="84">
                  <c:v>288.7</c:v>
                </c:pt>
                <c:pt idx="85">
                  <c:v>294.5</c:v>
                </c:pt>
                <c:pt idx="86">
                  <c:v>298.5</c:v>
                </c:pt>
                <c:pt idx="87">
                  <c:v>302.89999999999998</c:v>
                </c:pt>
                <c:pt idx="88">
                  <c:v>307.2</c:v>
                </c:pt>
                <c:pt idx="89">
                  <c:v>312.7</c:v>
                </c:pt>
                <c:pt idx="90">
                  <c:v>317.5</c:v>
                </c:pt>
                <c:pt idx="91">
                  <c:v>324.3</c:v>
                </c:pt>
                <c:pt idx="92">
                  <c:v>330.9</c:v>
                </c:pt>
                <c:pt idx="93">
                  <c:v>339</c:v>
                </c:pt>
                <c:pt idx="94">
                  <c:v>346.8</c:v>
                </c:pt>
                <c:pt idx="95">
                  <c:v>357</c:v>
                </c:pt>
                <c:pt idx="96">
                  <c:v>368.4</c:v>
                </c:pt>
                <c:pt idx="97">
                  <c:v>381.2</c:v>
                </c:pt>
                <c:pt idx="98">
                  <c:v>399.8</c:v>
                </c:pt>
                <c:pt idx="99">
                  <c:v>426</c:v>
                </c:pt>
                <c:pt idx="100">
                  <c:v>448.1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3EE7-42F8-9B0B-A07A8C1580B4}"/>
            </c:ext>
          </c:extLst>
        </c:ser>
        <c:ser>
          <c:idx val="44"/>
          <c:order val="43"/>
          <c:tx>
            <c:v>LTO D14 HS4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'!$W$116:$W$216</c:f>
              <c:numCache>
                <c:formatCode>General</c:formatCode>
                <c:ptCount val="101"/>
                <c:pt idx="0">
                  <c:v>56.2</c:v>
                </c:pt>
                <c:pt idx="1">
                  <c:v>67.599999999999994</c:v>
                </c:pt>
                <c:pt idx="2">
                  <c:v>81.099999999999994</c:v>
                </c:pt>
                <c:pt idx="3">
                  <c:v>87.7</c:v>
                </c:pt>
                <c:pt idx="4">
                  <c:v>91.6</c:v>
                </c:pt>
                <c:pt idx="5">
                  <c:v>98</c:v>
                </c:pt>
                <c:pt idx="6">
                  <c:v>98.5</c:v>
                </c:pt>
                <c:pt idx="7">
                  <c:v>101.8</c:v>
                </c:pt>
                <c:pt idx="8">
                  <c:v>106.9</c:v>
                </c:pt>
                <c:pt idx="9">
                  <c:v>114.6</c:v>
                </c:pt>
                <c:pt idx="10">
                  <c:v>117.1</c:v>
                </c:pt>
                <c:pt idx="11">
                  <c:v>117.9</c:v>
                </c:pt>
                <c:pt idx="12">
                  <c:v>119.2</c:v>
                </c:pt>
                <c:pt idx="13">
                  <c:v>123.4</c:v>
                </c:pt>
                <c:pt idx="14">
                  <c:v>126.6</c:v>
                </c:pt>
                <c:pt idx="15">
                  <c:v>127.1</c:v>
                </c:pt>
                <c:pt idx="16">
                  <c:v>127.4</c:v>
                </c:pt>
                <c:pt idx="17">
                  <c:v>132.9</c:v>
                </c:pt>
                <c:pt idx="18">
                  <c:v>134.1</c:v>
                </c:pt>
                <c:pt idx="19">
                  <c:v>137.5</c:v>
                </c:pt>
                <c:pt idx="20">
                  <c:v>140.30000000000001</c:v>
                </c:pt>
                <c:pt idx="21">
                  <c:v>141.4</c:v>
                </c:pt>
                <c:pt idx="22">
                  <c:v>143.5</c:v>
                </c:pt>
                <c:pt idx="23">
                  <c:v>145</c:v>
                </c:pt>
                <c:pt idx="24">
                  <c:v>146.30000000000001</c:v>
                </c:pt>
                <c:pt idx="25">
                  <c:v>150.30000000000001</c:v>
                </c:pt>
                <c:pt idx="26">
                  <c:v>151.9</c:v>
                </c:pt>
                <c:pt idx="27">
                  <c:v>152.4</c:v>
                </c:pt>
                <c:pt idx="28">
                  <c:v>152.69999999999999</c:v>
                </c:pt>
                <c:pt idx="29">
                  <c:v>156.30000000000001</c:v>
                </c:pt>
                <c:pt idx="30">
                  <c:v>159.30000000000001</c:v>
                </c:pt>
                <c:pt idx="31">
                  <c:v>160.69999999999999</c:v>
                </c:pt>
                <c:pt idx="32">
                  <c:v>162.69999999999999</c:v>
                </c:pt>
                <c:pt idx="33">
                  <c:v>164</c:v>
                </c:pt>
                <c:pt idx="34">
                  <c:v>166.4</c:v>
                </c:pt>
                <c:pt idx="35">
                  <c:v>167</c:v>
                </c:pt>
                <c:pt idx="36">
                  <c:v>168.5</c:v>
                </c:pt>
                <c:pt idx="37">
                  <c:v>170.3</c:v>
                </c:pt>
                <c:pt idx="38">
                  <c:v>173.5</c:v>
                </c:pt>
                <c:pt idx="39">
                  <c:v>175.1</c:v>
                </c:pt>
                <c:pt idx="40">
                  <c:v>175.6</c:v>
                </c:pt>
                <c:pt idx="41">
                  <c:v>176.2</c:v>
                </c:pt>
                <c:pt idx="42">
                  <c:v>178.5</c:v>
                </c:pt>
                <c:pt idx="43">
                  <c:v>180.5</c:v>
                </c:pt>
                <c:pt idx="44">
                  <c:v>182.6</c:v>
                </c:pt>
                <c:pt idx="45">
                  <c:v>184.2</c:v>
                </c:pt>
                <c:pt idx="46">
                  <c:v>186.4</c:v>
                </c:pt>
                <c:pt idx="47">
                  <c:v>188.8</c:v>
                </c:pt>
                <c:pt idx="48">
                  <c:v>190</c:v>
                </c:pt>
                <c:pt idx="49">
                  <c:v>192.5</c:v>
                </c:pt>
                <c:pt idx="50">
                  <c:v>195.3</c:v>
                </c:pt>
                <c:pt idx="51">
                  <c:v>197.1</c:v>
                </c:pt>
                <c:pt idx="52">
                  <c:v>197.6</c:v>
                </c:pt>
                <c:pt idx="53">
                  <c:v>198.8</c:v>
                </c:pt>
                <c:pt idx="54">
                  <c:v>201.9</c:v>
                </c:pt>
                <c:pt idx="55">
                  <c:v>203.5</c:v>
                </c:pt>
                <c:pt idx="56">
                  <c:v>205.2</c:v>
                </c:pt>
                <c:pt idx="57">
                  <c:v>207.6</c:v>
                </c:pt>
                <c:pt idx="58">
                  <c:v>209.7</c:v>
                </c:pt>
                <c:pt idx="59">
                  <c:v>212</c:v>
                </c:pt>
                <c:pt idx="60">
                  <c:v>214.5</c:v>
                </c:pt>
                <c:pt idx="61">
                  <c:v>216.8</c:v>
                </c:pt>
                <c:pt idx="62">
                  <c:v>217.5</c:v>
                </c:pt>
                <c:pt idx="63">
                  <c:v>219.5</c:v>
                </c:pt>
                <c:pt idx="64">
                  <c:v>221.2</c:v>
                </c:pt>
                <c:pt idx="65">
                  <c:v>224</c:v>
                </c:pt>
                <c:pt idx="66">
                  <c:v>226.7</c:v>
                </c:pt>
                <c:pt idx="67">
                  <c:v>229</c:v>
                </c:pt>
                <c:pt idx="68">
                  <c:v>230.9</c:v>
                </c:pt>
                <c:pt idx="69">
                  <c:v>233.7</c:v>
                </c:pt>
                <c:pt idx="70">
                  <c:v>236.1</c:v>
                </c:pt>
                <c:pt idx="71">
                  <c:v>236.9</c:v>
                </c:pt>
                <c:pt idx="72">
                  <c:v>239.8</c:v>
                </c:pt>
                <c:pt idx="73">
                  <c:v>243.3</c:v>
                </c:pt>
                <c:pt idx="74">
                  <c:v>246.6</c:v>
                </c:pt>
                <c:pt idx="75">
                  <c:v>249.7</c:v>
                </c:pt>
                <c:pt idx="76">
                  <c:v>253</c:v>
                </c:pt>
                <c:pt idx="77">
                  <c:v>255.1</c:v>
                </c:pt>
                <c:pt idx="78">
                  <c:v>256.8</c:v>
                </c:pt>
                <c:pt idx="79">
                  <c:v>260.8</c:v>
                </c:pt>
                <c:pt idx="80">
                  <c:v>264.60000000000002</c:v>
                </c:pt>
                <c:pt idx="81">
                  <c:v>267.60000000000002</c:v>
                </c:pt>
                <c:pt idx="82">
                  <c:v>271.60000000000002</c:v>
                </c:pt>
                <c:pt idx="83">
                  <c:v>273.7</c:v>
                </c:pt>
                <c:pt idx="84">
                  <c:v>279</c:v>
                </c:pt>
                <c:pt idx="85">
                  <c:v>283.10000000000002</c:v>
                </c:pt>
                <c:pt idx="86">
                  <c:v>287.7</c:v>
                </c:pt>
                <c:pt idx="87">
                  <c:v>291.8</c:v>
                </c:pt>
                <c:pt idx="88">
                  <c:v>297.10000000000002</c:v>
                </c:pt>
                <c:pt idx="89">
                  <c:v>302.60000000000002</c:v>
                </c:pt>
                <c:pt idx="90">
                  <c:v>307.2</c:v>
                </c:pt>
                <c:pt idx="91">
                  <c:v>313.7</c:v>
                </c:pt>
                <c:pt idx="92">
                  <c:v>319.3</c:v>
                </c:pt>
                <c:pt idx="93">
                  <c:v>328</c:v>
                </c:pt>
                <c:pt idx="94">
                  <c:v>336.3</c:v>
                </c:pt>
                <c:pt idx="95">
                  <c:v>345.9</c:v>
                </c:pt>
                <c:pt idx="96">
                  <c:v>357.6</c:v>
                </c:pt>
                <c:pt idx="97">
                  <c:v>371.9</c:v>
                </c:pt>
                <c:pt idx="98">
                  <c:v>391.2</c:v>
                </c:pt>
                <c:pt idx="99">
                  <c:v>419.4</c:v>
                </c:pt>
                <c:pt idx="100">
                  <c:v>441.7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3EE7-42F8-9B0B-A07A8C1580B4}"/>
            </c:ext>
          </c:extLst>
        </c:ser>
        <c:ser>
          <c:idx val="45"/>
          <c:order val="44"/>
          <c:tx>
            <c:v>LTO D15 HS5</c:v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'!$X$116:$X$216</c:f>
              <c:numCache>
                <c:formatCode>General</c:formatCode>
                <c:ptCount val="101"/>
                <c:pt idx="0">
                  <c:v>56</c:v>
                </c:pt>
                <c:pt idx="1">
                  <c:v>67.400000000000006</c:v>
                </c:pt>
                <c:pt idx="2">
                  <c:v>74.3</c:v>
                </c:pt>
                <c:pt idx="3">
                  <c:v>87.4</c:v>
                </c:pt>
                <c:pt idx="4">
                  <c:v>90.4</c:v>
                </c:pt>
                <c:pt idx="5">
                  <c:v>97.8</c:v>
                </c:pt>
                <c:pt idx="6">
                  <c:v>98.4</c:v>
                </c:pt>
                <c:pt idx="7">
                  <c:v>99.1</c:v>
                </c:pt>
                <c:pt idx="8">
                  <c:v>102.4</c:v>
                </c:pt>
                <c:pt idx="9">
                  <c:v>112.3</c:v>
                </c:pt>
                <c:pt idx="10">
                  <c:v>116.6</c:v>
                </c:pt>
                <c:pt idx="11">
                  <c:v>117.4</c:v>
                </c:pt>
                <c:pt idx="12">
                  <c:v>118.4</c:v>
                </c:pt>
                <c:pt idx="13">
                  <c:v>119.6</c:v>
                </c:pt>
                <c:pt idx="14">
                  <c:v>125.2</c:v>
                </c:pt>
                <c:pt idx="15">
                  <c:v>126.7</c:v>
                </c:pt>
                <c:pt idx="16">
                  <c:v>127.1</c:v>
                </c:pt>
                <c:pt idx="17">
                  <c:v>127.5</c:v>
                </c:pt>
                <c:pt idx="18">
                  <c:v>132.9</c:v>
                </c:pt>
                <c:pt idx="19">
                  <c:v>134.1</c:v>
                </c:pt>
                <c:pt idx="20">
                  <c:v>136.4</c:v>
                </c:pt>
                <c:pt idx="21">
                  <c:v>140.1</c:v>
                </c:pt>
                <c:pt idx="22">
                  <c:v>141</c:v>
                </c:pt>
                <c:pt idx="23">
                  <c:v>143.30000000000001</c:v>
                </c:pt>
                <c:pt idx="24">
                  <c:v>144.80000000000001</c:v>
                </c:pt>
                <c:pt idx="25">
                  <c:v>145.9</c:v>
                </c:pt>
                <c:pt idx="26">
                  <c:v>147.69999999999999</c:v>
                </c:pt>
                <c:pt idx="27">
                  <c:v>151.69999999999999</c:v>
                </c:pt>
                <c:pt idx="28">
                  <c:v>152.19999999999999</c:v>
                </c:pt>
                <c:pt idx="29">
                  <c:v>152.5</c:v>
                </c:pt>
                <c:pt idx="30">
                  <c:v>154.19999999999999</c:v>
                </c:pt>
                <c:pt idx="31">
                  <c:v>157.80000000000001</c:v>
                </c:pt>
                <c:pt idx="32">
                  <c:v>160</c:v>
                </c:pt>
                <c:pt idx="33">
                  <c:v>161.5</c:v>
                </c:pt>
                <c:pt idx="34">
                  <c:v>163.1</c:v>
                </c:pt>
                <c:pt idx="35">
                  <c:v>165.3</c:v>
                </c:pt>
                <c:pt idx="36">
                  <c:v>166.6</c:v>
                </c:pt>
                <c:pt idx="37">
                  <c:v>167.3</c:v>
                </c:pt>
                <c:pt idx="38">
                  <c:v>169.5</c:v>
                </c:pt>
                <c:pt idx="39">
                  <c:v>170.7</c:v>
                </c:pt>
                <c:pt idx="40">
                  <c:v>174.4</c:v>
                </c:pt>
                <c:pt idx="41">
                  <c:v>175.2</c:v>
                </c:pt>
                <c:pt idx="42">
                  <c:v>175.7</c:v>
                </c:pt>
                <c:pt idx="43">
                  <c:v>176.8</c:v>
                </c:pt>
                <c:pt idx="44">
                  <c:v>179.3</c:v>
                </c:pt>
                <c:pt idx="45">
                  <c:v>180.8</c:v>
                </c:pt>
                <c:pt idx="46">
                  <c:v>182.9</c:v>
                </c:pt>
                <c:pt idx="47">
                  <c:v>184.6</c:v>
                </c:pt>
                <c:pt idx="48">
                  <c:v>186.9</c:v>
                </c:pt>
                <c:pt idx="49">
                  <c:v>188.9</c:v>
                </c:pt>
                <c:pt idx="50">
                  <c:v>190.2</c:v>
                </c:pt>
                <c:pt idx="51">
                  <c:v>193.1</c:v>
                </c:pt>
                <c:pt idx="52">
                  <c:v>195.9</c:v>
                </c:pt>
                <c:pt idx="53">
                  <c:v>197.1</c:v>
                </c:pt>
                <c:pt idx="54">
                  <c:v>197.6</c:v>
                </c:pt>
                <c:pt idx="55">
                  <c:v>199.5</c:v>
                </c:pt>
                <c:pt idx="56">
                  <c:v>202.3</c:v>
                </c:pt>
                <c:pt idx="57">
                  <c:v>203.7</c:v>
                </c:pt>
                <c:pt idx="58">
                  <c:v>205.4</c:v>
                </c:pt>
                <c:pt idx="59">
                  <c:v>207.8</c:v>
                </c:pt>
                <c:pt idx="60">
                  <c:v>210</c:v>
                </c:pt>
                <c:pt idx="61">
                  <c:v>212.4</c:v>
                </c:pt>
                <c:pt idx="62">
                  <c:v>214.9</c:v>
                </c:pt>
                <c:pt idx="63">
                  <c:v>216.9</c:v>
                </c:pt>
                <c:pt idx="64">
                  <c:v>217.5</c:v>
                </c:pt>
                <c:pt idx="65">
                  <c:v>219.7</c:v>
                </c:pt>
                <c:pt idx="66">
                  <c:v>221.6</c:v>
                </c:pt>
                <c:pt idx="67">
                  <c:v>224.5</c:v>
                </c:pt>
                <c:pt idx="68">
                  <c:v>227.1</c:v>
                </c:pt>
                <c:pt idx="69">
                  <c:v>229.4</c:v>
                </c:pt>
                <c:pt idx="70">
                  <c:v>231.3</c:v>
                </c:pt>
                <c:pt idx="71">
                  <c:v>234.6</c:v>
                </c:pt>
                <c:pt idx="72">
                  <c:v>236.2</c:v>
                </c:pt>
                <c:pt idx="73">
                  <c:v>237.5</c:v>
                </c:pt>
                <c:pt idx="74">
                  <c:v>240.6</c:v>
                </c:pt>
                <c:pt idx="75">
                  <c:v>244.4</c:v>
                </c:pt>
                <c:pt idx="76">
                  <c:v>247.8</c:v>
                </c:pt>
                <c:pt idx="77">
                  <c:v>250.8</c:v>
                </c:pt>
                <c:pt idx="78">
                  <c:v>254.3</c:v>
                </c:pt>
                <c:pt idx="79">
                  <c:v>255.5</c:v>
                </c:pt>
                <c:pt idx="80">
                  <c:v>258.60000000000002</c:v>
                </c:pt>
                <c:pt idx="81">
                  <c:v>263</c:v>
                </c:pt>
                <c:pt idx="82">
                  <c:v>266</c:v>
                </c:pt>
                <c:pt idx="83">
                  <c:v>270.3</c:v>
                </c:pt>
                <c:pt idx="84">
                  <c:v>272.39999999999998</c:v>
                </c:pt>
                <c:pt idx="85">
                  <c:v>277.39999999999998</c:v>
                </c:pt>
                <c:pt idx="86">
                  <c:v>282.10000000000002</c:v>
                </c:pt>
                <c:pt idx="87">
                  <c:v>287.3</c:v>
                </c:pt>
                <c:pt idx="88">
                  <c:v>290.89999999999998</c:v>
                </c:pt>
                <c:pt idx="89">
                  <c:v>296.7</c:v>
                </c:pt>
                <c:pt idx="90">
                  <c:v>302.60000000000002</c:v>
                </c:pt>
                <c:pt idx="91">
                  <c:v>307.8</c:v>
                </c:pt>
                <c:pt idx="92">
                  <c:v>315</c:v>
                </c:pt>
                <c:pt idx="93">
                  <c:v>321.7</c:v>
                </c:pt>
                <c:pt idx="94">
                  <c:v>330.5</c:v>
                </c:pt>
                <c:pt idx="95">
                  <c:v>341</c:v>
                </c:pt>
                <c:pt idx="96">
                  <c:v>352.7</c:v>
                </c:pt>
                <c:pt idx="97">
                  <c:v>367.4</c:v>
                </c:pt>
                <c:pt idx="98">
                  <c:v>386.4</c:v>
                </c:pt>
                <c:pt idx="99">
                  <c:v>416</c:v>
                </c:pt>
                <c:pt idx="100">
                  <c:v>440.3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3EE7-42F8-9B0B-A07A8C1580B4}"/>
            </c:ext>
          </c:extLst>
        </c:ser>
        <c:ser>
          <c:idx val="46"/>
          <c:order val="45"/>
          <c:tx>
            <c:v>LTO D16_1 HS6</c:v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'!$Y$116:$Y$216</c:f>
              <c:numCache>
                <c:formatCode>General</c:formatCode>
                <c:ptCount val="101"/>
                <c:pt idx="0">
                  <c:v>35</c:v>
                </c:pt>
                <c:pt idx="1">
                  <c:v>52.7</c:v>
                </c:pt>
                <c:pt idx="2">
                  <c:v>60.7</c:v>
                </c:pt>
                <c:pt idx="3">
                  <c:v>68.3</c:v>
                </c:pt>
                <c:pt idx="4">
                  <c:v>69.900000000000006</c:v>
                </c:pt>
                <c:pt idx="5">
                  <c:v>83</c:v>
                </c:pt>
                <c:pt idx="6">
                  <c:v>87.6</c:v>
                </c:pt>
                <c:pt idx="7">
                  <c:v>90.3</c:v>
                </c:pt>
                <c:pt idx="8">
                  <c:v>97.1</c:v>
                </c:pt>
                <c:pt idx="9">
                  <c:v>98.2</c:v>
                </c:pt>
                <c:pt idx="10">
                  <c:v>98.6</c:v>
                </c:pt>
                <c:pt idx="11">
                  <c:v>101.7</c:v>
                </c:pt>
                <c:pt idx="12">
                  <c:v>102.5</c:v>
                </c:pt>
                <c:pt idx="13">
                  <c:v>111.9</c:v>
                </c:pt>
                <c:pt idx="14">
                  <c:v>116.3</c:v>
                </c:pt>
                <c:pt idx="15">
                  <c:v>117.3</c:v>
                </c:pt>
                <c:pt idx="16">
                  <c:v>118.1</c:v>
                </c:pt>
                <c:pt idx="17">
                  <c:v>119.3</c:v>
                </c:pt>
                <c:pt idx="18">
                  <c:v>123.4</c:v>
                </c:pt>
                <c:pt idx="19">
                  <c:v>126.6</c:v>
                </c:pt>
                <c:pt idx="20">
                  <c:v>127.1</c:v>
                </c:pt>
                <c:pt idx="21">
                  <c:v>127.4</c:v>
                </c:pt>
                <c:pt idx="22">
                  <c:v>132.80000000000001</c:v>
                </c:pt>
                <c:pt idx="23">
                  <c:v>134</c:v>
                </c:pt>
                <c:pt idx="24">
                  <c:v>137</c:v>
                </c:pt>
                <c:pt idx="25">
                  <c:v>140.19999999999999</c:v>
                </c:pt>
                <c:pt idx="26">
                  <c:v>141.19999999999999</c:v>
                </c:pt>
                <c:pt idx="27">
                  <c:v>143.4</c:v>
                </c:pt>
                <c:pt idx="28">
                  <c:v>145</c:v>
                </c:pt>
                <c:pt idx="29">
                  <c:v>146.4</c:v>
                </c:pt>
                <c:pt idx="30">
                  <c:v>150.6</c:v>
                </c:pt>
                <c:pt idx="31">
                  <c:v>151.9</c:v>
                </c:pt>
                <c:pt idx="32">
                  <c:v>152.30000000000001</c:v>
                </c:pt>
                <c:pt idx="33">
                  <c:v>152.80000000000001</c:v>
                </c:pt>
                <c:pt idx="34">
                  <c:v>157</c:v>
                </c:pt>
                <c:pt idx="35">
                  <c:v>159.69999999999999</c:v>
                </c:pt>
                <c:pt idx="36">
                  <c:v>161.19999999999999</c:v>
                </c:pt>
                <c:pt idx="37">
                  <c:v>163</c:v>
                </c:pt>
                <c:pt idx="38">
                  <c:v>165.3</c:v>
                </c:pt>
                <c:pt idx="39">
                  <c:v>166.6</c:v>
                </c:pt>
                <c:pt idx="40">
                  <c:v>167.5</c:v>
                </c:pt>
                <c:pt idx="41">
                  <c:v>169.9</c:v>
                </c:pt>
                <c:pt idx="42">
                  <c:v>171.7</c:v>
                </c:pt>
                <c:pt idx="43">
                  <c:v>174.8</c:v>
                </c:pt>
                <c:pt idx="44">
                  <c:v>175.4</c:v>
                </c:pt>
                <c:pt idx="45">
                  <c:v>175.9</c:v>
                </c:pt>
                <c:pt idx="46">
                  <c:v>178.3</c:v>
                </c:pt>
                <c:pt idx="47">
                  <c:v>180.4</c:v>
                </c:pt>
                <c:pt idx="48">
                  <c:v>182.6</c:v>
                </c:pt>
                <c:pt idx="49">
                  <c:v>184.3</c:v>
                </c:pt>
                <c:pt idx="50">
                  <c:v>186.7</c:v>
                </c:pt>
                <c:pt idx="51">
                  <c:v>188.9</c:v>
                </c:pt>
                <c:pt idx="52">
                  <c:v>190.3</c:v>
                </c:pt>
                <c:pt idx="53">
                  <c:v>193.7</c:v>
                </c:pt>
                <c:pt idx="54">
                  <c:v>196.4</c:v>
                </c:pt>
                <c:pt idx="55">
                  <c:v>197.2</c:v>
                </c:pt>
                <c:pt idx="56">
                  <c:v>197.7</c:v>
                </c:pt>
                <c:pt idx="57">
                  <c:v>200.9</c:v>
                </c:pt>
                <c:pt idx="58">
                  <c:v>203</c:v>
                </c:pt>
                <c:pt idx="59">
                  <c:v>204.7</c:v>
                </c:pt>
                <c:pt idx="60">
                  <c:v>206.9</c:v>
                </c:pt>
                <c:pt idx="61">
                  <c:v>209.2</c:v>
                </c:pt>
                <c:pt idx="62">
                  <c:v>211.5</c:v>
                </c:pt>
                <c:pt idx="63">
                  <c:v>214.2</c:v>
                </c:pt>
                <c:pt idx="64">
                  <c:v>216.7</c:v>
                </c:pt>
                <c:pt idx="65">
                  <c:v>217.4</c:v>
                </c:pt>
                <c:pt idx="66">
                  <c:v>219.6</c:v>
                </c:pt>
                <c:pt idx="67">
                  <c:v>221.7</c:v>
                </c:pt>
                <c:pt idx="68">
                  <c:v>224.7</c:v>
                </c:pt>
                <c:pt idx="69">
                  <c:v>227.3</c:v>
                </c:pt>
                <c:pt idx="70">
                  <c:v>229.7</c:v>
                </c:pt>
                <c:pt idx="71">
                  <c:v>231.7</c:v>
                </c:pt>
                <c:pt idx="72">
                  <c:v>235.4</c:v>
                </c:pt>
                <c:pt idx="73">
                  <c:v>236.4</c:v>
                </c:pt>
                <c:pt idx="74">
                  <c:v>238.5</c:v>
                </c:pt>
                <c:pt idx="75">
                  <c:v>242.2</c:v>
                </c:pt>
                <c:pt idx="76">
                  <c:v>245.9</c:v>
                </c:pt>
                <c:pt idx="77">
                  <c:v>249.1</c:v>
                </c:pt>
                <c:pt idx="78">
                  <c:v>252.5</c:v>
                </c:pt>
                <c:pt idx="79">
                  <c:v>254.9</c:v>
                </c:pt>
                <c:pt idx="80">
                  <c:v>256.89999999999998</c:v>
                </c:pt>
                <c:pt idx="81">
                  <c:v>261.3</c:v>
                </c:pt>
                <c:pt idx="82">
                  <c:v>265</c:v>
                </c:pt>
                <c:pt idx="83">
                  <c:v>268.60000000000002</c:v>
                </c:pt>
                <c:pt idx="84">
                  <c:v>271.89999999999998</c:v>
                </c:pt>
                <c:pt idx="85">
                  <c:v>275.8</c:v>
                </c:pt>
                <c:pt idx="86">
                  <c:v>280.89999999999998</c:v>
                </c:pt>
                <c:pt idx="87">
                  <c:v>286.10000000000002</c:v>
                </c:pt>
                <c:pt idx="88">
                  <c:v>289.2</c:v>
                </c:pt>
                <c:pt idx="89">
                  <c:v>295.5</c:v>
                </c:pt>
                <c:pt idx="90">
                  <c:v>301.7</c:v>
                </c:pt>
                <c:pt idx="91">
                  <c:v>305.89999999999998</c:v>
                </c:pt>
                <c:pt idx="92">
                  <c:v>313</c:v>
                </c:pt>
                <c:pt idx="93">
                  <c:v>319.3</c:v>
                </c:pt>
                <c:pt idx="94">
                  <c:v>328.9</c:v>
                </c:pt>
                <c:pt idx="95">
                  <c:v>338.3</c:v>
                </c:pt>
                <c:pt idx="96">
                  <c:v>349.6</c:v>
                </c:pt>
                <c:pt idx="97">
                  <c:v>363.5</c:v>
                </c:pt>
                <c:pt idx="98">
                  <c:v>381.3</c:v>
                </c:pt>
                <c:pt idx="99">
                  <c:v>410.2</c:v>
                </c:pt>
                <c:pt idx="100">
                  <c:v>433.3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3EE7-42F8-9B0B-A07A8C1580B4}"/>
            </c:ext>
          </c:extLst>
        </c:ser>
        <c:ser>
          <c:idx val="47"/>
          <c:order val="46"/>
          <c:tx>
            <c:v>LTO D16_2 HS6</c:v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'!$Z$116:$Z$216</c:f>
              <c:numCache>
                <c:formatCode>General</c:formatCode>
                <c:ptCount val="101"/>
                <c:pt idx="0">
                  <c:v>74.099999999999994</c:v>
                </c:pt>
                <c:pt idx="1">
                  <c:v>89.4</c:v>
                </c:pt>
                <c:pt idx="2">
                  <c:v>98.2</c:v>
                </c:pt>
                <c:pt idx="3">
                  <c:v>105.6</c:v>
                </c:pt>
                <c:pt idx="4">
                  <c:v>116.6</c:v>
                </c:pt>
                <c:pt idx="5">
                  <c:v>118</c:v>
                </c:pt>
                <c:pt idx="6">
                  <c:v>122.3</c:v>
                </c:pt>
                <c:pt idx="7">
                  <c:v>126.4</c:v>
                </c:pt>
                <c:pt idx="8">
                  <c:v>126.9</c:v>
                </c:pt>
                <c:pt idx="9">
                  <c:v>132.5</c:v>
                </c:pt>
                <c:pt idx="10">
                  <c:v>134</c:v>
                </c:pt>
                <c:pt idx="11">
                  <c:v>138</c:v>
                </c:pt>
                <c:pt idx="12">
                  <c:v>140.5</c:v>
                </c:pt>
                <c:pt idx="13">
                  <c:v>143</c:v>
                </c:pt>
                <c:pt idx="14">
                  <c:v>144.6</c:v>
                </c:pt>
                <c:pt idx="15">
                  <c:v>146</c:v>
                </c:pt>
                <c:pt idx="16">
                  <c:v>150.5</c:v>
                </c:pt>
                <c:pt idx="17">
                  <c:v>151.69999999999999</c:v>
                </c:pt>
                <c:pt idx="18">
                  <c:v>152.1</c:v>
                </c:pt>
                <c:pt idx="19">
                  <c:v>152.5</c:v>
                </c:pt>
                <c:pt idx="20">
                  <c:v>156.69999999999999</c:v>
                </c:pt>
                <c:pt idx="21">
                  <c:v>159.4</c:v>
                </c:pt>
                <c:pt idx="22">
                  <c:v>160.80000000000001</c:v>
                </c:pt>
                <c:pt idx="23">
                  <c:v>162.6</c:v>
                </c:pt>
                <c:pt idx="24">
                  <c:v>164.2</c:v>
                </c:pt>
                <c:pt idx="25">
                  <c:v>166.2</c:v>
                </c:pt>
                <c:pt idx="26">
                  <c:v>166.8</c:v>
                </c:pt>
                <c:pt idx="27">
                  <c:v>168.3</c:v>
                </c:pt>
                <c:pt idx="28">
                  <c:v>170.1</c:v>
                </c:pt>
                <c:pt idx="29">
                  <c:v>172.8</c:v>
                </c:pt>
                <c:pt idx="30">
                  <c:v>174.7</c:v>
                </c:pt>
                <c:pt idx="31">
                  <c:v>175.3</c:v>
                </c:pt>
                <c:pt idx="32">
                  <c:v>175.6</c:v>
                </c:pt>
                <c:pt idx="33">
                  <c:v>177.1</c:v>
                </c:pt>
                <c:pt idx="34">
                  <c:v>179.7</c:v>
                </c:pt>
                <c:pt idx="35">
                  <c:v>180.8</c:v>
                </c:pt>
                <c:pt idx="36">
                  <c:v>182.8</c:v>
                </c:pt>
                <c:pt idx="37">
                  <c:v>184.3</c:v>
                </c:pt>
                <c:pt idx="38">
                  <c:v>186.3</c:v>
                </c:pt>
                <c:pt idx="39">
                  <c:v>188.5</c:v>
                </c:pt>
                <c:pt idx="40">
                  <c:v>189.5</c:v>
                </c:pt>
                <c:pt idx="41">
                  <c:v>190.9</c:v>
                </c:pt>
                <c:pt idx="42">
                  <c:v>194.2</c:v>
                </c:pt>
                <c:pt idx="43">
                  <c:v>196.4</c:v>
                </c:pt>
                <c:pt idx="44">
                  <c:v>197.1</c:v>
                </c:pt>
                <c:pt idx="45">
                  <c:v>197.5</c:v>
                </c:pt>
                <c:pt idx="46">
                  <c:v>199</c:v>
                </c:pt>
                <c:pt idx="47">
                  <c:v>201.6</c:v>
                </c:pt>
                <c:pt idx="48">
                  <c:v>203.1</c:v>
                </c:pt>
                <c:pt idx="49">
                  <c:v>204.5</c:v>
                </c:pt>
                <c:pt idx="50">
                  <c:v>206.3</c:v>
                </c:pt>
                <c:pt idx="51">
                  <c:v>208.2</c:v>
                </c:pt>
                <c:pt idx="52">
                  <c:v>210.1</c:v>
                </c:pt>
                <c:pt idx="53">
                  <c:v>212.2</c:v>
                </c:pt>
                <c:pt idx="54">
                  <c:v>214.2</c:v>
                </c:pt>
                <c:pt idx="55">
                  <c:v>216.5</c:v>
                </c:pt>
                <c:pt idx="56">
                  <c:v>217.2</c:v>
                </c:pt>
                <c:pt idx="57">
                  <c:v>217.9</c:v>
                </c:pt>
                <c:pt idx="58">
                  <c:v>219.9</c:v>
                </c:pt>
                <c:pt idx="59">
                  <c:v>221.7</c:v>
                </c:pt>
                <c:pt idx="60">
                  <c:v>224.1</c:v>
                </c:pt>
                <c:pt idx="61">
                  <c:v>226.3</c:v>
                </c:pt>
                <c:pt idx="62">
                  <c:v>228.4</c:v>
                </c:pt>
                <c:pt idx="63">
                  <c:v>230.2</c:v>
                </c:pt>
                <c:pt idx="64">
                  <c:v>231.8</c:v>
                </c:pt>
                <c:pt idx="65">
                  <c:v>234.9</c:v>
                </c:pt>
                <c:pt idx="66">
                  <c:v>236.1</c:v>
                </c:pt>
                <c:pt idx="67">
                  <c:v>236.8</c:v>
                </c:pt>
                <c:pt idx="68">
                  <c:v>239.3</c:v>
                </c:pt>
                <c:pt idx="69">
                  <c:v>242.2</c:v>
                </c:pt>
                <c:pt idx="70">
                  <c:v>245.3</c:v>
                </c:pt>
                <c:pt idx="71">
                  <c:v>247.9</c:v>
                </c:pt>
                <c:pt idx="72">
                  <c:v>250.4</c:v>
                </c:pt>
                <c:pt idx="73">
                  <c:v>253.3</c:v>
                </c:pt>
                <c:pt idx="74">
                  <c:v>255</c:v>
                </c:pt>
                <c:pt idx="75">
                  <c:v>256.10000000000002</c:v>
                </c:pt>
                <c:pt idx="76">
                  <c:v>259.39999999999998</c:v>
                </c:pt>
                <c:pt idx="77">
                  <c:v>262.89999999999998</c:v>
                </c:pt>
                <c:pt idx="78">
                  <c:v>265.5</c:v>
                </c:pt>
                <c:pt idx="79">
                  <c:v>268.39999999999998</c:v>
                </c:pt>
                <c:pt idx="80">
                  <c:v>271.60000000000002</c:v>
                </c:pt>
                <c:pt idx="81">
                  <c:v>273.3</c:v>
                </c:pt>
                <c:pt idx="82">
                  <c:v>277.8</c:v>
                </c:pt>
                <c:pt idx="83">
                  <c:v>281.60000000000002</c:v>
                </c:pt>
                <c:pt idx="84">
                  <c:v>285.89999999999998</c:v>
                </c:pt>
                <c:pt idx="85">
                  <c:v>288.2</c:v>
                </c:pt>
                <c:pt idx="86">
                  <c:v>293.10000000000002</c:v>
                </c:pt>
                <c:pt idx="87">
                  <c:v>297.39999999999998</c:v>
                </c:pt>
                <c:pt idx="88">
                  <c:v>302.39999999999998</c:v>
                </c:pt>
                <c:pt idx="89">
                  <c:v>305.60000000000002</c:v>
                </c:pt>
                <c:pt idx="90">
                  <c:v>311.39999999999998</c:v>
                </c:pt>
                <c:pt idx="91">
                  <c:v>316.8</c:v>
                </c:pt>
                <c:pt idx="92">
                  <c:v>323.10000000000002</c:v>
                </c:pt>
                <c:pt idx="93">
                  <c:v>330.4</c:v>
                </c:pt>
                <c:pt idx="94">
                  <c:v>338.5</c:v>
                </c:pt>
                <c:pt idx="95">
                  <c:v>347.3</c:v>
                </c:pt>
                <c:pt idx="96">
                  <c:v>357.9</c:v>
                </c:pt>
                <c:pt idx="97">
                  <c:v>371.2</c:v>
                </c:pt>
                <c:pt idx="98">
                  <c:v>389.6</c:v>
                </c:pt>
                <c:pt idx="99">
                  <c:v>416.1</c:v>
                </c:pt>
                <c:pt idx="100">
                  <c:v>438.7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3EE7-42F8-9B0B-A07A8C158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948943"/>
        <c:axId val="1611934063"/>
        <c:extLst>
          <c:ext xmlns:c15="http://schemas.microsoft.com/office/drawing/2012/chart" uri="{02D57815-91ED-43cb-92C2-25804820EDAC}">
            <c15:filteredScatterSeries>
              <c15:ser>
                <c:idx val="18"/>
                <c:order val="0"/>
                <c:tx>
                  <c:v>ABQ3358 Aging</c:v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LTO DAILY '!$G$10:$G$74</c15:sqref>
                        </c15:formulaRef>
                      </c:ext>
                    </c:extLst>
                    <c:numCache>
                      <c:formatCode>General</c:formatCode>
                      <c:ptCount val="65"/>
                      <c:pt idx="0">
                        <c:v>375.98</c:v>
                      </c:pt>
                      <c:pt idx="1">
                        <c:v>402</c:v>
                      </c:pt>
                      <c:pt idx="2">
                        <c:v>422</c:v>
                      </c:pt>
                      <c:pt idx="3">
                        <c:v>462</c:v>
                      </c:pt>
                      <c:pt idx="4">
                        <c:v>489</c:v>
                      </c:pt>
                      <c:pt idx="5">
                        <c:v>510</c:v>
                      </c:pt>
                      <c:pt idx="6">
                        <c:v>518</c:v>
                      </c:pt>
                      <c:pt idx="7">
                        <c:v>525</c:v>
                      </c:pt>
                      <c:pt idx="8">
                        <c:v>533</c:v>
                      </c:pt>
                      <c:pt idx="9">
                        <c:v>538</c:v>
                      </c:pt>
                      <c:pt idx="10">
                        <c:v>543.5</c:v>
                      </c:pt>
                      <c:pt idx="11">
                        <c:v>548</c:v>
                      </c:pt>
                      <c:pt idx="12">
                        <c:v>553</c:v>
                      </c:pt>
                      <c:pt idx="13">
                        <c:v>556</c:v>
                      </c:pt>
                      <c:pt idx="14">
                        <c:v>560</c:v>
                      </c:pt>
                      <c:pt idx="15">
                        <c:v>563</c:v>
                      </c:pt>
                      <c:pt idx="16">
                        <c:v>566</c:v>
                      </c:pt>
                      <c:pt idx="17">
                        <c:v>569</c:v>
                      </c:pt>
                      <c:pt idx="18">
                        <c:v>572</c:v>
                      </c:pt>
                      <c:pt idx="19">
                        <c:v>575</c:v>
                      </c:pt>
                      <c:pt idx="20">
                        <c:v>578</c:v>
                      </c:pt>
                      <c:pt idx="21">
                        <c:v>581</c:v>
                      </c:pt>
                      <c:pt idx="22">
                        <c:v>584</c:v>
                      </c:pt>
                      <c:pt idx="23">
                        <c:v>587</c:v>
                      </c:pt>
                      <c:pt idx="24">
                        <c:v>590</c:v>
                      </c:pt>
                      <c:pt idx="25">
                        <c:v>593</c:v>
                      </c:pt>
                      <c:pt idx="26">
                        <c:v>595</c:v>
                      </c:pt>
                      <c:pt idx="27">
                        <c:v>598</c:v>
                      </c:pt>
                      <c:pt idx="28">
                        <c:v>600</c:v>
                      </c:pt>
                      <c:pt idx="29">
                        <c:v>602</c:v>
                      </c:pt>
                      <c:pt idx="30">
                        <c:v>606</c:v>
                      </c:pt>
                      <c:pt idx="31">
                        <c:v>609</c:v>
                      </c:pt>
                      <c:pt idx="32">
                        <c:v>611</c:v>
                      </c:pt>
                      <c:pt idx="33">
                        <c:v>614</c:v>
                      </c:pt>
                      <c:pt idx="34">
                        <c:v>617</c:v>
                      </c:pt>
                      <c:pt idx="35">
                        <c:v>620</c:v>
                      </c:pt>
                      <c:pt idx="36">
                        <c:v>622</c:v>
                      </c:pt>
                      <c:pt idx="37">
                        <c:v>626</c:v>
                      </c:pt>
                      <c:pt idx="38">
                        <c:v>630</c:v>
                      </c:pt>
                      <c:pt idx="39">
                        <c:v>632</c:v>
                      </c:pt>
                      <c:pt idx="40">
                        <c:v>635</c:v>
                      </c:pt>
                      <c:pt idx="41">
                        <c:v>638</c:v>
                      </c:pt>
                      <c:pt idx="42">
                        <c:v>641</c:v>
                      </c:pt>
                      <c:pt idx="43">
                        <c:v>644</c:v>
                      </c:pt>
                      <c:pt idx="44">
                        <c:v>647</c:v>
                      </c:pt>
                      <c:pt idx="45">
                        <c:v>650</c:v>
                      </c:pt>
                      <c:pt idx="46">
                        <c:v>654</c:v>
                      </c:pt>
                      <c:pt idx="47">
                        <c:v>657</c:v>
                      </c:pt>
                      <c:pt idx="48">
                        <c:v>661</c:v>
                      </c:pt>
                      <c:pt idx="49">
                        <c:v>664</c:v>
                      </c:pt>
                      <c:pt idx="50">
                        <c:v>667</c:v>
                      </c:pt>
                      <c:pt idx="51">
                        <c:v>671</c:v>
                      </c:pt>
                      <c:pt idx="52">
                        <c:v>675</c:v>
                      </c:pt>
                      <c:pt idx="53">
                        <c:v>678</c:v>
                      </c:pt>
                      <c:pt idx="54">
                        <c:v>682</c:v>
                      </c:pt>
                      <c:pt idx="55">
                        <c:v>687</c:v>
                      </c:pt>
                      <c:pt idx="56">
                        <c:v>691</c:v>
                      </c:pt>
                      <c:pt idx="57">
                        <c:v>694</c:v>
                      </c:pt>
                      <c:pt idx="58">
                        <c:v>698</c:v>
                      </c:pt>
                      <c:pt idx="59">
                        <c:v>702</c:v>
                      </c:pt>
                      <c:pt idx="60">
                        <c:v>705</c:v>
                      </c:pt>
                      <c:pt idx="61">
                        <c:v>708</c:v>
                      </c:pt>
                      <c:pt idx="62">
                        <c:v>713</c:v>
                      </c:pt>
                      <c:pt idx="63">
                        <c:v>718</c:v>
                      </c:pt>
                      <c:pt idx="64">
                        <c:v>720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3EE7-42F8-9B0B-A07A8C1580B4}"/>
                  </c:ext>
                </c:extLst>
              </c15:ser>
            </c15:filteredScatterSeries>
            <c15:filteredScatterSeries>
              <c15:ser>
                <c:idx val="25"/>
                <c:order val="1"/>
                <c:tx>
                  <c:v>LOW SEDIMENT FEED</c:v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'!$H$10:$H$57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462.3</c:v>
                      </c:pt>
                      <c:pt idx="1">
                        <c:v>528.9</c:v>
                      </c:pt>
                      <c:pt idx="2">
                        <c:v>546.9</c:v>
                      </c:pt>
                      <c:pt idx="3">
                        <c:v>555.20000000000005</c:v>
                      </c:pt>
                      <c:pt idx="4">
                        <c:v>561</c:v>
                      </c:pt>
                      <c:pt idx="5">
                        <c:v>565.70000000000005</c:v>
                      </c:pt>
                      <c:pt idx="6">
                        <c:v>569.70000000000005</c:v>
                      </c:pt>
                      <c:pt idx="7">
                        <c:v>573.20000000000005</c:v>
                      </c:pt>
                      <c:pt idx="8">
                        <c:v>576.70000000000005</c:v>
                      </c:pt>
                      <c:pt idx="9">
                        <c:v>580.1</c:v>
                      </c:pt>
                      <c:pt idx="10">
                        <c:v>583.4</c:v>
                      </c:pt>
                      <c:pt idx="11">
                        <c:v>586.6</c:v>
                      </c:pt>
                      <c:pt idx="12">
                        <c:v>589.6</c:v>
                      </c:pt>
                      <c:pt idx="13">
                        <c:v>592.6</c:v>
                      </c:pt>
                      <c:pt idx="14">
                        <c:v>595.6</c:v>
                      </c:pt>
                      <c:pt idx="15">
                        <c:v>598.5</c:v>
                      </c:pt>
                      <c:pt idx="16">
                        <c:v>601.4</c:v>
                      </c:pt>
                      <c:pt idx="17">
                        <c:v>604.4</c:v>
                      </c:pt>
                      <c:pt idx="18">
                        <c:v>607.29999999999995</c:v>
                      </c:pt>
                      <c:pt idx="19">
                        <c:v>610.20000000000005</c:v>
                      </c:pt>
                      <c:pt idx="20">
                        <c:v>613.1</c:v>
                      </c:pt>
                      <c:pt idx="21">
                        <c:v>616.1</c:v>
                      </c:pt>
                      <c:pt idx="22">
                        <c:v>619.20000000000005</c:v>
                      </c:pt>
                      <c:pt idx="23">
                        <c:v>622.29999999999995</c:v>
                      </c:pt>
                      <c:pt idx="24">
                        <c:v>625.29999999999995</c:v>
                      </c:pt>
                      <c:pt idx="25">
                        <c:v>628.4</c:v>
                      </c:pt>
                      <c:pt idx="26">
                        <c:v>631.4</c:v>
                      </c:pt>
                      <c:pt idx="27">
                        <c:v>634.4</c:v>
                      </c:pt>
                      <c:pt idx="28">
                        <c:v>637.5</c:v>
                      </c:pt>
                      <c:pt idx="29">
                        <c:v>640.79999999999995</c:v>
                      </c:pt>
                      <c:pt idx="30">
                        <c:v>644.20000000000005</c:v>
                      </c:pt>
                      <c:pt idx="31">
                        <c:v>647.6</c:v>
                      </c:pt>
                      <c:pt idx="32">
                        <c:v>650.9</c:v>
                      </c:pt>
                      <c:pt idx="33">
                        <c:v>654.20000000000005</c:v>
                      </c:pt>
                      <c:pt idx="34">
                        <c:v>657.5</c:v>
                      </c:pt>
                      <c:pt idx="35">
                        <c:v>661.5</c:v>
                      </c:pt>
                      <c:pt idx="36">
                        <c:v>665.8</c:v>
                      </c:pt>
                      <c:pt idx="37">
                        <c:v>670.3</c:v>
                      </c:pt>
                      <c:pt idx="38">
                        <c:v>674.2</c:v>
                      </c:pt>
                      <c:pt idx="39">
                        <c:v>679.2</c:v>
                      </c:pt>
                      <c:pt idx="40">
                        <c:v>683.9</c:v>
                      </c:pt>
                      <c:pt idx="41">
                        <c:v>688.5</c:v>
                      </c:pt>
                      <c:pt idx="42">
                        <c:v>693</c:v>
                      </c:pt>
                      <c:pt idx="43">
                        <c:v>697.8</c:v>
                      </c:pt>
                      <c:pt idx="44">
                        <c:v>702.9</c:v>
                      </c:pt>
                      <c:pt idx="45">
                        <c:v>708.2</c:v>
                      </c:pt>
                      <c:pt idx="46">
                        <c:v>715.3</c:v>
                      </c:pt>
                      <c:pt idx="47">
                        <c:v>724.1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EE7-42F8-9B0B-A07A8C1580B4}"/>
                  </c:ext>
                </c:extLst>
              </c15:ser>
            </c15:filteredScatterSeries>
            <c15:filteredScatterSeries>
              <c15:ser>
                <c:idx val="0"/>
                <c:order val="3"/>
                <c:tx>
                  <c:v>HPS Aging 1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'!$J$10:$J$89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142.1</c:v>
                      </c:pt>
                      <c:pt idx="1">
                        <c:v>173.4</c:v>
                      </c:pt>
                      <c:pt idx="2">
                        <c:v>215</c:v>
                      </c:pt>
                      <c:pt idx="3">
                        <c:v>248.3</c:v>
                      </c:pt>
                      <c:pt idx="4">
                        <c:v>270.7</c:v>
                      </c:pt>
                      <c:pt idx="5">
                        <c:v>291.2</c:v>
                      </c:pt>
                      <c:pt idx="6">
                        <c:v>308.60000000000002</c:v>
                      </c:pt>
                      <c:pt idx="7">
                        <c:v>324.2</c:v>
                      </c:pt>
                      <c:pt idx="8">
                        <c:v>338.5</c:v>
                      </c:pt>
                      <c:pt idx="9">
                        <c:v>351.6</c:v>
                      </c:pt>
                      <c:pt idx="10">
                        <c:v>363.5</c:v>
                      </c:pt>
                      <c:pt idx="11">
                        <c:v>374.4</c:v>
                      </c:pt>
                      <c:pt idx="12">
                        <c:v>384.5</c:v>
                      </c:pt>
                      <c:pt idx="13">
                        <c:v>394.2</c:v>
                      </c:pt>
                      <c:pt idx="14">
                        <c:v>404</c:v>
                      </c:pt>
                      <c:pt idx="15">
                        <c:v>413.2</c:v>
                      </c:pt>
                      <c:pt idx="16">
                        <c:v>421.9</c:v>
                      </c:pt>
                      <c:pt idx="17">
                        <c:v>430.1</c:v>
                      </c:pt>
                      <c:pt idx="18">
                        <c:v>438.5</c:v>
                      </c:pt>
                      <c:pt idx="19">
                        <c:v>446.5</c:v>
                      </c:pt>
                      <c:pt idx="20">
                        <c:v>454.4</c:v>
                      </c:pt>
                      <c:pt idx="21">
                        <c:v>462</c:v>
                      </c:pt>
                      <c:pt idx="22">
                        <c:v>469.5</c:v>
                      </c:pt>
                      <c:pt idx="23">
                        <c:v>476.7</c:v>
                      </c:pt>
                      <c:pt idx="24">
                        <c:v>483.7</c:v>
                      </c:pt>
                      <c:pt idx="25">
                        <c:v>490.4</c:v>
                      </c:pt>
                      <c:pt idx="26">
                        <c:v>496.8</c:v>
                      </c:pt>
                      <c:pt idx="27">
                        <c:v>502.6</c:v>
                      </c:pt>
                      <c:pt idx="28">
                        <c:v>508.1</c:v>
                      </c:pt>
                      <c:pt idx="29">
                        <c:v>513.70000000000005</c:v>
                      </c:pt>
                      <c:pt idx="30">
                        <c:v>519.1</c:v>
                      </c:pt>
                      <c:pt idx="31">
                        <c:v>524.20000000000005</c:v>
                      </c:pt>
                      <c:pt idx="32">
                        <c:v>528.79999999999995</c:v>
                      </c:pt>
                      <c:pt idx="33">
                        <c:v>533.20000000000005</c:v>
                      </c:pt>
                      <c:pt idx="34">
                        <c:v>537.4</c:v>
                      </c:pt>
                      <c:pt idx="35">
                        <c:v>541.5</c:v>
                      </c:pt>
                      <c:pt idx="36">
                        <c:v>545.29999999999995</c:v>
                      </c:pt>
                      <c:pt idx="37">
                        <c:v>549.4</c:v>
                      </c:pt>
                      <c:pt idx="38">
                        <c:v>553.20000000000005</c:v>
                      </c:pt>
                      <c:pt idx="39">
                        <c:v>556.9</c:v>
                      </c:pt>
                      <c:pt idx="40">
                        <c:v>560.4</c:v>
                      </c:pt>
                      <c:pt idx="41">
                        <c:v>563.79999999999995</c:v>
                      </c:pt>
                      <c:pt idx="42">
                        <c:v>567</c:v>
                      </c:pt>
                      <c:pt idx="43">
                        <c:v>570</c:v>
                      </c:pt>
                      <c:pt idx="44">
                        <c:v>573</c:v>
                      </c:pt>
                      <c:pt idx="45">
                        <c:v>576.1</c:v>
                      </c:pt>
                      <c:pt idx="46">
                        <c:v>579.20000000000005</c:v>
                      </c:pt>
                      <c:pt idx="47">
                        <c:v>582.4</c:v>
                      </c:pt>
                      <c:pt idx="48">
                        <c:v>585.5</c:v>
                      </c:pt>
                      <c:pt idx="49">
                        <c:v>588.5</c:v>
                      </c:pt>
                      <c:pt idx="50">
                        <c:v>591.6</c:v>
                      </c:pt>
                      <c:pt idx="51">
                        <c:v>594.70000000000005</c:v>
                      </c:pt>
                      <c:pt idx="52">
                        <c:v>597.79999999999995</c:v>
                      </c:pt>
                      <c:pt idx="53">
                        <c:v>601</c:v>
                      </c:pt>
                      <c:pt idx="54">
                        <c:v>604.29999999999995</c:v>
                      </c:pt>
                      <c:pt idx="55">
                        <c:v>607.6</c:v>
                      </c:pt>
                      <c:pt idx="56">
                        <c:v>610.9</c:v>
                      </c:pt>
                      <c:pt idx="57">
                        <c:v>614.29999999999995</c:v>
                      </c:pt>
                      <c:pt idx="58">
                        <c:v>617.79999999999995</c:v>
                      </c:pt>
                      <c:pt idx="59">
                        <c:v>621.4</c:v>
                      </c:pt>
                      <c:pt idx="60">
                        <c:v>625</c:v>
                      </c:pt>
                      <c:pt idx="61">
                        <c:v>628.6</c:v>
                      </c:pt>
                      <c:pt idx="62">
                        <c:v>632</c:v>
                      </c:pt>
                      <c:pt idx="63">
                        <c:v>635.5</c:v>
                      </c:pt>
                      <c:pt idx="64">
                        <c:v>639.29999999999995</c:v>
                      </c:pt>
                      <c:pt idx="65">
                        <c:v>643.29999999999995</c:v>
                      </c:pt>
                      <c:pt idx="66">
                        <c:v>647.4</c:v>
                      </c:pt>
                      <c:pt idx="67">
                        <c:v>651.4</c:v>
                      </c:pt>
                      <c:pt idx="68">
                        <c:v>655.20000000000005</c:v>
                      </c:pt>
                      <c:pt idx="69">
                        <c:v>659.4</c:v>
                      </c:pt>
                      <c:pt idx="70">
                        <c:v>664.4</c:v>
                      </c:pt>
                      <c:pt idx="71">
                        <c:v>669.7</c:v>
                      </c:pt>
                      <c:pt idx="72">
                        <c:v>674.4</c:v>
                      </c:pt>
                      <c:pt idx="73">
                        <c:v>680</c:v>
                      </c:pt>
                      <c:pt idx="74">
                        <c:v>685.4</c:v>
                      </c:pt>
                      <c:pt idx="75">
                        <c:v>691</c:v>
                      </c:pt>
                      <c:pt idx="76">
                        <c:v>696</c:v>
                      </c:pt>
                      <c:pt idx="77">
                        <c:v>702.3</c:v>
                      </c:pt>
                      <c:pt idx="78">
                        <c:v>708.5</c:v>
                      </c:pt>
                      <c:pt idx="79">
                        <c:v>716.3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AFB-4FCE-B367-E1B6F071C83C}"/>
                  </c:ext>
                </c:extLst>
              </c15:ser>
            </c15:filteredScatterSeries>
            <c15:filteredScatterSeries>
              <c15:ser>
                <c:idx val="1"/>
                <c:order val="4"/>
                <c:tx>
                  <c:v>HPS Aging 2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'!$K$10:$K$90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140.19999999999999</c:v>
                      </c:pt>
                      <c:pt idx="1">
                        <c:v>187.3</c:v>
                      </c:pt>
                      <c:pt idx="2">
                        <c:v>232</c:v>
                      </c:pt>
                      <c:pt idx="3">
                        <c:v>261.39999999999998</c:v>
                      </c:pt>
                      <c:pt idx="4">
                        <c:v>285.2</c:v>
                      </c:pt>
                      <c:pt idx="5">
                        <c:v>305.60000000000002</c:v>
                      </c:pt>
                      <c:pt idx="6">
                        <c:v>323.2</c:v>
                      </c:pt>
                      <c:pt idx="7">
                        <c:v>338.6</c:v>
                      </c:pt>
                      <c:pt idx="8">
                        <c:v>351.3</c:v>
                      </c:pt>
                      <c:pt idx="9">
                        <c:v>362.4</c:v>
                      </c:pt>
                      <c:pt idx="10">
                        <c:v>374.1</c:v>
                      </c:pt>
                      <c:pt idx="11">
                        <c:v>387.1</c:v>
                      </c:pt>
                      <c:pt idx="12">
                        <c:v>397.2</c:v>
                      </c:pt>
                      <c:pt idx="13">
                        <c:v>406</c:v>
                      </c:pt>
                      <c:pt idx="14">
                        <c:v>414.7</c:v>
                      </c:pt>
                      <c:pt idx="15">
                        <c:v>424.4</c:v>
                      </c:pt>
                      <c:pt idx="16">
                        <c:v>433.3</c:v>
                      </c:pt>
                      <c:pt idx="17">
                        <c:v>441.2</c:v>
                      </c:pt>
                      <c:pt idx="18">
                        <c:v>448.8</c:v>
                      </c:pt>
                      <c:pt idx="19">
                        <c:v>457.3</c:v>
                      </c:pt>
                      <c:pt idx="20">
                        <c:v>465.4</c:v>
                      </c:pt>
                      <c:pt idx="21">
                        <c:v>472.5</c:v>
                      </c:pt>
                      <c:pt idx="22">
                        <c:v>479.5</c:v>
                      </c:pt>
                      <c:pt idx="23">
                        <c:v>486.9</c:v>
                      </c:pt>
                      <c:pt idx="24">
                        <c:v>494.3</c:v>
                      </c:pt>
                      <c:pt idx="25">
                        <c:v>500.6</c:v>
                      </c:pt>
                      <c:pt idx="26">
                        <c:v>506.4</c:v>
                      </c:pt>
                      <c:pt idx="27">
                        <c:v>512.4</c:v>
                      </c:pt>
                      <c:pt idx="28">
                        <c:v>518.70000000000005</c:v>
                      </c:pt>
                      <c:pt idx="29">
                        <c:v>524.4</c:v>
                      </c:pt>
                      <c:pt idx="30">
                        <c:v>529.6</c:v>
                      </c:pt>
                      <c:pt idx="31">
                        <c:v>534.6</c:v>
                      </c:pt>
                      <c:pt idx="32">
                        <c:v>539.29999999999995</c:v>
                      </c:pt>
                      <c:pt idx="33">
                        <c:v>543.9</c:v>
                      </c:pt>
                      <c:pt idx="34">
                        <c:v>548.6</c:v>
                      </c:pt>
                      <c:pt idx="35">
                        <c:v>553.1</c:v>
                      </c:pt>
                      <c:pt idx="36">
                        <c:v>557.29999999999995</c:v>
                      </c:pt>
                      <c:pt idx="37">
                        <c:v>561.1</c:v>
                      </c:pt>
                      <c:pt idx="38">
                        <c:v>564.79999999999995</c:v>
                      </c:pt>
                      <c:pt idx="39">
                        <c:v>568.20000000000005</c:v>
                      </c:pt>
                      <c:pt idx="40">
                        <c:v>571.4</c:v>
                      </c:pt>
                      <c:pt idx="41">
                        <c:v>574.6</c:v>
                      </c:pt>
                      <c:pt idx="42">
                        <c:v>577.79999999999995</c:v>
                      </c:pt>
                      <c:pt idx="43">
                        <c:v>580.9</c:v>
                      </c:pt>
                      <c:pt idx="44">
                        <c:v>584.1</c:v>
                      </c:pt>
                      <c:pt idx="45">
                        <c:v>587</c:v>
                      </c:pt>
                      <c:pt idx="46">
                        <c:v>590</c:v>
                      </c:pt>
                      <c:pt idx="47">
                        <c:v>592.9</c:v>
                      </c:pt>
                      <c:pt idx="48">
                        <c:v>595.70000000000005</c:v>
                      </c:pt>
                      <c:pt idx="49">
                        <c:v>598.6</c:v>
                      </c:pt>
                      <c:pt idx="50">
                        <c:v>601.5</c:v>
                      </c:pt>
                      <c:pt idx="51">
                        <c:v>604.4</c:v>
                      </c:pt>
                      <c:pt idx="52">
                        <c:v>607.4</c:v>
                      </c:pt>
                      <c:pt idx="53">
                        <c:v>610.29999999999995</c:v>
                      </c:pt>
                      <c:pt idx="54">
                        <c:v>613.29999999999995</c:v>
                      </c:pt>
                      <c:pt idx="55">
                        <c:v>616.29999999999995</c:v>
                      </c:pt>
                      <c:pt idx="56">
                        <c:v>619.4</c:v>
                      </c:pt>
                      <c:pt idx="57">
                        <c:v>622.6</c:v>
                      </c:pt>
                      <c:pt idx="58">
                        <c:v>625.70000000000005</c:v>
                      </c:pt>
                      <c:pt idx="59">
                        <c:v>628.9</c:v>
                      </c:pt>
                      <c:pt idx="60">
                        <c:v>631.9</c:v>
                      </c:pt>
                      <c:pt idx="61">
                        <c:v>635.1</c:v>
                      </c:pt>
                      <c:pt idx="62">
                        <c:v>638.4</c:v>
                      </c:pt>
                      <c:pt idx="63">
                        <c:v>641.79999999999995</c:v>
                      </c:pt>
                      <c:pt idx="64">
                        <c:v>645.4</c:v>
                      </c:pt>
                      <c:pt idx="65">
                        <c:v>648.9</c:v>
                      </c:pt>
                      <c:pt idx="66">
                        <c:v>652.4</c:v>
                      </c:pt>
                      <c:pt idx="67">
                        <c:v>655.8</c:v>
                      </c:pt>
                      <c:pt idx="68">
                        <c:v>659.7</c:v>
                      </c:pt>
                      <c:pt idx="69">
                        <c:v>664.3</c:v>
                      </c:pt>
                      <c:pt idx="70">
                        <c:v>669.1</c:v>
                      </c:pt>
                      <c:pt idx="71">
                        <c:v>673.5</c:v>
                      </c:pt>
                      <c:pt idx="72">
                        <c:v>678.6</c:v>
                      </c:pt>
                      <c:pt idx="73">
                        <c:v>683.9</c:v>
                      </c:pt>
                      <c:pt idx="74">
                        <c:v>689.1</c:v>
                      </c:pt>
                      <c:pt idx="75">
                        <c:v>693.9</c:v>
                      </c:pt>
                      <c:pt idx="76">
                        <c:v>699.8</c:v>
                      </c:pt>
                      <c:pt idx="77">
                        <c:v>705.2</c:v>
                      </c:pt>
                      <c:pt idx="78">
                        <c:v>712.1</c:v>
                      </c:pt>
                      <c:pt idx="79">
                        <c:v>720.3</c:v>
                      </c:pt>
                      <c:pt idx="80">
                        <c:v>733.8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AFB-4FCE-B367-E1B6F071C83C}"/>
                  </c:ext>
                </c:extLst>
              </c15:ser>
            </c15:filteredScatterSeries>
            <c15:filteredScatterSeries>
              <c15:ser>
                <c:idx val="2"/>
                <c:order val="5"/>
                <c:tx>
                  <c:v>HPS Aging 3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'!$L$10:$L$102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152.5</c:v>
                      </c:pt>
                      <c:pt idx="1">
                        <c:v>185.3</c:v>
                      </c:pt>
                      <c:pt idx="2">
                        <c:v>226.6</c:v>
                      </c:pt>
                      <c:pt idx="3">
                        <c:v>255</c:v>
                      </c:pt>
                      <c:pt idx="4">
                        <c:v>279.10000000000002</c:v>
                      </c:pt>
                      <c:pt idx="5">
                        <c:v>299.2</c:v>
                      </c:pt>
                      <c:pt idx="6">
                        <c:v>317.3</c:v>
                      </c:pt>
                      <c:pt idx="7">
                        <c:v>332.5</c:v>
                      </c:pt>
                      <c:pt idx="8">
                        <c:v>345.5</c:v>
                      </c:pt>
                      <c:pt idx="9">
                        <c:v>356.3</c:v>
                      </c:pt>
                      <c:pt idx="10">
                        <c:v>366.7</c:v>
                      </c:pt>
                      <c:pt idx="11">
                        <c:v>378.3</c:v>
                      </c:pt>
                      <c:pt idx="12">
                        <c:v>390.2</c:v>
                      </c:pt>
                      <c:pt idx="13">
                        <c:v>398.9</c:v>
                      </c:pt>
                      <c:pt idx="14">
                        <c:v>407.3</c:v>
                      </c:pt>
                      <c:pt idx="15">
                        <c:v>415.7</c:v>
                      </c:pt>
                      <c:pt idx="16">
                        <c:v>424.9</c:v>
                      </c:pt>
                      <c:pt idx="17">
                        <c:v>433.3</c:v>
                      </c:pt>
                      <c:pt idx="18">
                        <c:v>440.7</c:v>
                      </c:pt>
                      <c:pt idx="19">
                        <c:v>448</c:v>
                      </c:pt>
                      <c:pt idx="20">
                        <c:v>455.9</c:v>
                      </c:pt>
                      <c:pt idx="21">
                        <c:v>463.6</c:v>
                      </c:pt>
                      <c:pt idx="22">
                        <c:v>470.6</c:v>
                      </c:pt>
                      <c:pt idx="23">
                        <c:v>477.3</c:v>
                      </c:pt>
                      <c:pt idx="24">
                        <c:v>484.2</c:v>
                      </c:pt>
                      <c:pt idx="25">
                        <c:v>491.3</c:v>
                      </c:pt>
                      <c:pt idx="26">
                        <c:v>497.8</c:v>
                      </c:pt>
                      <c:pt idx="27">
                        <c:v>503.3</c:v>
                      </c:pt>
                      <c:pt idx="28">
                        <c:v>508.7</c:v>
                      </c:pt>
                      <c:pt idx="29">
                        <c:v>514.70000000000005</c:v>
                      </c:pt>
                      <c:pt idx="30">
                        <c:v>520.6</c:v>
                      </c:pt>
                      <c:pt idx="31">
                        <c:v>525.70000000000005</c:v>
                      </c:pt>
                      <c:pt idx="32">
                        <c:v>530.5</c:v>
                      </c:pt>
                      <c:pt idx="33">
                        <c:v>535.20000000000005</c:v>
                      </c:pt>
                      <c:pt idx="34">
                        <c:v>539.6</c:v>
                      </c:pt>
                      <c:pt idx="35">
                        <c:v>543.9</c:v>
                      </c:pt>
                      <c:pt idx="36">
                        <c:v>548.20000000000005</c:v>
                      </c:pt>
                      <c:pt idx="37">
                        <c:v>552.4</c:v>
                      </c:pt>
                      <c:pt idx="38">
                        <c:v>556.4</c:v>
                      </c:pt>
                      <c:pt idx="39">
                        <c:v>560</c:v>
                      </c:pt>
                      <c:pt idx="40">
                        <c:v>563.5</c:v>
                      </c:pt>
                      <c:pt idx="41">
                        <c:v>566.79999999999995</c:v>
                      </c:pt>
                      <c:pt idx="42">
                        <c:v>569.9</c:v>
                      </c:pt>
                      <c:pt idx="43">
                        <c:v>572.9</c:v>
                      </c:pt>
                      <c:pt idx="44">
                        <c:v>575.79999999999995</c:v>
                      </c:pt>
                      <c:pt idx="45">
                        <c:v>578.79999999999995</c:v>
                      </c:pt>
                      <c:pt idx="46">
                        <c:v>581.70000000000005</c:v>
                      </c:pt>
                      <c:pt idx="47">
                        <c:v>584.6</c:v>
                      </c:pt>
                      <c:pt idx="48">
                        <c:v>587.4</c:v>
                      </c:pt>
                      <c:pt idx="49">
                        <c:v>590.1</c:v>
                      </c:pt>
                      <c:pt idx="50">
                        <c:v>592.79999999999995</c:v>
                      </c:pt>
                      <c:pt idx="51">
                        <c:v>595.5</c:v>
                      </c:pt>
                      <c:pt idx="52">
                        <c:v>598.1</c:v>
                      </c:pt>
                      <c:pt idx="53">
                        <c:v>600.79999999999995</c:v>
                      </c:pt>
                      <c:pt idx="54">
                        <c:v>603.6</c:v>
                      </c:pt>
                      <c:pt idx="55">
                        <c:v>606.29999999999995</c:v>
                      </c:pt>
                      <c:pt idx="56">
                        <c:v>609</c:v>
                      </c:pt>
                      <c:pt idx="57">
                        <c:v>611.70000000000005</c:v>
                      </c:pt>
                      <c:pt idx="58">
                        <c:v>614.5</c:v>
                      </c:pt>
                      <c:pt idx="59">
                        <c:v>617.29999999999995</c:v>
                      </c:pt>
                      <c:pt idx="60">
                        <c:v>620.1</c:v>
                      </c:pt>
                      <c:pt idx="61">
                        <c:v>623</c:v>
                      </c:pt>
                      <c:pt idx="62">
                        <c:v>625.79999999999995</c:v>
                      </c:pt>
                      <c:pt idx="63">
                        <c:v>628.6</c:v>
                      </c:pt>
                      <c:pt idx="64">
                        <c:v>631.4</c:v>
                      </c:pt>
                      <c:pt idx="65">
                        <c:v>634.20000000000005</c:v>
                      </c:pt>
                      <c:pt idx="66">
                        <c:v>637.1</c:v>
                      </c:pt>
                      <c:pt idx="67">
                        <c:v>640</c:v>
                      </c:pt>
                      <c:pt idx="68">
                        <c:v>643.1</c:v>
                      </c:pt>
                      <c:pt idx="69">
                        <c:v>646.20000000000005</c:v>
                      </c:pt>
                      <c:pt idx="70">
                        <c:v>649.20000000000005</c:v>
                      </c:pt>
                      <c:pt idx="71">
                        <c:v>652.20000000000005</c:v>
                      </c:pt>
                      <c:pt idx="72">
                        <c:v>655.1</c:v>
                      </c:pt>
                      <c:pt idx="73">
                        <c:v>658.1</c:v>
                      </c:pt>
                      <c:pt idx="74">
                        <c:v>661.9</c:v>
                      </c:pt>
                      <c:pt idx="75">
                        <c:v>665.7</c:v>
                      </c:pt>
                      <c:pt idx="76">
                        <c:v>669.7</c:v>
                      </c:pt>
                      <c:pt idx="77">
                        <c:v>673.1</c:v>
                      </c:pt>
                      <c:pt idx="78">
                        <c:v>676.9</c:v>
                      </c:pt>
                      <c:pt idx="79">
                        <c:v>681.3</c:v>
                      </c:pt>
                      <c:pt idx="80">
                        <c:v>685</c:v>
                      </c:pt>
                      <c:pt idx="81">
                        <c:v>688.9</c:v>
                      </c:pt>
                      <c:pt idx="82">
                        <c:v>692.4</c:v>
                      </c:pt>
                      <c:pt idx="83">
                        <c:v>695.7</c:v>
                      </c:pt>
                      <c:pt idx="84">
                        <c:v>700</c:v>
                      </c:pt>
                      <c:pt idx="85">
                        <c:v>703.3</c:v>
                      </c:pt>
                      <c:pt idx="86">
                        <c:v>706.7</c:v>
                      </c:pt>
                      <c:pt idx="87">
                        <c:v>710.8</c:v>
                      </c:pt>
                      <c:pt idx="88">
                        <c:v>714.7</c:v>
                      </c:pt>
                      <c:pt idx="89">
                        <c:v>718.6</c:v>
                      </c:pt>
                      <c:pt idx="90">
                        <c:v>722.6</c:v>
                      </c:pt>
                      <c:pt idx="91">
                        <c:v>726.7</c:v>
                      </c:pt>
                      <c:pt idx="92">
                        <c:v>730.9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AFB-4FCE-B367-E1B6F071C83C}"/>
                  </c:ext>
                </c:extLst>
              </c15:ser>
            </c15:filteredScatterSeries>
            <c15:filteredScatterSeries>
              <c15:ser>
                <c:idx val="3"/>
                <c:order val="6"/>
                <c:tx>
                  <c:v>HPS Aging 4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'!$M$10:$M$97</c15:sqref>
                        </c15:formulaRef>
                      </c:ext>
                    </c:extLst>
                    <c:numCache>
                      <c:formatCode>General</c:formatCode>
                      <c:ptCount val="88"/>
                      <c:pt idx="0">
                        <c:v>133.6</c:v>
                      </c:pt>
                      <c:pt idx="1">
                        <c:v>179.1</c:v>
                      </c:pt>
                      <c:pt idx="2">
                        <c:v>224.9</c:v>
                      </c:pt>
                      <c:pt idx="3">
                        <c:v>255.3</c:v>
                      </c:pt>
                      <c:pt idx="4">
                        <c:v>279.7</c:v>
                      </c:pt>
                      <c:pt idx="5">
                        <c:v>300.89999999999998</c:v>
                      </c:pt>
                      <c:pt idx="6">
                        <c:v>317.7</c:v>
                      </c:pt>
                      <c:pt idx="7">
                        <c:v>332.7</c:v>
                      </c:pt>
                      <c:pt idx="8">
                        <c:v>345.9</c:v>
                      </c:pt>
                      <c:pt idx="9">
                        <c:v>357.3</c:v>
                      </c:pt>
                      <c:pt idx="10">
                        <c:v>367.8</c:v>
                      </c:pt>
                      <c:pt idx="11">
                        <c:v>379.7</c:v>
                      </c:pt>
                      <c:pt idx="12">
                        <c:v>391.3</c:v>
                      </c:pt>
                      <c:pt idx="13">
                        <c:v>400</c:v>
                      </c:pt>
                      <c:pt idx="14">
                        <c:v>408.3</c:v>
                      </c:pt>
                      <c:pt idx="15">
                        <c:v>417</c:v>
                      </c:pt>
                      <c:pt idx="16">
                        <c:v>426.3</c:v>
                      </c:pt>
                      <c:pt idx="17">
                        <c:v>434.6</c:v>
                      </c:pt>
                      <c:pt idx="18">
                        <c:v>442.1</c:v>
                      </c:pt>
                      <c:pt idx="19">
                        <c:v>449.4</c:v>
                      </c:pt>
                      <c:pt idx="20">
                        <c:v>457.4</c:v>
                      </c:pt>
                      <c:pt idx="21">
                        <c:v>465.2</c:v>
                      </c:pt>
                      <c:pt idx="22">
                        <c:v>472.3</c:v>
                      </c:pt>
                      <c:pt idx="23">
                        <c:v>479</c:v>
                      </c:pt>
                      <c:pt idx="24">
                        <c:v>486.1</c:v>
                      </c:pt>
                      <c:pt idx="25">
                        <c:v>493.1</c:v>
                      </c:pt>
                      <c:pt idx="26">
                        <c:v>499.3</c:v>
                      </c:pt>
                      <c:pt idx="27">
                        <c:v>505</c:v>
                      </c:pt>
                      <c:pt idx="28">
                        <c:v>510.6</c:v>
                      </c:pt>
                      <c:pt idx="29">
                        <c:v>516.6</c:v>
                      </c:pt>
                      <c:pt idx="30">
                        <c:v>522.4</c:v>
                      </c:pt>
                      <c:pt idx="31">
                        <c:v>527.4</c:v>
                      </c:pt>
                      <c:pt idx="32">
                        <c:v>532.20000000000005</c:v>
                      </c:pt>
                      <c:pt idx="33">
                        <c:v>536.70000000000005</c:v>
                      </c:pt>
                      <c:pt idx="34">
                        <c:v>541.20000000000005</c:v>
                      </c:pt>
                      <c:pt idx="35">
                        <c:v>545.5</c:v>
                      </c:pt>
                      <c:pt idx="36">
                        <c:v>549.79999999999995</c:v>
                      </c:pt>
                      <c:pt idx="37">
                        <c:v>554</c:v>
                      </c:pt>
                      <c:pt idx="38">
                        <c:v>557.9</c:v>
                      </c:pt>
                      <c:pt idx="39">
                        <c:v>561.4</c:v>
                      </c:pt>
                      <c:pt idx="40">
                        <c:v>564.9</c:v>
                      </c:pt>
                      <c:pt idx="41">
                        <c:v>568.1</c:v>
                      </c:pt>
                      <c:pt idx="42">
                        <c:v>571.20000000000005</c:v>
                      </c:pt>
                      <c:pt idx="43">
                        <c:v>574.20000000000005</c:v>
                      </c:pt>
                      <c:pt idx="44">
                        <c:v>577.20000000000005</c:v>
                      </c:pt>
                      <c:pt idx="45">
                        <c:v>580.20000000000005</c:v>
                      </c:pt>
                      <c:pt idx="46">
                        <c:v>583.1</c:v>
                      </c:pt>
                      <c:pt idx="47">
                        <c:v>586</c:v>
                      </c:pt>
                      <c:pt idx="48">
                        <c:v>588.79999999999995</c:v>
                      </c:pt>
                      <c:pt idx="49">
                        <c:v>591.6</c:v>
                      </c:pt>
                      <c:pt idx="50">
                        <c:v>594.29999999999995</c:v>
                      </c:pt>
                      <c:pt idx="51">
                        <c:v>597</c:v>
                      </c:pt>
                      <c:pt idx="52">
                        <c:v>599.79999999999995</c:v>
                      </c:pt>
                      <c:pt idx="53">
                        <c:v>602.6</c:v>
                      </c:pt>
                      <c:pt idx="54">
                        <c:v>605.4</c:v>
                      </c:pt>
                      <c:pt idx="55">
                        <c:v>608.20000000000005</c:v>
                      </c:pt>
                      <c:pt idx="56">
                        <c:v>611</c:v>
                      </c:pt>
                      <c:pt idx="57">
                        <c:v>613.9</c:v>
                      </c:pt>
                      <c:pt idx="58">
                        <c:v>616.79999999999995</c:v>
                      </c:pt>
                      <c:pt idx="59">
                        <c:v>619.70000000000005</c:v>
                      </c:pt>
                      <c:pt idx="60">
                        <c:v>622.70000000000005</c:v>
                      </c:pt>
                      <c:pt idx="61">
                        <c:v>625.70000000000005</c:v>
                      </c:pt>
                      <c:pt idx="62">
                        <c:v>628.70000000000005</c:v>
                      </c:pt>
                      <c:pt idx="63">
                        <c:v>631.6</c:v>
                      </c:pt>
                      <c:pt idx="64">
                        <c:v>634.5</c:v>
                      </c:pt>
                      <c:pt idx="65">
                        <c:v>637.6</c:v>
                      </c:pt>
                      <c:pt idx="66">
                        <c:v>640.70000000000005</c:v>
                      </c:pt>
                      <c:pt idx="67">
                        <c:v>644</c:v>
                      </c:pt>
                      <c:pt idx="68">
                        <c:v>647.4</c:v>
                      </c:pt>
                      <c:pt idx="69">
                        <c:v>650.5</c:v>
                      </c:pt>
                      <c:pt idx="70">
                        <c:v>653.70000000000005</c:v>
                      </c:pt>
                      <c:pt idx="71">
                        <c:v>656.8</c:v>
                      </c:pt>
                      <c:pt idx="72">
                        <c:v>660.6</c:v>
                      </c:pt>
                      <c:pt idx="73">
                        <c:v>664.8</c:v>
                      </c:pt>
                      <c:pt idx="74">
                        <c:v>669.2</c:v>
                      </c:pt>
                      <c:pt idx="75">
                        <c:v>673.1</c:v>
                      </c:pt>
                      <c:pt idx="76">
                        <c:v>677.4</c:v>
                      </c:pt>
                      <c:pt idx="77">
                        <c:v>682.2</c:v>
                      </c:pt>
                      <c:pt idx="78">
                        <c:v>686.5</c:v>
                      </c:pt>
                      <c:pt idx="79">
                        <c:v>691.2</c:v>
                      </c:pt>
                      <c:pt idx="80">
                        <c:v>694.8</c:v>
                      </c:pt>
                      <c:pt idx="81">
                        <c:v>699.9</c:v>
                      </c:pt>
                      <c:pt idx="82">
                        <c:v>704</c:v>
                      </c:pt>
                      <c:pt idx="83">
                        <c:v>708.8</c:v>
                      </c:pt>
                      <c:pt idx="84">
                        <c:v>714.2</c:v>
                      </c:pt>
                      <c:pt idx="85">
                        <c:v>719.8</c:v>
                      </c:pt>
                      <c:pt idx="86">
                        <c:v>726.2</c:v>
                      </c:pt>
                      <c:pt idx="87">
                        <c:v>733.5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AFB-4FCE-B367-E1B6F071C83C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HPS D5 LS1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'!$N$10:$N$98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95.5</c:v>
                      </c:pt>
                      <c:pt idx="1">
                        <c:v>125.7</c:v>
                      </c:pt>
                      <c:pt idx="2">
                        <c:v>155.6</c:v>
                      </c:pt>
                      <c:pt idx="3">
                        <c:v>174.7</c:v>
                      </c:pt>
                      <c:pt idx="4">
                        <c:v>190.5</c:v>
                      </c:pt>
                      <c:pt idx="5">
                        <c:v>203.2</c:v>
                      </c:pt>
                      <c:pt idx="6">
                        <c:v>216</c:v>
                      </c:pt>
                      <c:pt idx="7">
                        <c:v>226</c:v>
                      </c:pt>
                      <c:pt idx="8">
                        <c:v>235.1</c:v>
                      </c:pt>
                      <c:pt idx="9">
                        <c:v>245.2</c:v>
                      </c:pt>
                      <c:pt idx="10">
                        <c:v>253.3</c:v>
                      </c:pt>
                      <c:pt idx="11">
                        <c:v>262.5</c:v>
                      </c:pt>
                      <c:pt idx="12">
                        <c:v>270.2</c:v>
                      </c:pt>
                      <c:pt idx="13">
                        <c:v>278.8</c:v>
                      </c:pt>
                      <c:pt idx="14">
                        <c:v>286.39999999999998</c:v>
                      </c:pt>
                      <c:pt idx="15">
                        <c:v>294.10000000000002</c:v>
                      </c:pt>
                      <c:pt idx="16">
                        <c:v>301</c:v>
                      </c:pt>
                      <c:pt idx="17">
                        <c:v>308</c:v>
                      </c:pt>
                      <c:pt idx="18">
                        <c:v>314.89999999999998</c:v>
                      </c:pt>
                      <c:pt idx="19">
                        <c:v>321.3</c:v>
                      </c:pt>
                      <c:pt idx="20">
                        <c:v>328.2</c:v>
                      </c:pt>
                      <c:pt idx="21">
                        <c:v>334.2</c:v>
                      </c:pt>
                      <c:pt idx="22">
                        <c:v>340.8</c:v>
                      </c:pt>
                      <c:pt idx="23">
                        <c:v>346.4</c:v>
                      </c:pt>
                      <c:pt idx="24">
                        <c:v>352.3</c:v>
                      </c:pt>
                      <c:pt idx="25">
                        <c:v>357.5</c:v>
                      </c:pt>
                      <c:pt idx="26">
                        <c:v>363.2</c:v>
                      </c:pt>
                      <c:pt idx="27">
                        <c:v>368.5</c:v>
                      </c:pt>
                      <c:pt idx="28">
                        <c:v>375.1</c:v>
                      </c:pt>
                      <c:pt idx="29">
                        <c:v>381.5</c:v>
                      </c:pt>
                      <c:pt idx="30">
                        <c:v>388.2</c:v>
                      </c:pt>
                      <c:pt idx="31">
                        <c:v>393.9</c:v>
                      </c:pt>
                      <c:pt idx="32">
                        <c:v>399.4</c:v>
                      </c:pt>
                      <c:pt idx="33">
                        <c:v>404.7</c:v>
                      </c:pt>
                      <c:pt idx="34">
                        <c:v>410</c:v>
                      </c:pt>
                      <c:pt idx="35">
                        <c:v>415.6</c:v>
                      </c:pt>
                      <c:pt idx="36">
                        <c:v>421</c:v>
                      </c:pt>
                      <c:pt idx="37">
                        <c:v>427</c:v>
                      </c:pt>
                      <c:pt idx="38">
                        <c:v>432.5</c:v>
                      </c:pt>
                      <c:pt idx="39">
                        <c:v>438.1</c:v>
                      </c:pt>
                      <c:pt idx="40">
                        <c:v>443.3</c:v>
                      </c:pt>
                      <c:pt idx="41">
                        <c:v>448.5</c:v>
                      </c:pt>
                      <c:pt idx="42">
                        <c:v>454.3</c:v>
                      </c:pt>
                      <c:pt idx="43">
                        <c:v>459.9</c:v>
                      </c:pt>
                      <c:pt idx="44">
                        <c:v>465.4</c:v>
                      </c:pt>
                      <c:pt idx="45">
                        <c:v>471</c:v>
                      </c:pt>
                      <c:pt idx="46">
                        <c:v>476.4</c:v>
                      </c:pt>
                      <c:pt idx="47">
                        <c:v>481.9</c:v>
                      </c:pt>
                      <c:pt idx="48">
                        <c:v>487.5</c:v>
                      </c:pt>
                      <c:pt idx="49">
                        <c:v>493.2</c:v>
                      </c:pt>
                      <c:pt idx="50">
                        <c:v>498.4</c:v>
                      </c:pt>
                      <c:pt idx="51">
                        <c:v>503.4</c:v>
                      </c:pt>
                      <c:pt idx="52">
                        <c:v>508.3</c:v>
                      </c:pt>
                      <c:pt idx="53">
                        <c:v>513.70000000000005</c:v>
                      </c:pt>
                      <c:pt idx="54">
                        <c:v>519.1</c:v>
                      </c:pt>
                      <c:pt idx="55">
                        <c:v>524.20000000000005</c:v>
                      </c:pt>
                      <c:pt idx="56">
                        <c:v>529.1</c:v>
                      </c:pt>
                      <c:pt idx="57">
                        <c:v>533.9</c:v>
                      </c:pt>
                      <c:pt idx="58">
                        <c:v>538.70000000000005</c:v>
                      </c:pt>
                      <c:pt idx="59">
                        <c:v>543.29999999999995</c:v>
                      </c:pt>
                      <c:pt idx="60">
                        <c:v>548.1</c:v>
                      </c:pt>
                      <c:pt idx="61">
                        <c:v>552.79999999999995</c:v>
                      </c:pt>
                      <c:pt idx="62">
                        <c:v>557.4</c:v>
                      </c:pt>
                      <c:pt idx="63">
                        <c:v>561.79999999999995</c:v>
                      </c:pt>
                      <c:pt idx="64">
                        <c:v>566.1</c:v>
                      </c:pt>
                      <c:pt idx="65">
                        <c:v>570.20000000000005</c:v>
                      </c:pt>
                      <c:pt idx="66">
                        <c:v>574.20000000000005</c:v>
                      </c:pt>
                      <c:pt idx="67">
                        <c:v>578.5</c:v>
                      </c:pt>
                      <c:pt idx="68">
                        <c:v>582.9</c:v>
                      </c:pt>
                      <c:pt idx="69">
                        <c:v>587.20000000000005</c:v>
                      </c:pt>
                      <c:pt idx="70">
                        <c:v>591.6</c:v>
                      </c:pt>
                      <c:pt idx="71">
                        <c:v>596</c:v>
                      </c:pt>
                      <c:pt idx="72">
                        <c:v>600.5</c:v>
                      </c:pt>
                      <c:pt idx="73">
                        <c:v>605.29999999999995</c:v>
                      </c:pt>
                      <c:pt idx="74">
                        <c:v>610.29999999999995</c:v>
                      </c:pt>
                      <c:pt idx="75">
                        <c:v>615.29999999999995</c:v>
                      </c:pt>
                      <c:pt idx="76">
                        <c:v>620.9</c:v>
                      </c:pt>
                      <c:pt idx="77">
                        <c:v>626.4</c:v>
                      </c:pt>
                      <c:pt idx="78">
                        <c:v>632.1</c:v>
                      </c:pt>
                      <c:pt idx="79">
                        <c:v>638</c:v>
                      </c:pt>
                      <c:pt idx="80">
                        <c:v>644.6</c:v>
                      </c:pt>
                      <c:pt idx="81">
                        <c:v>651.6</c:v>
                      </c:pt>
                      <c:pt idx="82">
                        <c:v>658.6</c:v>
                      </c:pt>
                      <c:pt idx="83">
                        <c:v>667.9</c:v>
                      </c:pt>
                      <c:pt idx="84">
                        <c:v>677.4</c:v>
                      </c:pt>
                      <c:pt idx="85">
                        <c:v>688.1</c:v>
                      </c:pt>
                      <c:pt idx="86">
                        <c:v>698.6</c:v>
                      </c:pt>
                      <c:pt idx="87">
                        <c:v>709.6</c:v>
                      </c:pt>
                      <c:pt idx="88">
                        <c:v>722.6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AFB-4FCE-B367-E1B6F071C83C}"/>
                  </c:ext>
                </c:extLst>
              </c15:ser>
            </c15:filteredScatterSeries>
            <c15:filteredScatterSeries>
              <c15:ser>
                <c:idx val="5"/>
                <c:order val="8"/>
                <c:tx>
                  <c:v>HPS D6 LS2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'!$O$10:$O$97</c15:sqref>
                        </c15:formulaRef>
                      </c:ext>
                    </c:extLst>
                    <c:numCache>
                      <c:formatCode>General</c:formatCode>
                      <c:ptCount val="88"/>
                      <c:pt idx="0">
                        <c:v>110.4</c:v>
                      </c:pt>
                      <c:pt idx="1">
                        <c:v>133.4</c:v>
                      </c:pt>
                      <c:pt idx="2">
                        <c:v>162.30000000000001</c:v>
                      </c:pt>
                      <c:pt idx="3">
                        <c:v>180.8</c:v>
                      </c:pt>
                      <c:pt idx="4">
                        <c:v>196.7</c:v>
                      </c:pt>
                      <c:pt idx="5">
                        <c:v>211.2</c:v>
                      </c:pt>
                      <c:pt idx="6">
                        <c:v>222.6</c:v>
                      </c:pt>
                      <c:pt idx="7">
                        <c:v>234</c:v>
                      </c:pt>
                      <c:pt idx="8">
                        <c:v>244.8</c:v>
                      </c:pt>
                      <c:pt idx="9">
                        <c:v>253.6</c:v>
                      </c:pt>
                      <c:pt idx="10">
                        <c:v>264</c:v>
                      </c:pt>
                      <c:pt idx="11">
                        <c:v>273.10000000000002</c:v>
                      </c:pt>
                      <c:pt idx="12">
                        <c:v>283</c:v>
                      </c:pt>
                      <c:pt idx="13">
                        <c:v>291.5</c:v>
                      </c:pt>
                      <c:pt idx="14">
                        <c:v>299.39999999999998</c:v>
                      </c:pt>
                      <c:pt idx="15">
                        <c:v>306.89999999999998</c:v>
                      </c:pt>
                      <c:pt idx="16">
                        <c:v>314.2</c:v>
                      </c:pt>
                      <c:pt idx="17">
                        <c:v>321.7</c:v>
                      </c:pt>
                      <c:pt idx="18">
                        <c:v>328.5</c:v>
                      </c:pt>
                      <c:pt idx="19">
                        <c:v>336.2</c:v>
                      </c:pt>
                      <c:pt idx="20">
                        <c:v>342.6</c:v>
                      </c:pt>
                      <c:pt idx="21">
                        <c:v>349.8</c:v>
                      </c:pt>
                      <c:pt idx="22">
                        <c:v>355.6</c:v>
                      </c:pt>
                      <c:pt idx="23">
                        <c:v>362.1</c:v>
                      </c:pt>
                      <c:pt idx="24">
                        <c:v>368</c:v>
                      </c:pt>
                      <c:pt idx="25">
                        <c:v>375.3</c:v>
                      </c:pt>
                      <c:pt idx="26">
                        <c:v>382.2</c:v>
                      </c:pt>
                      <c:pt idx="27">
                        <c:v>389</c:v>
                      </c:pt>
                      <c:pt idx="28">
                        <c:v>395.6</c:v>
                      </c:pt>
                      <c:pt idx="29">
                        <c:v>401.3</c:v>
                      </c:pt>
                      <c:pt idx="30">
                        <c:v>407.5</c:v>
                      </c:pt>
                      <c:pt idx="31">
                        <c:v>413.1</c:v>
                      </c:pt>
                      <c:pt idx="32">
                        <c:v>419</c:v>
                      </c:pt>
                      <c:pt idx="33">
                        <c:v>425.4</c:v>
                      </c:pt>
                      <c:pt idx="34">
                        <c:v>431.3</c:v>
                      </c:pt>
                      <c:pt idx="35">
                        <c:v>437.2</c:v>
                      </c:pt>
                      <c:pt idx="36">
                        <c:v>442.9</c:v>
                      </c:pt>
                      <c:pt idx="37">
                        <c:v>448.4</c:v>
                      </c:pt>
                      <c:pt idx="38">
                        <c:v>454.4</c:v>
                      </c:pt>
                      <c:pt idx="39">
                        <c:v>460.3</c:v>
                      </c:pt>
                      <c:pt idx="40">
                        <c:v>466.1</c:v>
                      </c:pt>
                      <c:pt idx="41">
                        <c:v>471.7</c:v>
                      </c:pt>
                      <c:pt idx="42">
                        <c:v>477.5</c:v>
                      </c:pt>
                      <c:pt idx="43">
                        <c:v>483.1</c:v>
                      </c:pt>
                      <c:pt idx="44">
                        <c:v>488.8</c:v>
                      </c:pt>
                      <c:pt idx="45">
                        <c:v>494.6</c:v>
                      </c:pt>
                      <c:pt idx="46">
                        <c:v>499.9</c:v>
                      </c:pt>
                      <c:pt idx="47">
                        <c:v>504.9</c:v>
                      </c:pt>
                      <c:pt idx="48">
                        <c:v>510</c:v>
                      </c:pt>
                      <c:pt idx="49">
                        <c:v>515.4</c:v>
                      </c:pt>
                      <c:pt idx="50">
                        <c:v>520.79999999999995</c:v>
                      </c:pt>
                      <c:pt idx="51">
                        <c:v>525.79999999999995</c:v>
                      </c:pt>
                      <c:pt idx="52">
                        <c:v>530.6</c:v>
                      </c:pt>
                      <c:pt idx="53">
                        <c:v>535.29999999999995</c:v>
                      </c:pt>
                      <c:pt idx="54">
                        <c:v>539.9</c:v>
                      </c:pt>
                      <c:pt idx="55">
                        <c:v>544.4</c:v>
                      </c:pt>
                      <c:pt idx="56">
                        <c:v>549</c:v>
                      </c:pt>
                      <c:pt idx="57">
                        <c:v>553.5</c:v>
                      </c:pt>
                      <c:pt idx="58">
                        <c:v>557.79999999999995</c:v>
                      </c:pt>
                      <c:pt idx="59">
                        <c:v>561.79999999999995</c:v>
                      </c:pt>
                      <c:pt idx="60">
                        <c:v>565.79999999999995</c:v>
                      </c:pt>
                      <c:pt idx="61">
                        <c:v>569.5</c:v>
                      </c:pt>
                      <c:pt idx="62">
                        <c:v>573.20000000000005</c:v>
                      </c:pt>
                      <c:pt idx="63">
                        <c:v>577.1</c:v>
                      </c:pt>
                      <c:pt idx="64">
                        <c:v>581</c:v>
                      </c:pt>
                      <c:pt idx="65">
                        <c:v>584.9</c:v>
                      </c:pt>
                      <c:pt idx="66">
                        <c:v>588.79999999999995</c:v>
                      </c:pt>
                      <c:pt idx="67">
                        <c:v>592.79999999999995</c:v>
                      </c:pt>
                      <c:pt idx="68">
                        <c:v>596.70000000000005</c:v>
                      </c:pt>
                      <c:pt idx="69">
                        <c:v>600.79999999999995</c:v>
                      </c:pt>
                      <c:pt idx="70">
                        <c:v>605.1</c:v>
                      </c:pt>
                      <c:pt idx="71">
                        <c:v>609.5</c:v>
                      </c:pt>
                      <c:pt idx="72">
                        <c:v>614</c:v>
                      </c:pt>
                      <c:pt idx="73">
                        <c:v>618.9</c:v>
                      </c:pt>
                      <c:pt idx="74">
                        <c:v>623.9</c:v>
                      </c:pt>
                      <c:pt idx="75">
                        <c:v>628.9</c:v>
                      </c:pt>
                      <c:pt idx="76">
                        <c:v>634.1</c:v>
                      </c:pt>
                      <c:pt idx="77">
                        <c:v>639.6</c:v>
                      </c:pt>
                      <c:pt idx="78">
                        <c:v>645.70000000000005</c:v>
                      </c:pt>
                      <c:pt idx="79">
                        <c:v>651.9</c:v>
                      </c:pt>
                      <c:pt idx="80">
                        <c:v>658</c:v>
                      </c:pt>
                      <c:pt idx="81">
                        <c:v>666.2</c:v>
                      </c:pt>
                      <c:pt idx="82">
                        <c:v>674.4</c:v>
                      </c:pt>
                      <c:pt idx="83">
                        <c:v>684</c:v>
                      </c:pt>
                      <c:pt idx="84">
                        <c:v>693</c:v>
                      </c:pt>
                      <c:pt idx="85">
                        <c:v>702.7</c:v>
                      </c:pt>
                      <c:pt idx="86">
                        <c:v>713.1</c:v>
                      </c:pt>
                      <c:pt idx="87">
                        <c:v>724.8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AFB-4FCE-B367-E1B6F071C83C}"/>
                  </c:ext>
                </c:extLst>
              </c15:ser>
            </c15:filteredScatterSeries>
            <c15:filteredScatterSeries>
              <c15:ser>
                <c:idx val="6"/>
                <c:order val="9"/>
                <c:tx>
                  <c:v>HPS D7 LS3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'!$P$10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111.6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AFB-4FCE-B367-E1B6F071C83C}"/>
                  </c:ext>
                </c:extLst>
              </c15:ser>
            </c15:filteredScatterSeries>
            <c15:filteredScatterSeries>
              <c15:ser>
                <c:idx val="7"/>
                <c:order val="10"/>
                <c:tx>
                  <c:v>HPS D8 LS4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'!$Q$10:$Q$101</c15:sqref>
                        </c15:formulaRef>
                      </c:ext>
                    </c:extLst>
                    <c:numCache>
                      <c:formatCode>General</c:formatCode>
                      <c:ptCount val="92"/>
                      <c:pt idx="0">
                        <c:v>96.3</c:v>
                      </c:pt>
                      <c:pt idx="1">
                        <c:v>132.80000000000001</c:v>
                      </c:pt>
                      <c:pt idx="2">
                        <c:v>163.4</c:v>
                      </c:pt>
                      <c:pt idx="3">
                        <c:v>183.2</c:v>
                      </c:pt>
                      <c:pt idx="4">
                        <c:v>198.4</c:v>
                      </c:pt>
                      <c:pt idx="5">
                        <c:v>211.3</c:v>
                      </c:pt>
                      <c:pt idx="6">
                        <c:v>222.5</c:v>
                      </c:pt>
                      <c:pt idx="7">
                        <c:v>233.1</c:v>
                      </c:pt>
                      <c:pt idx="8">
                        <c:v>242.9</c:v>
                      </c:pt>
                      <c:pt idx="9">
                        <c:v>252.7</c:v>
                      </c:pt>
                      <c:pt idx="10">
                        <c:v>261.89999999999998</c:v>
                      </c:pt>
                      <c:pt idx="11">
                        <c:v>271.3</c:v>
                      </c:pt>
                      <c:pt idx="12">
                        <c:v>280.60000000000002</c:v>
                      </c:pt>
                      <c:pt idx="13">
                        <c:v>288.60000000000002</c:v>
                      </c:pt>
                      <c:pt idx="14">
                        <c:v>296.89999999999998</c:v>
                      </c:pt>
                      <c:pt idx="15">
                        <c:v>304.2</c:v>
                      </c:pt>
                      <c:pt idx="16">
                        <c:v>312.2</c:v>
                      </c:pt>
                      <c:pt idx="17">
                        <c:v>319.10000000000002</c:v>
                      </c:pt>
                      <c:pt idx="18">
                        <c:v>326.39999999999998</c:v>
                      </c:pt>
                      <c:pt idx="19">
                        <c:v>333.1</c:v>
                      </c:pt>
                      <c:pt idx="20">
                        <c:v>340.1</c:v>
                      </c:pt>
                      <c:pt idx="21">
                        <c:v>346.8</c:v>
                      </c:pt>
                      <c:pt idx="22">
                        <c:v>353.2</c:v>
                      </c:pt>
                      <c:pt idx="23">
                        <c:v>359.5</c:v>
                      </c:pt>
                      <c:pt idx="24">
                        <c:v>365.7</c:v>
                      </c:pt>
                      <c:pt idx="25">
                        <c:v>372.3</c:v>
                      </c:pt>
                      <c:pt idx="26">
                        <c:v>378.5</c:v>
                      </c:pt>
                      <c:pt idx="27">
                        <c:v>385.7</c:v>
                      </c:pt>
                      <c:pt idx="28">
                        <c:v>391.8</c:v>
                      </c:pt>
                      <c:pt idx="29">
                        <c:v>396.8</c:v>
                      </c:pt>
                      <c:pt idx="30">
                        <c:v>401.6</c:v>
                      </c:pt>
                      <c:pt idx="31">
                        <c:v>406.3</c:v>
                      </c:pt>
                      <c:pt idx="32">
                        <c:v>411.1</c:v>
                      </c:pt>
                      <c:pt idx="33">
                        <c:v>417.4</c:v>
                      </c:pt>
                      <c:pt idx="34">
                        <c:v>425.4</c:v>
                      </c:pt>
                      <c:pt idx="35">
                        <c:v>432.3</c:v>
                      </c:pt>
                      <c:pt idx="36">
                        <c:v>437.3</c:v>
                      </c:pt>
                      <c:pt idx="37">
                        <c:v>442.4</c:v>
                      </c:pt>
                      <c:pt idx="38">
                        <c:v>447.3</c:v>
                      </c:pt>
                      <c:pt idx="39">
                        <c:v>453.4</c:v>
                      </c:pt>
                      <c:pt idx="40">
                        <c:v>459.8</c:v>
                      </c:pt>
                      <c:pt idx="41">
                        <c:v>466.1</c:v>
                      </c:pt>
                      <c:pt idx="42">
                        <c:v>471.2</c:v>
                      </c:pt>
                      <c:pt idx="43">
                        <c:v>476.4</c:v>
                      </c:pt>
                      <c:pt idx="44">
                        <c:v>481.6</c:v>
                      </c:pt>
                      <c:pt idx="45">
                        <c:v>487.4</c:v>
                      </c:pt>
                      <c:pt idx="46">
                        <c:v>493.3</c:v>
                      </c:pt>
                      <c:pt idx="47">
                        <c:v>498.5</c:v>
                      </c:pt>
                      <c:pt idx="48">
                        <c:v>503.2</c:v>
                      </c:pt>
                      <c:pt idx="49">
                        <c:v>507.8</c:v>
                      </c:pt>
                      <c:pt idx="50">
                        <c:v>513.1</c:v>
                      </c:pt>
                      <c:pt idx="51">
                        <c:v>518.29999999999995</c:v>
                      </c:pt>
                      <c:pt idx="52">
                        <c:v>523.4</c:v>
                      </c:pt>
                      <c:pt idx="53">
                        <c:v>527.9</c:v>
                      </c:pt>
                      <c:pt idx="54">
                        <c:v>532.4</c:v>
                      </c:pt>
                      <c:pt idx="55">
                        <c:v>536.9</c:v>
                      </c:pt>
                      <c:pt idx="56">
                        <c:v>541.20000000000005</c:v>
                      </c:pt>
                      <c:pt idx="57">
                        <c:v>545.4</c:v>
                      </c:pt>
                      <c:pt idx="58">
                        <c:v>549.70000000000005</c:v>
                      </c:pt>
                      <c:pt idx="59">
                        <c:v>554</c:v>
                      </c:pt>
                      <c:pt idx="60">
                        <c:v>558.1</c:v>
                      </c:pt>
                      <c:pt idx="61">
                        <c:v>561.9</c:v>
                      </c:pt>
                      <c:pt idx="62">
                        <c:v>565.70000000000005</c:v>
                      </c:pt>
                      <c:pt idx="63">
                        <c:v>569.1</c:v>
                      </c:pt>
                      <c:pt idx="64">
                        <c:v>572.6</c:v>
                      </c:pt>
                      <c:pt idx="65">
                        <c:v>576.1</c:v>
                      </c:pt>
                      <c:pt idx="66">
                        <c:v>579.70000000000005</c:v>
                      </c:pt>
                      <c:pt idx="67">
                        <c:v>583.4</c:v>
                      </c:pt>
                      <c:pt idx="68">
                        <c:v>587</c:v>
                      </c:pt>
                      <c:pt idx="69">
                        <c:v>590.6</c:v>
                      </c:pt>
                      <c:pt idx="70">
                        <c:v>594.4</c:v>
                      </c:pt>
                      <c:pt idx="71">
                        <c:v>598</c:v>
                      </c:pt>
                      <c:pt idx="72">
                        <c:v>601.79999999999995</c:v>
                      </c:pt>
                      <c:pt idx="73">
                        <c:v>605.79999999999995</c:v>
                      </c:pt>
                      <c:pt idx="74">
                        <c:v>609.9</c:v>
                      </c:pt>
                      <c:pt idx="75">
                        <c:v>614</c:v>
                      </c:pt>
                      <c:pt idx="76">
                        <c:v>618.29999999999995</c:v>
                      </c:pt>
                      <c:pt idx="77">
                        <c:v>622.9</c:v>
                      </c:pt>
                      <c:pt idx="78">
                        <c:v>627.4</c:v>
                      </c:pt>
                      <c:pt idx="79">
                        <c:v>632.1</c:v>
                      </c:pt>
                      <c:pt idx="80">
                        <c:v>637</c:v>
                      </c:pt>
                      <c:pt idx="81">
                        <c:v>642.29999999999995</c:v>
                      </c:pt>
                      <c:pt idx="82">
                        <c:v>648</c:v>
                      </c:pt>
                      <c:pt idx="83">
                        <c:v>653.70000000000005</c:v>
                      </c:pt>
                      <c:pt idx="84">
                        <c:v>659.8</c:v>
                      </c:pt>
                      <c:pt idx="85">
                        <c:v>667.5</c:v>
                      </c:pt>
                      <c:pt idx="86">
                        <c:v>675</c:v>
                      </c:pt>
                      <c:pt idx="87">
                        <c:v>684.1</c:v>
                      </c:pt>
                      <c:pt idx="88">
                        <c:v>692.8</c:v>
                      </c:pt>
                      <c:pt idx="89">
                        <c:v>702.5</c:v>
                      </c:pt>
                      <c:pt idx="90">
                        <c:v>713.8</c:v>
                      </c:pt>
                      <c:pt idx="91">
                        <c:v>727.5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AFB-4FCE-B367-E1B6F071C83C}"/>
                  </c:ext>
                </c:extLst>
              </c15:ser>
            </c15:filteredScatterSeries>
            <c15:filteredScatterSeries>
              <c15:ser>
                <c:idx val="8"/>
                <c:order val="11"/>
                <c:tx>
                  <c:v>HPS D9 LS5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'!$R$10:$R$99</c15:sqref>
                        </c15:formulaRef>
                      </c:ext>
                    </c:extLst>
                    <c:numCache>
                      <c:formatCode>General</c:formatCode>
                      <c:ptCount val="90"/>
                      <c:pt idx="0">
                        <c:v>123.5</c:v>
                      </c:pt>
                      <c:pt idx="1">
                        <c:v>142.9</c:v>
                      </c:pt>
                      <c:pt idx="2">
                        <c:v>168.1</c:v>
                      </c:pt>
                      <c:pt idx="3">
                        <c:v>183.5</c:v>
                      </c:pt>
                      <c:pt idx="4">
                        <c:v>197.7</c:v>
                      </c:pt>
                      <c:pt idx="5">
                        <c:v>209.7</c:v>
                      </c:pt>
                      <c:pt idx="6">
                        <c:v>220.4</c:v>
                      </c:pt>
                      <c:pt idx="7">
                        <c:v>230.6</c:v>
                      </c:pt>
                      <c:pt idx="8">
                        <c:v>239.8</c:v>
                      </c:pt>
                      <c:pt idx="9">
                        <c:v>249.9</c:v>
                      </c:pt>
                      <c:pt idx="10">
                        <c:v>258.39999999999998</c:v>
                      </c:pt>
                      <c:pt idx="11">
                        <c:v>267.8</c:v>
                      </c:pt>
                      <c:pt idx="12">
                        <c:v>276.89999999999998</c:v>
                      </c:pt>
                      <c:pt idx="13">
                        <c:v>286.10000000000002</c:v>
                      </c:pt>
                      <c:pt idx="14">
                        <c:v>294.39999999999998</c:v>
                      </c:pt>
                      <c:pt idx="15">
                        <c:v>301.89999999999998</c:v>
                      </c:pt>
                      <c:pt idx="16">
                        <c:v>309.7</c:v>
                      </c:pt>
                      <c:pt idx="17">
                        <c:v>316.60000000000002</c:v>
                      </c:pt>
                      <c:pt idx="18">
                        <c:v>324.2</c:v>
                      </c:pt>
                      <c:pt idx="19">
                        <c:v>330.8</c:v>
                      </c:pt>
                      <c:pt idx="20">
                        <c:v>338.2</c:v>
                      </c:pt>
                      <c:pt idx="21">
                        <c:v>345</c:v>
                      </c:pt>
                      <c:pt idx="22">
                        <c:v>351.8</c:v>
                      </c:pt>
                      <c:pt idx="23">
                        <c:v>358.2</c:v>
                      </c:pt>
                      <c:pt idx="24">
                        <c:v>364.6</c:v>
                      </c:pt>
                      <c:pt idx="25">
                        <c:v>371.2</c:v>
                      </c:pt>
                      <c:pt idx="26">
                        <c:v>377.7</c:v>
                      </c:pt>
                      <c:pt idx="27">
                        <c:v>385</c:v>
                      </c:pt>
                      <c:pt idx="28">
                        <c:v>391.4</c:v>
                      </c:pt>
                      <c:pt idx="29">
                        <c:v>396.6</c:v>
                      </c:pt>
                      <c:pt idx="30">
                        <c:v>401.5</c:v>
                      </c:pt>
                      <c:pt idx="31">
                        <c:v>406.2</c:v>
                      </c:pt>
                      <c:pt idx="32">
                        <c:v>411.2</c:v>
                      </c:pt>
                      <c:pt idx="33">
                        <c:v>418.2</c:v>
                      </c:pt>
                      <c:pt idx="34">
                        <c:v>426.2</c:v>
                      </c:pt>
                      <c:pt idx="35">
                        <c:v>433</c:v>
                      </c:pt>
                      <c:pt idx="36">
                        <c:v>438</c:v>
                      </c:pt>
                      <c:pt idx="37">
                        <c:v>443.4</c:v>
                      </c:pt>
                      <c:pt idx="38">
                        <c:v>448.5</c:v>
                      </c:pt>
                      <c:pt idx="39">
                        <c:v>454.9</c:v>
                      </c:pt>
                      <c:pt idx="40">
                        <c:v>461.7</c:v>
                      </c:pt>
                      <c:pt idx="41">
                        <c:v>467.8</c:v>
                      </c:pt>
                      <c:pt idx="42">
                        <c:v>473</c:v>
                      </c:pt>
                      <c:pt idx="43">
                        <c:v>478.3</c:v>
                      </c:pt>
                      <c:pt idx="44">
                        <c:v>484.1</c:v>
                      </c:pt>
                      <c:pt idx="45">
                        <c:v>490.1</c:v>
                      </c:pt>
                      <c:pt idx="46">
                        <c:v>496.1</c:v>
                      </c:pt>
                      <c:pt idx="47">
                        <c:v>501</c:v>
                      </c:pt>
                      <c:pt idx="48">
                        <c:v>505.8</c:v>
                      </c:pt>
                      <c:pt idx="49">
                        <c:v>510.8</c:v>
                      </c:pt>
                      <c:pt idx="50">
                        <c:v>516.29999999999995</c:v>
                      </c:pt>
                      <c:pt idx="51">
                        <c:v>521.70000000000005</c:v>
                      </c:pt>
                      <c:pt idx="52">
                        <c:v>526.4</c:v>
                      </c:pt>
                      <c:pt idx="53">
                        <c:v>531.1</c:v>
                      </c:pt>
                      <c:pt idx="54">
                        <c:v>535.70000000000005</c:v>
                      </c:pt>
                      <c:pt idx="55">
                        <c:v>540.1</c:v>
                      </c:pt>
                      <c:pt idx="56">
                        <c:v>544.4</c:v>
                      </c:pt>
                      <c:pt idx="57">
                        <c:v>548.79999999999995</c:v>
                      </c:pt>
                      <c:pt idx="58">
                        <c:v>553.20000000000005</c:v>
                      </c:pt>
                      <c:pt idx="59">
                        <c:v>557.4</c:v>
                      </c:pt>
                      <c:pt idx="60">
                        <c:v>561.29999999999995</c:v>
                      </c:pt>
                      <c:pt idx="61">
                        <c:v>565.1</c:v>
                      </c:pt>
                      <c:pt idx="62">
                        <c:v>568.70000000000005</c:v>
                      </c:pt>
                      <c:pt idx="63">
                        <c:v>572.20000000000005</c:v>
                      </c:pt>
                      <c:pt idx="64">
                        <c:v>575.70000000000005</c:v>
                      </c:pt>
                      <c:pt idx="65">
                        <c:v>579.4</c:v>
                      </c:pt>
                      <c:pt idx="66">
                        <c:v>583.1</c:v>
                      </c:pt>
                      <c:pt idx="67">
                        <c:v>586.79999999999995</c:v>
                      </c:pt>
                      <c:pt idx="68">
                        <c:v>590.5</c:v>
                      </c:pt>
                      <c:pt idx="69">
                        <c:v>594.20000000000005</c:v>
                      </c:pt>
                      <c:pt idx="70">
                        <c:v>598</c:v>
                      </c:pt>
                      <c:pt idx="71">
                        <c:v>601.79999999999995</c:v>
                      </c:pt>
                      <c:pt idx="72">
                        <c:v>605.9</c:v>
                      </c:pt>
                      <c:pt idx="73">
                        <c:v>610</c:v>
                      </c:pt>
                      <c:pt idx="74">
                        <c:v>614.20000000000005</c:v>
                      </c:pt>
                      <c:pt idx="75">
                        <c:v>618.6</c:v>
                      </c:pt>
                      <c:pt idx="76">
                        <c:v>623.29999999999995</c:v>
                      </c:pt>
                      <c:pt idx="77">
                        <c:v>628</c:v>
                      </c:pt>
                      <c:pt idx="78">
                        <c:v>632.70000000000005</c:v>
                      </c:pt>
                      <c:pt idx="79">
                        <c:v>637.79999999999995</c:v>
                      </c:pt>
                      <c:pt idx="80">
                        <c:v>643.29999999999995</c:v>
                      </c:pt>
                      <c:pt idx="81">
                        <c:v>649.1</c:v>
                      </c:pt>
                      <c:pt idx="82">
                        <c:v>655</c:v>
                      </c:pt>
                      <c:pt idx="83">
                        <c:v>661.7</c:v>
                      </c:pt>
                      <c:pt idx="84">
                        <c:v>669.8</c:v>
                      </c:pt>
                      <c:pt idx="85">
                        <c:v>678</c:v>
                      </c:pt>
                      <c:pt idx="86">
                        <c:v>687.2</c:v>
                      </c:pt>
                      <c:pt idx="87">
                        <c:v>696.5</c:v>
                      </c:pt>
                      <c:pt idx="88">
                        <c:v>707.3</c:v>
                      </c:pt>
                      <c:pt idx="89">
                        <c:v>721.2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AFB-4FCE-B367-E1B6F071C83C}"/>
                  </c:ext>
                </c:extLst>
              </c15:ser>
            </c15:filteredScatterSeries>
            <c15:filteredScatterSeries>
              <c15:ser>
                <c:idx val="9"/>
                <c:order val="12"/>
                <c:tx>
                  <c:v>HPS D10 LS6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'!$S$10:$S$93</c15:sqref>
                        </c15:formulaRef>
                      </c:ext>
                    </c:extLst>
                    <c:numCache>
                      <c:formatCode>General</c:formatCode>
                      <c:ptCount val="84"/>
                      <c:pt idx="0">
                        <c:v>111.7</c:v>
                      </c:pt>
                      <c:pt idx="1">
                        <c:v>137.30000000000001</c:v>
                      </c:pt>
                      <c:pt idx="2">
                        <c:v>163.19999999999999</c:v>
                      </c:pt>
                      <c:pt idx="3">
                        <c:v>180.4</c:v>
                      </c:pt>
                      <c:pt idx="4">
                        <c:v>196.6</c:v>
                      </c:pt>
                      <c:pt idx="5">
                        <c:v>210.8</c:v>
                      </c:pt>
                      <c:pt idx="6">
                        <c:v>222.9</c:v>
                      </c:pt>
                      <c:pt idx="7">
                        <c:v>235.2</c:v>
                      </c:pt>
                      <c:pt idx="8">
                        <c:v>246.7</c:v>
                      </c:pt>
                      <c:pt idx="9">
                        <c:v>256.39999999999998</c:v>
                      </c:pt>
                      <c:pt idx="10">
                        <c:v>267.8</c:v>
                      </c:pt>
                      <c:pt idx="11">
                        <c:v>277.8</c:v>
                      </c:pt>
                      <c:pt idx="12">
                        <c:v>287.10000000000002</c:v>
                      </c:pt>
                      <c:pt idx="13">
                        <c:v>296.8</c:v>
                      </c:pt>
                      <c:pt idx="14">
                        <c:v>305.2</c:v>
                      </c:pt>
                      <c:pt idx="15">
                        <c:v>314.5</c:v>
                      </c:pt>
                      <c:pt idx="16">
                        <c:v>322.2</c:v>
                      </c:pt>
                      <c:pt idx="17">
                        <c:v>330</c:v>
                      </c:pt>
                      <c:pt idx="18">
                        <c:v>338.6</c:v>
                      </c:pt>
                      <c:pt idx="19">
                        <c:v>346</c:v>
                      </c:pt>
                      <c:pt idx="20">
                        <c:v>353.6</c:v>
                      </c:pt>
                      <c:pt idx="21">
                        <c:v>360.1</c:v>
                      </c:pt>
                      <c:pt idx="22">
                        <c:v>366.6</c:v>
                      </c:pt>
                      <c:pt idx="23">
                        <c:v>374.8</c:v>
                      </c:pt>
                      <c:pt idx="24">
                        <c:v>382.7</c:v>
                      </c:pt>
                      <c:pt idx="25">
                        <c:v>390.7</c:v>
                      </c:pt>
                      <c:pt idx="26">
                        <c:v>397.6</c:v>
                      </c:pt>
                      <c:pt idx="27">
                        <c:v>404.1</c:v>
                      </c:pt>
                      <c:pt idx="28">
                        <c:v>410.6</c:v>
                      </c:pt>
                      <c:pt idx="29">
                        <c:v>417.4</c:v>
                      </c:pt>
                      <c:pt idx="30">
                        <c:v>424.1</c:v>
                      </c:pt>
                      <c:pt idx="31">
                        <c:v>430.8</c:v>
                      </c:pt>
                      <c:pt idx="32">
                        <c:v>437.4</c:v>
                      </c:pt>
                      <c:pt idx="33">
                        <c:v>443.5</c:v>
                      </c:pt>
                      <c:pt idx="34">
                        <c:v>449.7</c:v>
                      </c:pt>
                      <c:pt idx="35">
                        <c:v>456.5</c:v>
                      </c:pt>
                      <c:pt idx="36">
                        <c:v>463</c:v>
                      </c:pt>
                      <c:pt idx="37">
                        <c:v>469.2</c:v>
                      </c:pt>
                      <c:pt idx="38">
                        <c:v>475.4</c:v>
                      </c:pt>
                      <c:pt idx="39">
                        <c:v>481.6</c:v>
                      </c:pt>
                      <c:pt idx="40">
                        <c:v>488</c:v>
                      </c:pt>
                      <c:pt idx="41">
                        <c:v>494.3</c:v>
                      </c:pt>
                      <c:pt idx="42">
                        <c:v>500</c:v>
                      </c:pt>
                      <c:pt idx="43">
                        <c:v>505.5</c:v>
                      </c:pt>
                      <c:pt idx="44">
                        <c:v>511.1</c:v>
                      </c:pt>
                      <c:pt idx="45">
                        <c:v>517</c:v>
                      </c:pt>
                      <c:pt idx="46">
                        <c:v>522.70000000000005</c:v>
                      </c:pt>
                      <c:pt idx="47">
                        <c:v>528</c:v>
                      </c:pt>
                      <c:pt idx="48">
                        <c:v>533.20000000000005</c:v>
                      </c:pt>
                      <c:pt idx="49">
                        <c:v>538.1</c:v>
                      </c:pt>
                      <c:pt idx="50">
                        <c:v>543</c:v>
                      </c:pt>
                      <c:pt idx="51">
                        <c:v>547.79999999999995</c:v>
                      </c:pt>
                      <c:pt idx="52">
                        <c:v>552.6</c:v>
                      </c:pt>
                      <c:pt idx="53">
                        <c:v>557.20000000000005</c:v>
                      </c:pt>
                      <c:pt idx="54">
                        <c:v>561.5</c:v>
                      </c:pt>
                      <c:pt idx="55">
                        <c:v>565.79999999999995</c:v>
                      </c:pt>
                      <c:pt idx="56">
                        <c:v>569.6</c:v>
                      </c:pt>
                      <c:pt idx="57">
                        <c:v>573.4</c:v>
                      </c:pt>
                      <c:pt idx="58">
                        <c:v>577.29999999999995</c:v>
                      </c:pt>
                      <c:pt idx="59">
                        <c:v>581.29999999999995</c:v>
                      </c:pt>
                      <c:pt idx="60">
                        <c:v>585.29999999999995</c:v>
                      </c:pt>
                      <c:pt idx="61">
                        <c:v>589.29999999999995</c:v>
                      </c:pt>
                      <c:pt idx="62">
                        <c:v>593.29999999999995</c:v>
                      </c:pt>
                      <c:pt idx="63">
                        <c:v>597.29999999999995</c:v>
                      </c:pt>
                      <c:pt idx="64">
                        <c:v>601.5</c:v>
                      </c:pt>
                      <c:pt idx="65">
                        <c:v>605.79999999999995</c:v>
                      </c:pt>
                      <c:pt idx="66">
                        <c:v>610.29999999999995</c:v>
                      </c:pt>
                      <c:pt idx="67">
                        <c:v>614.79999999999995</c:v>
                      </c:pt>
                      <c:pt idx="68">
                        <c:v>619.6</c:v>
                      </c:pt>
                      <c:pt idx="69">
                        <c:v>624.6</c:v>
                      </c:pt>
                      <c:pt idx="70">
                        <c:v>629.6</c:v>
                      </c:pt>
                      <c:pt idx="71">
                        <c:v>634.79999999999995</c:v>
                      </c:pt>
                      <c:pt idx="72">
                        <c:v>640.29999999999995</c:v>
                      </c:pt>
                      <c:pt idx="73">
                        <c:v>646.29999999999995</c:v>
                      </c:pt>
                      <c:pt idx="74">
                        <c:v>652.4</c:v>
                      </c:pt>
                      <c:pt idx="75">
                        <c:v>658.5</c:v>
                      </c:pt>
                      <c:pt idx="76">
                        <c:v>666.5</c:v>
                      </c:pt>
                      <c:pt idx="77">
                        <c:v>674.3</c:v>
                      </c:pt>
                      <c:pt idx="78">
                        <c:v>683.4</c:v>
                      </c:pt>
                      <c:pt idx="79">
                        <c:v>692</c:v>
                      </c:pt>
                      <c:pt idx="80">
                        <c:v>700.8</c:v>
                      </c:pt>
                      <c:pt idx="81">
                        <c:v>709.7</c:v>
                      </c:pt>
                      <c:pt idx="82">
                        <c:v>720</c:v>
                      </c:pt>
                      <c:pt idx="83">
                        <c:v>731.5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AFB-4FCE-B367-E1B6F071C83C}"/>
                  </c:ext>
                </c:extLst>
              </c15:ser>
            </c15:filteredScatterSeries>
            <c15:filteredScatterSeries>
              <c15:ser>
                <c:idx val="12"/>
                <c:order val="20"/>
                <c:tx>
                  <c:v>D3_ART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triang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'!$AR$6:$AR$104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'!$AS$6:$AS$104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170.44444444444446</c:v>
                      </c:pt>
                      <c:pt idx="1">
                        <c:v>197.11111111111111</c:v>
                      </c:pt>
                      <c:pt idx="2">
                        <c:v>216.05555555555554</c:v>
                      </c:pt>
                      <c:pt idx="3">
                        <c:v>230.11111111111111</c:v>
                      </c:pt>
                      <c:pt idx="4">
                        <c:v>243.72222222222223</c:v>
                      </c:pt>
                      <c:pt idx="5">
                        <c:v>254.66666666666666</c:v>
                      </c:pt>
                      <c:pt idx="6">
                        <c:v>265.83333333333331</c:v>
                      </c:pt>
                      <c:pt idx="7">
                        <c:v>275.55555555555554</c:v>
                      </c:pt>
                      <c:pt idx="8">
                        <c:v>285.94444444444446</c:v>
                      </c:pt>
                      <c:pt idx="9">
                        <c:v>293.94444444444446</c:v>
                      </c:pt>
                      <c:pt idx="10">
                        <c:v>301.94444444444446</c:v>
                      </c:pt>
                      <c:pt idx="11">
                        <c:v>309.33333333333331</c:v>
                      </c:pt>
                      <c:pt idx="12">
                        <c:v>316.44444444444446</c:v>
                      </c:pt>
                      <c:pt idx="13">
                        <c:v>323.94444444444446</c:v>
                      </c:pt>
                      <c:pt idx="14">
                        <c:v>330.77777777777777</c:v>
                      </c:pt>
                      <c:pt idx="15">
                        <c:v>338.05555555555554</c:v>
                      </c:pt>
                      <c:pt idx="16">
                        <c:v>344.66666666666669</c:v>
                      </c:pt>
                      <c:pt idx="17">
                        <c:v>351.44444444444446</c:v>
                      </c:pt>
                      <c:pt idx="18">
                        <c:v>357.22222222222223</c:v>
                      </c:pt>
                      <c:pt idx="19">
                        <c:v>363.72222222222223</c:v>
                      </c:pt>
                      <c:pt idx="20">
                        <c:v>369.5</c:v>
                      </c:pt>
                      <c:pt idx="21">
                        <c:v>375.66666666666669</c:v>
                      </c:pt>
                      <c:pt idx="22">
                        <c:v>381.33333333333331</c:v>
                      </c:pt>
                      <c:pt idx="23">
                        <c:v>387.44444444444446</c:v>
                      </c:pt>
                      <c:pt idx="24">
                        <c:v>392.88888888888891</c:v>
                      </c:pt>
                      <c:pt idx="25">
                        <c:v>398.72222222222223</c:v>
                      </c:pt>
                      <c:pt idx="26">
                        <c:v>403.88888888888891</c:v>
                      </c:pt>
                      <c:pt idx="27">
                        <c:v>409.44444444444446</c:v>
                      </c:pt>
                      <c:pt idx="28">
                        <c:v>414.61111111111109</c:v>
                      </c:pt>
                      <c:pt idx="29">
                        <c:v>420</c:v>
                      </c:pt>
                      <c:pt idx="30">
                        <c:v>424.94444444444446</c:v>
                      </c:pt>
                      <c:pt idx="31">
                        <c:v>430.27777777777777</c:v>
                      </c:pt>
                      <c:pt idx="32">
                        <c:v>435.33333333333331</c:v>
                      </c:pt>
                      <c:pt idx="33">
                        <c:v>440.5</c:v>
                      </c:pt>
                      <c:pt idx="34">
                        <c:v>445.77777777777777</c:v>
                      </c:pt>
                      <c:pt idx="35">
                        <c:v>450.83333333333331</c:v>
                      </c:pt>
                      <c:pt idx="36">
                        <c:v>456.16666666666669</c:v>
                      </c:pt>
                      <c:pt idx="37">
                        <c:v>461.22222222222223</c:v>
                      </c:pt>
                      <c:pt idx="38">
                        <c:v>466.33333333333331</c:v>
                      </c:pt>
                      <c:pt idx="39">
                        <c:v>471.27777777777777</c:v>
                      </c:pt>
                      <c:pt idx="40">
                        <c:v>476.05555555555554</c:v>
                      </c:pt>
                      <c:pt idx="41">
                        <c:v>480.88888888888891</c:v>
                      </c:pt>
                      <c:pt idx="42">
                        <c:v>485.66666666666669</c:v>
                      </c:pt>
                      <c:pt idx="43">
                        <c:v>490.38888888888891</c:v>
                      </c:pt>
                      <c:pt idx="44">
                        <c:v>495.16666666666669</c:v>
                      </c:pt>
                      <c:pt idx="45">
                        <c:v>499.66666666666669</c:v>
                      </c:pt>
                      <c:pt idx="46">
                        <c:v>504.16666666666669</c:v>
                      </c:pt>
                      <c:pt idx="47">
                        <c:v>508.66666666666669</c:v>
                      </c:pt>
                      <c:pt idx="48">
                        <c:v>513.11111111111109</c:v>
                      </c:pt>
                      <c:pt idx="49">
                        <c:v>517.5</c:v>
                      </c:pt>
                      <c:pt idx="50">
                        <c:v>521.83333333333337</c:v>
                      </c:pt>
                      <c:pt idx="51">
                        <c:v>526.16666666666663</c:v>
                      </c:pt>
                      <c:pt idx="52">
                        <c:v>530.44444444444446</c:v>
                      </c:pt>
                      <c:pt idx="53">
                        <c:v>534.61111111111109</c:v>
                      </c:pt>
                      <c:pt idx="54">
                        <c:v>538.66666666666663</c:v>
                      </c:pt>
                      <c:pt idx="55">
                        <c:v>542.72222222222217</c:v>
                      </c:pt>
                      <c:pt idx="56">
                        <c:v>546.72222222222217</c:v>
                      </c:pt>
                      <c:pt idx="57">
                        <c:v>550.88888888888891</c:v>
                      </c:pt>
                      <c:pt idx="58">
                        <c:v>554.94444444444446</c:v>
                      </c:pt>
                      <c:pt idx="59">
                        <c:v>558.83333333333337</c:v>
                      </c:pt>
                      <c:pt idx="60">
                        <c:v>562.55555555555554</c:v>
                      </c:pt>
                      <c:pt idx="61">
                        <c:v>566.27777777777783</c:v>
                      </c:pt>
                      <c:pt idx="62">
                        <c:v>569.77777777777783</c:v>
                      </c:pt>
                      <c:pt idx="63">
                        <c:v>573.22222222222217</c:v>
                      </c:pt>
                      <c:pt idx="64">
                        <c:v>576.77777777777783</c:v>
                      </c:pt>
                      <c:pt idx="65">
                        <c:v>580.33333333333337</c:v>
                      </c:pt>
                      <c:pt idx="66">
                        <c:v>583.94444444444446</c:v>
                      </c:pt>
                      <c:pt idx="67">
                        <c:v>587.33333333333337</c:v>
                      </c:pt>
                      <c:pt idx="68">
                        <c:v>590.66666666666663</c:v>
                      </c:pt>
                      <c:pt idx="69">
                        <c:v>594.16666666666663</c:v>
                      </c:pt>
                      <c:pt idx="70">
                        <c:v>597.77777777777783</c:v>
                      </c:pt>
                      <c:pt idx="71">
                        <c:v>601.5</c:v>
                      </c:pt>
                      <c:pt idx="72">
                        <c:v>605.33333333333337</c:v>
                      </c:pt>
                      <c:pt idx="73">
                        <c:v>609.22222222222217</c:v>
                      </c:pt>
                      <c:pt idx="74">
                        <c:v>612.88888888888891</c:v>
                      </c:pt>
                      <c:pt idx="75">
                        <c:v>616.77777777777783</c:v>
                      </c:pt>
                      <c:pt idx="76">
                        <c:v>620.83333333333337</c:v>
                      </c:pt>
                      <c:pt idx="77">
                        <c:v>625.16666666666663</c:v>
                      </c:pt>
                      <c:pt idx="78">
                        <c:v>629.61111111111109</c:v>
                      </c:pt>
                      <c:pt idx="79">
                        <c:v>633.88888888888891</c:v>
                      </c:pt>
                      <c:pt idx="80">
                        <c:v>638.44444444444446</c:v>
                      </c:pt>
                      <c:pt idx="81">
                        <c:v>643.33333333333337</c:v>
                      </c:pt>
                      <c:pt idx="82">
                        <c:v>648.66666666666663</c:v>
                      </c:pt>
                      <c:pt idx="83">
                        <c:v>654.22222222222217</c:v>
                      </c:pt>
                      <c:pt idx="84">
                        <c:v>659.88888888888891</c:v>
                      </c:pt>
                      <c:pt idx="85">
                        <c:v>667.05555555555554</c:v>
                      </c:pt>
                      <c:pt idx="86">
                        <c:v>674.27777777777783</c:v>
                      </c:pt>
                      <c:pt idx="87">
                        <c:v>683.27777777777783</c:v>
                      </c:pt>
                      <c:pt idx="88">
                        <c:v>692.83333333333337</c:v>
                      </c:pt>
                      <c:pt idx="89">
                        <c:v>705.27777777777783</c:v>
                      </c:pt>
                      <c:pt idx="90">
                        <c:v>726.05555555555554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6BF-4AB3-9821-3A7844A12570}"/>
                  </c:ext>
                </c:extLst>
              </c15:ser>
            </c15:filteredScatterSeries>
            <c15:filteredScatterSeries>
              <c15:ser>
                <c:idx val="17"/>
                <c:order val="22"/>
                <c:tx>
                  <c:v>ISV Aging 1</c:v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'!$J$223:$J$315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94.5</c:v>
                      </c:pt>
                      <c:pt idx="1">
                        <c:v>94.8</c:v>
                      </c:pt>
                      <c:pt idx="2">
                        <c:v>95.4</c:v>
                      </c:pt>
                      <c:pt idx="3">
                        <c:v>108.5</c:v>
                      </c:pt>
                      <c:pt idx="4">
                        <c:v>108.8</c:v>
                      </c:pt>
                      <c:pt idx="5">
                        <c:v>109</c:v>
                      </c:pt>
                      <c:pt idx="6">
                        <c:v>109.2</c:v>
                      </c:pt>
                      <c:pt idx="7">
                        <c:v>109.3</c:v>
                      </c:pt>
                      <c:pt idx="8">
                        <c:v>109.4</c:v>
                      </c:pt>
                      <c:pt idx="9">
                        <c:v>109.5</c:v>
                      </c:pt>
                      <c:pt idx="10">
                        <c:v>109.6</c:v>
                      </c:pt>
                      <c:pt idx="11">
                        <c:v>109.7</c:v>
                      </c:pt>
                      <c:pt idx="12">
                        <c:v>109.8</c:v>
                      </c:pt>
                      <c:pt idx="13">
                        <c:v>109.9</c:v>
                      </c:pt>
                      <c:pt idx="14">
                        <c:v>110</c:v>
                      </c:pt>
                      <c:pt idx="15">
                        <c:v>110.1</c:v>
                      </c:pt>
                      <c:pt idx="16">
                        <c:v>110.2</c:v>
                      </c:pt>
                      <c:pt idx="17">
                        <c:v>110.3</c:v>
                      </c:pt>
                      <c:pt idx="18">
                        <c:v>110.3</c:v>
                      </c:pt>
                      <c:pt idx="19">
                        <c:v>110.4</c:v>
                      </c:pt>
                      <c:pt idx="20">
                        <c:v>110.5</c:v>
                      </c:pt>
                      <c:pt idx="21">
                        <c:v>110.6</c:v>
                      </c:pt>
                      <c:pt idx="22">
                        <c:v>110.6</c:v>
                      </c:pt>
                      <c:pt idx="23">
                        <c:v>110.7</c:v>
                      </c:pt>
                      <c:pt idx="24">
                        <c:v>110.8</c:v>
                      </c:pt>
                      <c:pt idx="25">
                        <c:v>110.8</c:v>
                      </c:pt>
                      <c:pt idx="26">
                        <c:v>110.9</c:v>
                      </c:pt>
                      <c:pt idx="27">
                        <c:v>110.9</c:v>
                      </c:pt>
                      <c:pt idx="28">
                        <c:v>111</c:v>
                      </c:pt>
                      <c:pt idx="29">
                        <c:v>111</c:v>
                      </c:pt>
                      <c:pt idx="30">
                        <c:v>111.1</c:v>
                      </c:pt>
                      <c:pt idx="31">
                        <c:v>111.2</c:v>
                      </c:pt>
                      <c:pt idx="32">
                        <c:v>111.2</c:v>
                      </c:pt>
                      <c:pt idx="33">
                        <c:v>111.3</c:v>
                      </c:pt>
                      <c:pt idx="34">
                        <c:v>111.3</c:v>
                      </c:pt>
                      <c:pt idx="35">
                        <c:v>111.4</c:v>
                      </c:pt>
                      <c:pt idx="36">
                        <c:v>150.80000000000001</c:v>
                      </c:pt>
                      <c:pt idx="37">
                        <c:v>157.5</c:v>
                      </c:pt>
                      <c:pt idx="38">
                        <c:v>158.6</c:v>
                      </c:pt>
                      <c:pt idx="39">
                        <c:v>158.80000000000001</c:v>
                      </c:pt>
                      <c:pt idx="40">
                        <c:v>159</c:v>
                      </c:pt>
                      <c:pt idx="41">
                        <c:v>159.30000000000001</c:v>
                      </c:pt>
                      <c:pt idx="42">
                        <c:v>160.19999999999999</c:v>
                      </c:pt>
                      <c:pt idx="43">
                        <c:v>161</c:v>
                      </c:pt>
                      <c:pt idx="44">
                        <c:v>162.30000000000001</c:v>
                      </c:pt>
                      <c:pt idx="45">
                        <c:v>165.2</c:v>
                      </c:pt>
                      <c:pt idx="46">
                        <c:v>165.5</c:v>
                      </c:pt>
                      <c:pt idx="47">
                        <c:v>165.8</c:v>
                      </c:pt>
                      <c:pt idx="48">
                        <c:v>166</c:v>
                      </c:pt>
                      <c:pt idx="49">
                        <c:v>166.1</c:v>
                      </c:pt>
                      <c:pt idx="50">
                        <c:v>166.3</c:v>
                      </c:pt>
                      <c:pt idx="51">
                        <c:v>169.9</c:v>
                      </c:pt>
                      <c:pt idx="52">
                        <c:v>171.1</c:v>
                      </c:pt>
                      <c:pt idx="53">
                        <c:v>179.4</c:v>
                      </c:pt>
                      <c:pt idx="54">
                        <c:v>191.7</c:v>
                      </c:pt>
                      <c:pt idx="55">
                        <c:v>251.2</c:v>
                      </c:pt>
                      <c:pt idx="56">
                        <c:v>303.60000000000002</c:v>
                      </c:pt>
                      <c:pt idx="57">
                        <c:v>342.9</c:v>
                      </c:pt>
                      <c:pt idx="58">
                        <c:v>371.7</c:v>
                      </c:pt>
                      <c:pt idx="59">
                        <c:v>393.3</c:v>
                      </c:pt>
                      <c:pt idx="60">
                        <c:v>412.8</c:v>
                      </c:pt>
                      <c:pt idx="61">
                        <c:v>430.1</c:v>
                      </c:pt>
                      <c:pt idx="62">
                        <c:v>447.1</c:v>
                      </c:pt>
                      <c:pt idx="63">
                        <c:v>463.6</c:v>
                      </c:pt>
                      <c:pt idx="64">
                        <c:v>479.8</c:v>
                      </c:pt>
                      <c:pt idx="65">
                        <c:v>495.6</c:v>
                      </c:pt>
                      <c:pt idx="66">
                        <c:v>509.5</c:v>
                      </c:pt>
                      <c:pt idx="67">
                        <c:v>522.9</c:v>
                      </c:pt>
                      <c:pt idx="68">
                        <c:v>534.1</c:v>
                      </c:pt>
                      <c:pt idx="69">
                        <c:v>543.9</c:v>
                      </c:pt>
                      <c:pt idx="70">
                        <c:v>553.1</c:v>
                      </c:pt>
                      <c:pt idx="71">
                        <c:v>561.20000000000005</c:v>
                      </c:pt>
                      <c:pt idx="72">
                        <c:v>568.4</c:v>
                      </c:pt>
                      <c:pt idx="73">
                        <c:v>575</c:v>
                      </c:pt>
                      <c:pt idx="74">
                        <c:v>581.79999999999995</c:v>
                      </c:pt>
                      <c:pt idx="75">
                        <c:v>588.29999999999995</c:v>
                      </c:pt>
                      <c:pt idx="76">
                        <c:v>594.79999999999995</c:v>
                      </c:pt>
                      <c:pt idx="77">
                        <c:v>601.20000000000005</c:v>
                      </c:pt>
                      <c:pt idx="78">
                        <c:v>607.9</c:v>
                      </c:pt>
                      <c:pt idx="79">
                        <c:v>614.5</c:v>
                      </c:pt>
                      <c:pt idx="80">
                        <c:v>621.4</c:v>
                      </c:pt>
                      <c:pt idx="81">
                        <c:v>628.4</c:v>
                      </c:pt>
                      <c:pt idx="82">
                        <c:v>634.9</c:v>
                      </c:pt>
                      <c:pt idx="83">
                        <c:v>642.1</c:v>
                      </c:pt>
                      <c:pt idx="84">
                        <c:v>649.5</c:v>
                      </c:pt>
                      <c:pt idx="85">
                        <c:v>656.5</c:v>
                      </c:pt>
                      <c:pt idx="86">
                        <c:v>665</c:v>
                      </c:pt>
                      <c:pt idx="87">
                        <c:v>673.5</c:v>
                      </c:pt>
                      <c:pt idx="88">
                        <c:v>682.5</c:v>
                      </c:pt>
                      <c:pt idx="89">
                        <c:v>690.8</c:v>
                      </c:pt>
                      <c:pt idx="90">
                        <c:v>698.3</c:v>
                      </c:pt>
                      <c:pt idx="91">
                        <c:v>705.6</c:v>
                      </c:pt>
                      <c:pt idx="92">
                        <c:v>713.5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EE7-42F8-9B0B-A07A8C1580B4}"/>
                  </c:ext>
                </c:extLst>
              </c15:ser>
            </c15:filteredScatterSeries>
            <c15:filteredScatterSeries>
              <c15:ser>
                <c:idx val="20"/>
                <c:order val="23"/>
                <c:tx>
                  <c:v>ISV Aging 2</c:v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'!$K$223:$K$299</c15:sqref>
                        </c15:formulaRef>
                      </c:ext>
                    </c:extLst>
                    <c:numCache>
                      <c:formatCode>General</c:formatCode>
                      <c:ptCount val="77"/>
                      <c:pt idx="0">
                        <c:v>89.7</c:v>
                      </c:pt>
                      <c:pt idx="1">
                        <c:v>121.1</c:v>
                      </c:pt>
                      <c:pt idx="2">
                        <c:v>121.5</c:v>
                      </c:pt>
                      <c:pt idx="3">
                        <c:v>132.1</c:v>
                      </c:pt>
                      <c:pt idx="4">
                        <c:v>184</c:v>
                      </c:pt>
                      <c:pt idx="5">
                        <c:v>243.5</c:v>
                      </c:pt>
                      <c:pt idx="6">
                        <c:v>297.8</c:v>
                      </c:pt>
                      <c:pt idx="7">
                        <c:v>334.9</c:v>
                      </c:pt>
                      <c:pt idx="8">
                        <c:v>359.9</c:v>
                      </c:pt>
                      <c:pt idx="9">
                        <c:v>382</c:v>
                      </c:pt>
                      <c:pt idx="10">
                        <c:v>399.6</c:v>
                      </c:pt>
                      <c:pt idx="11">
                        <c:v>413.3</c:v>
                      </c:pt>
                      <c:pt idx="12">
                        <c:v>428.1</c:v>
                      </c:pt>
                      <c:pt idx="13">
                        <c:v>440.6</c:v>
                      </c:pt>
                      <c:pt idx="14">
                        <c:v>452.4</c:v>
                      </c:pt>
                      <c:pt idx="15">
                        <c:v>464.9</c:v>
                      </c:pt>
                      <c:pt idx="16">
                        <c:v>475.9</c:v>
                      </c:pt>
                      <c:pt idx="17">
                        <c:v>486.8</c:v>
                      </c:pt>
                      <c:pt idx="18">
                        <c:v>497.6</c:v>
                      </c:pt>
                      <c:pt idx="19">
                        <c:v>506.5</c:v>
                      </c:pt>
                      <c:pt idx="20">
                        <c:v>515.6</c:v>
                      </c:pt>
                      <c:pt idx="21">
                        <c:v>524.20000000000005</c:v>
                      </c:pt>
                      <c:pt idx="22">
                        <c:v>531.5</c:v>
                      </c:pt>
                      <c:pt idx="23">
                        <c:v>538.20000000000005</c:v>
                      </c:pt>
                      <c:pt idx="24">
                        <c:v>544.4</c:v>
                      </c:pt>
                      <c:pt idx="25">
                        <c:v>550.29999999999995</c:v>
                      </c:pt>
                      <c:pt idx="26">
                        <c:v>555.79999999999995</c:v>
                      </c:pt>
                      <c:pt idx="27">
                        <c:v>560.4</c:v>
                      </c:pt>
                      <c:pt idx="28">
                        <c:v>564.70000000000005</c:v>
                      </c:pt>
                      <c:pt idx="29">
                        <c:v>568.6</c:v>
                      </c:pt>
                      <c:pt idx="30">
                        <c:v>572.20000000000005</c:v>
                      </c:pt>
                      <c:pt idx="31">
                        <c:v>575.6</c:v>
                      </c:pt>
                      <c:pt idx="32">
                        <c:v>579</c:v>
                      </c:pt>
                      <c:pt idx="33">
                        <c:v>582.29999999999995</c:v>
                      </c:pt>
                      <c:pt idx="34">
                        <c:v>585.4</c:v>
                      </c:pt>
                      <c:pt idx="35">
                        <c:v>588.4</c:v>
                      </c:pt>
                      <c:pt idx="36">
                        <c:v>591.4</c:v>
                      </c:pt>
                      <c:pt idx="37">
                        <c:v>594.20000000000005</c:v>
                      </c:pt>
                      <c:pt idx="38">
                        <c:v>597</c:v>
                      </c:pt>
                      <c:pt idx="39">
                        <c:v>599.79999999999995</c:v>
                      </c:pt>
                      <c:pt idx="40">
                        <c:v>602.6</c:v>
                      </c:pt>
                      <c:pt idx="41">
                        <c:v>605.5</c:v>
                      </c:pt>
                      <c:pt idx="42">
                        <c:v>608.29999999999995</c:v>
                      </c:pt>
                      <c:pt idx="43">
                        <c:v>611</c:v>
                      </c:pt>
                      <c:pt idx="44">
                        <c:v>613.79999999999995</c:v>
                      </c:pt>
                      <c:pt idx="45">
                        <c:v>616.6</c:v>
                      </c:pt>
                      <c:pt idx="46">
                        <c:v>619.4</c:v>
                      </c:pt>
                      <c:pt idx="47">
                        <c:v>622.29999999999995</c:v>
                      </c:pt>
                      <c:pt idx="48">
                        <c:v>625.1</c:v>
                      </c:pt>
                      <c:pt idx="49">
                        <c:v>627.9</c:v>
                      </c:pt>
                      <c:pt idx="50">
                        <c:v>630.70000000000005</c:v>
                      </c:pt>
                      <c:pt idx="51">
                        <c:v>633.4</c:v>
                      </c:pt>
                      <c:pt idx="52">
                        <c:v>636.20000000000005</c:v>
                      </c:pt>
                      <c:pt idx="53">
                        <c:v>639.1</c:v>
                      </c:pt>
                      <c:pt idx="54">
                        <c:v>642.1</c:v>
                      </c:pt>
                      <c:pt idx="55">
                        <c:v>645.1</c:v>
                      </c:pt>
                      <c:pt idx="56">
                        <c:v>648.20000000000005</c:v>
                      </c:pt>
                      <c:pt idx="57">
                        <c:v>651.1</c:v>
                      </c:pt>
                      <c:pt idx="58">
                        <c:v>654</c:v>
                      </c:pt>
                      <c:pt idx="59">
                        <c:v>656.9</c:v>
                      </c:pt>
                      <c:pt idx="60">
                        <c:v>660.4</c:v>
                      </c:pt>
                      <c:pt idx="61">
                        <c:v>664.2</c:v>
                      </c:pt>
                      <c:pt idx="62">
                        <c:v>668.1</c:v>
                      </c:pt>
                      <c:pt idx="63">
                        <c:v>671.8</c:v>
                      </c:pt>
                      <c:pt idx="64">
                        <c:v>675.3</c:v>
                      </c:pt>
                      <c:pt idx="65">
                        <c:v>679.8</c:v>
                      </c:pt>
                      <c:pt idx="66">
                        <c:v>683.8</c:v>
                      </c:pt>
                      <c:pt idx="67">
                        <c:v>687.8</c:v>
                      </c:pt>
                      <c:pt idx="68">
                        <c:v>691.8</c:v>
                      </c:pt>
                      <c:pt idx="69">
                        <c:v>695.2</c:v>
                      </c:pt>
                      <c:pt idx="70">
                        <c:v>700</c:v>
                      </c:pt>
                      <c:pt idx="71">
                        <c:v>703.8</c:v>
                      </c:pt>
                      <c:pt idx="72">
                        <c:v>708.1</c:v>
                      </c:pt>
                      <c:pt idx="73">
                        <c:v>713.2</c:v>
                      </c:pt>
                      <c:pt idx="74">
                        <c:v>718.4</c:v>
                      </c:pt>
                      <c:pt idx="75">
                        <c:v>724.1</c:v>
                      </c:pt>
                      <c:pt idx="76">
                        <c:v>730.7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EE7-42F8-9B0B-A07A8C1580B4}"/>
                  </c:ext>
                </c:extLst>
              </c15:ser>
            </c15:filteredScatterSeries>
            <c15:filteredScatterSeries>
              <c15:ser>
                <c:idx val="21"/>
                <c:order val="24"/>
                <c:tx>
                  <c:v>ISV Aging 3</c:v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'!$L$223:$L$301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166</c:v>
                      </c:pt>
                      <c:pt idx="1">
                        <c:v>216.8</c:v>
                      </c:pt>
                      <c:pt idx="2">
                        <c:v>281.5</c:v>
                      </c:pt>
                      <c:pt idx="3">
                        <c:v>322.10000000000002</c:v>
                      </c:pt>
                      <c:pt idx="4">
                        <c:v>350.2</c:v>
                      </c:pt>
                      <c:pt idx="5">
                        <c:v>371.1</c:v>
                      </c:pt>
                      <c:pt idx="6">
                        <c:v>392</c:v>
                      </c:pt>
                      <c:pt idx="7">
                        <c:v>406.2</c:v>
                      </c:pt>
                      <c:pt idx="8">
                        <c:v>419.9</c:v>
                      </c:pt>
                      <c:pt idx="9">
                        <c:v>433.6</c:v>
                      </c:pt>
                      <c:pt idx="10">
                        <c:v>445.2</c:v>
                      </c:pt>
                      <c:pt idx="11">
                        <c:v>457.3</c:v>
                      </c:pt>
                      <c:pt idx="12">
                        <c:v>468.9</c:v>
                      </c:pt>
                      <c:pt idx="13">
                        <c:v>479.4</c:v>
                      </c:pt>
                      <c:pt idx="14">
                        <c:v>490.1</c:v>
                      </c:pt>
                      <c:pt idx="15">
                        <c:v>499.8</c:v>
                      </c:pt>
                      <c:pt idx="16">
                        <c:v>508</c:v>
                      </c:pt>
                      <c:pt idx="17">
                        <c:v>516.70000000000005</c:v>
                      </c:pt>
                      <c:pt idx="18">
                        <c:v>524.6</c:v>
                      </c:pt>
                      <c:pt idx="19">
                        <c:v>531.29999999999995</c:v>
                      </c:pt>
                      <c:pt idx="20">
                        <c:v>537.5</c:v>
                      </c:pt>
                      <c:pt idx="21">
                        <c:v>543.20000000000005</c:v>
                      </c:pt>
                      <c:pt idx="22">
                        <c:v>548.70000000000005</c:v>
                      </c:pt>
                      <c:pt idx="23">
                        <c:v>553.79999999999995</c:v>
                      </c:pt>
                      <c:pt idx="24">
                        <c:v>558.4</c:v>
                      </c:pt>
                      <c:pt idx="25">
                        <c:v>562.5</c:v>
                      </c:pt>
                      <c:pt idx="26">
                        <c:v>566.29999999999995</c:v>
                      </c:pt>
                      <c:pt idx="27">
                        <c:v>569.70000000000005</c:v>
                      </c:pt>
                      <c:pt idx="28">
                        <c:v>573</c:v>
                      </c:pt>
                      <c:pt idx="29">
                        <c:v>576.20000000000005</c:v>
                      </c:pt>
                      <c:pt idx="30">
                        <c:v>579.29999999999995</c:v>
                      </c:pt>
                      <c:pt idx="31">
                        <c:v>582.4</c:v>
                      </c:pt>
                      <c:pt idx="32">
                        <c:v>585.29999999999995</c:v>
                      </c:pt>
                      <c:pt idx="33">
                        <c:v>588.1</c:v>
                      </c:pt>
                      <c:pt idx="34">
                        <c:v>590.9</c:v>
                      </c:pt>
                      <c:pt idx="35">
                        <c:v>593.6</c:v>
                      </c:pt>
                      <c:pt idx="36">
                        <c:v>596.20000000000005</c:v>
                      </c:pt>
                      <c:pt idx="37">
                        <c:v>598.9</c:v>
                      </c:pt>
                      <c:pt idx="38">
                        <c:v>601.5</c:v>
                      </c:pt>
                      <c:pt idx="39">
                        <c:v>604.20000000000005</c:v>
                      </c:pt>
                      <c:pt idx="40">
                        <c:v>606.9</c:v>
                      </c:pt>
                      <c:pt idx="41">
                        <c:v>609.5</c:v>
                      </c:pt>
                      <c:pt idx="42">
                        <c:v>612.1</c:v>
                      </c:pt>
                      <c:pt idx="43">
                        <c:v>614.70000000000005</c:v>
                      </c:pt>
                      <c:pt idx="44">
                        <c:v>617.4</c:v>
                      </c:pt>
                      <c:pt idx="45">
                        <c:v>620.20000000000005</c:v>
                      </c:pt>
                      <c:pt idx="46">
                        <c:v>622.9</c:v>
                      </c:pt>
                      <c:pt idx="47">
                        <c:v>625.5</c:v>
                      </c:pt>
                      <c:pt idx="48">
                        <c:v>628.20000000000005</c:v>
                      </c:pt>
                      <c:pt idx="49">
                        <c:v>630.79999999999995</c:v>
                      </c:pt>
                      <c:pt idx="50">
                        <c:v>633.5</c:v>
                      </c:pt>
                      <c:pt idx="51">
                        <c:v>636.1</c:v>
                      </c:pt>
                      <c:pt idx="52">
                        <c:v>638.9</c:v>
                      </c:pt>
                      <c:pt idx="53">
                        <c:v>641.70000000000005</c:v>
                      </c:pt>
                      <c:pt idx="54">
                        <c:v>644.6</c:v>
                      </c:pt>
                      <c:pt idx="55">
                        <c:v>647.5</c:v>
                      </c:pt>
                      <c:pt idx="56">
                        <c:v>650.29999999999995</c:v>
                      </c:pt>
                      <c:pt idx="57">
                        <c:v>653.1</c:v>
                      </c:pt>
                      <c:pt idx="58">
                        <c:v>655.7</c:v>
                      </c:pt>
                      <c:pt idx="59">
                        <c:v>658.6</c:v>
                      </c:pt>
                      <c:pt idx="60">
                        <c:v>662.2</c:v>
                      </c:pt>
                      <c:pt idx="61">
                        <c:v>665.8</c:v>
                      </c:pt>
                      <c:pt idx="62">
                        <c:v>669.4</c:v>
                      </c:pt>
                      <c:pt idx="63">
                        <c:v>672.7</c:v>
                      </c:pt>
                      <c:pt idx="64">
                        <c:v>676.1</c:v>
                      </c:pt>
                      <c:pt idx="65">
                        <c:v>680.2</c:v>
                      </c:pt>
                      <c:pt idx="66">
                        <c:v>683.8</c:v>
                      </c:pt>
                      <c:pt idx="67">
                        <c:v>687.5</c:v>
                      </c:pt>
                      <c:pt idx="68">
                        <c:v>691.3</c:v>
                      </c:pt>
                      <c:pt idx="69">
                        <c:v>694.3</c:v>
                      </c:pt>
                      <c:pt idx="70">
                        <c:v>698.2</c:v>
                      </c:pt>
                      <c:pt idx="71">
                        <c:v>701.9</c:v>
                      </c:pt>
                      <c:pt idx="72">
                        <c:v>705.4</c:v>
                      </c:pt>
                      <c:pt idx="73">
                        <c:v>709.3</c:v>
                      </c:pt>
                      <c:pt idx="74">
                        <c:v>713.7</c:v>
                      </c:pt>
                      <c:pt idx="75">
                        <c:v>717.9</c:v>
                      </c:pt>
                      <c:pt idx="76">
                        <c:v>722.5</c:v>
                      </c:pt>
                      <c:pt idx="77">
                        <c:v>727.4</c:v>
                      </c:pt>
                      <c:pt idx="78">
                        <c:v>732.7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EE7-42F8-9B0B-A07A8C1580B4}"/>
                  </c:ext>
                </c:extLst>
              </c15:ser>
            </c15:filteredScatterSeries>
            <c15:filteredScatterSeries>
              <c15:ser>
                <c:idx val="28"/>
                <c:order val="25"/>
                <c:tx>
                  <c:v>ISV D6 LS2</c:v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'!$O$223:$O$303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114.7</c:v>
                      </c:pt>
                      <c:pt idx="1">
                        <c:v>170.3</c:v>
                      </c:pt>
                      <c:pt idx="2">
                        <c:v>234.5</c:v>
                      </c:pt>
                      <c:pt idx="3">
                        <c:v>270</c:v>
                      </c:pt>
                      <c:pt idx="4">
                        <c:v>300.2</c:v>
                      </c:pt>
                      <c:pt idx="5">
                        <c:v>322.8</c:v>
                      </c:pt>
                      <c:pt idx="6">
                        <c:v>342.8</c:v>
                      </c:pt>
                      <c:pt idx="7">
                        <c:v>360.1</c:v>
                      </c:pt>
                      <c:pt idx="8">
                        <c:v>375.4</c:v>
                      </c:pt>
                      <c:pt idx="9">
                        <c:v>389.1</c:v>
                      </c:pt>
                      <c:pt idx="10">
                        <c:v>401.5</c:v>
                      </c:pt>
                      <c:pt idx="11">
                        <c:v>413.6</c:v>
                      </c:pt>
                      <c:pt idx="12">
                        <c:v>425</c:v>
                      </c:pt>
                      <c:pt idx="13">
                        <c:v>435.9</c:v>
                      </c:pt>
                      <c:pt idx="14">
                        <c:v>446.4</c:v>
                      </c:pt>
                      <c:pt idx="15">
                        <c:v>456.6</c:v>
                      </c:pt>
                      <c:pt idx="16">
                        <c:v>466.6</c:v>
                      </c:pt>
                      <c:pt idx="17">
                        <c:v>476.2</c:v>
                      </c:pt>
                      <c:pt idx="18">
                        <c:v>485.5</c:v>
                      </c:pt>
                      <c:pt idx="19">
                        <c:v>494.3</c:v>
                      </c:pt>
                      <c:pt idx="20">
                        <c:v>502.1</c:v>
                      </c:pt>
                      <c:pt idx="21">
                        <c:v>509.1</c:v>
                      </c:pt>
                      <c:pt idx="22">
                        <c:v>516.29999999999995</c:v>
                      </c:pt>
                      <c:pt idx="23">
                        <c:v>523</c:v>
                      </c:pt>
                      <c:pt idx="24">
                        <c:v>528.70000000000005</c:v>
                      </c:pt>
                      <c:pt idx="25">
                        <c:v>534</c:v>
                      </c:pt>
                      <c:pt idx="26">
                        <c:v>538.79999999999995</c:v>
                      </c:pt>
                      <c:pt idx="27">
                        <c:v>543.29999999999995</c:v>
                      </c:pt>
                      <c:pt idx="28">
                        <c:v>547.6</c:v>
                      </c:pt>
                      <c:pt idx="29">
                        <c:v>551.79999999999995</c:v>
                      </c:pt>
                      <c:pt idx="30">
                        <c:v>555.70000000000005</c:v>
                      </c:pt>
                      <c:pt idx="31">
                        <c:v>559.29999999999995</c:v>
                      </c:pt>
                      <c:pt idx="32">
                        <c:v>562.6</c:v>
                      </c:pt>
                      <c:pt idx="33">
                        <c:v>565.9</c:v>
                      </c:pt>
                      <c:pt idx="34">
                        <c:v>568.9</c:v>
                      </c:pt>
                      <c:pt idx="35">
                        <c:v>571.70000000000005</c:v>
                      </c:pt>
                      <c:pt idx="36">
                        <c:v>574.6</c:v>
                      </c:pt>
                      <c:pt idx="37">
                        <c:v>577.5</c:v>
                      </c:pt>
                      <c:pt idx="38">
                        <c:v>580.4</c:v>
                      </c:pt>
                      <c:pt idx="39">
                        <c:v>583.29999999999995</c:v>
                      </c:pt>
                      <c:pt idx="40">
                        <c:v>586.1</c:v>
                      </c:pt>
                      <c:pt idx="41">
                        <c:v>588.9</c:v>
                      </c:pt>
                      <c:pt idx="42">
                        <c:v>591.79999999999995</c:v>
                      </c:pt>
                      <c:pt idx="43">
                        <c:v>594.5</c:v>
                      </c:pt>
                      <c:pt idx="44">
                        <c:v>597.29999999999995</c:v>
                      </c:pt>
                      <c:pt idx="45">
                        <c:v>600.1</c:v>
                      </c:pt>
                      <c:pt idx="46">
                        <c:v>603</c:v>
                      </c:pt>
                      <c:pt idx="47">
                        <c:v>606</c:v>
                      </c:pt>
                      <c:pt idx="48">
                        <c:v>608.9</c:v>
                      </c:pt>
                      <c:pt idx="49">
                        <c:v>611.79999999999995</c:v>
                      </c:pt>
                      <c:pt idx="50">
                        <c:v>614.79999999999995</c:v>
                      </c:pt>
                      <c:pt idx="51">
                        <c:v>617.9</c:v>
                      </c:pt>
                      <c:pt idx="52">
                        <c:v>621.1</c:v>
                      </c:pt>
                      <c:pt idx="53">
                        <c:v>624.20000000000005</c:v>
                      </c:pt>
                      <c:pt idx="54">
                        <c:v>627.29999999999995</c:v>
                      </c:pt>
                      <c:pt idx="55">
                        <c:v>630.29999999999995</c:v>
                      </c:pt>
                      <c:pt idx="56">
                        <c:v>633.4</c:v>
                      </c:pt>
                      <c:pt idx="57">
                        <c:v>636.5</c:v>
                      </c:pt>
                      <c:pt idx="58">
                        <c:v>639.79999999999995</c:v>
                      </c:pt>
                      <c:pt idx="59">
                        <c:v>643.20000000000005</c:v>
                      </c:pt>
                      <c:pt idx="60">
                        <c:v>646.70000000000005</c:v>
                      </c:pt>
                      <c:pt idx="61">
                        <c:v>650.1</c:v>
                      </c:pt>
                      <c:pt idx="62">
                        <c:v>653.5</c:v>
                      </c:pt>
                      <c:pt idx="63">
                        <c:v>656.7</c:v>
                      </c:pt>
                      <c:pt idx="64">
                        <c:v>660.6</c:v>
                      </c:pt>
                      <c:pt idx="65">
                        <c:v>665</c:v>
                      </c:pt>
                      <c:pt idx="66">
                        <c:v>669.5</c:v>
                      </c:pt>
                      <c:pt idx="67">
                        <c:v>673.4</c:v>
                      </c:pt>
                      <c:pt idx="68">
                        <c:v>678</c:v>
                      </c:pt>
                      <c:pt idx="69">
                        <c:v>682.8</c:v>
                      </c:pt>
                      <c:pt idx="70">
                        <c:v>687.2</c:v>
                      </c:pt>
                      <c:pt idx="71">
                        <c:v>691.6</c:v>
                      </c:pt>
                      <c:pt idx="72">
                        <c:v>695.3</c:v>
                      </c:pt>
                      <c:pt idx="73">
                        <c:v>700.2</c:v>
                      </c:pt>
                      <c:pt idx="74">
                        <c:v>704.3</c:v>
                      </c:pt>
                      <c:pt idx="75">
                        <c:v>708.6</c:v>
                      </c:pt>
                      <c:pt idx="76">
                        <c:v>713.4</c:v>
                      </c:pt>
                      <c:pt idx="77">
                        <c:v>718</c:v>
                      </c:pt>
                      <c:pt idx="78">
                        <c:v>722.9</c:v>
                      </c:pt>
                      <c:pt idx="79">
                        <c:v>727.9</c:v>
                      </c:pt>
                      <c:pt idx="80">
                        <c:v>733.1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EE7-42F8-9B0B-A07A8C1580B4}"/>
                  </c:ext>
                </c:extLst>
              </c15:ser>
            </c15:filteredScatterSeries>
            <c15:filteredScatterSeries>
              <c15:ser>
                <c:idx val="14"/>
                <c:order val="26"/>
                <c:tx>
                  <c:v>ISV D7 LS3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'!$P$223:$P$295</c15:sqref>
                        </c15:formulaRef>
                      </c:ext>
                    </c:extLst>
                    <c:numCache>
                      <c:formatCode>General</c:formatCode>
                      <c:ptCount val="73"/>
                      <c:pt idx="0">
                        <c:v>139.9</c:v>
                      </c:pt>
                      <c:pt idx="1">
                        <c:v>174</c:v>
                      </c:pt>
                      <c:pt idx="2">
                        <c:v>217</c:v>
                      </c:pt>
                      <c:pt idx="3">
                        <c:v>250</c:v>
                      </c:pt>
                      <c:pt idx="4">
                        <c:v>276.39999999999998</c:v>
                      </c:pt>
                      <c:pt idx="5">
                        <c:v>299.60000000000002</c:v>
                      </c:pt>
                      <c:pt idx="6">
                        <c:v>319.2</c:v>
                      </c:pt>
                      <c:pt idx="7">
                        <c:v>337.7</c:v>
                      </c:pt>
                      <c:pt idx="8">
                        <c:v>354.3</c:v>
                      </c:pt>
                      <c:pt idx="9">
                        <c:v>369.8</c:v>
                      </c:pt>
                      <c:pt idx="10">
                        <c:v>383.9</c:v>
                      </c:pt>
                      <c:pt idx="11">
                        <c:v>397.5</c:v>
                      </c:pt>
                      <c:pt idx="12">
                        <c:v>410.1</c:v>
                      </c:pt>
                      <c:pt idx="13">
                        <c:v>421.9</c:v>
                      </c:pt>
                      <c:pt idx="14">
                        <c:v>433.1</c:v>
                      </c:pt>
                      <c:pt idx="15">
                        <c:v>444.1</c:v>
                      </c:pt>
                      <c:pt idx="16">
                        <c:v>454.8</c:v>
                      </c:pt>
                      <c:pt idx="17">
                        <c:v>465</c:v>
                      </c:pt>
                      <c:pt idx="18">
                        <c:v>475</c:v>
                      </c:pt>
                      <c:pt idx="19">
                        <c:v>484.6</c:v>
                      </c:pt>
                      <c:pt idx="20">
                        <c:v>493.8</c:v>
                      </c:pt>
                      <c:pt idx="21">
                        <c:v>502</c:v>
                      </c:pt>
                      <c:pt idx="22">
                        <c:v>509.5</c:v>
                      </c:pt>
                      <c:pt idx="23">
                        <c:v>517.20000000000005</c:v>
                      </c:pt>
                      <c:pt idx="24">
                        <c:v>524.20000000000005</c:v>
                      </c:pt>
                      <c:pt idx="25">
                        <c:v>530.4</c:v>
                      </c:pt>
                      <c:pt idx="26">
                        <c:v>536</c:v>
                      </c:pt>
                      <c:pt idx="27">
                        <c:v>541.1</c:v>
                      </c:pt>
                      <c:pt idx="28">
                        <c:v>545.79999999999995</c:v>
                      </c:pt>
                      <c:pt idx="29">
                        <c:v>550.29999999999995</c:v>
                      </c:pt>
                      <c:pt idx="30">
                        <c:v>554.6</c:v>
                      </c:pt>
                      <c:pt idx="31">
                        <c:v>558.4</c:v>
                      </c:pt>
                      <c:pt idx="32">
                        <c:v>561.9</c:v>
                      </c:pt>
                      <c:pt idx="33">
                        <c:v>565.29999999999995</c:v>
                      </c:pt>
                      <c:pt idx="34">
                        <c:v>568.5</c:v>
                      </c:pt>
                      <c:pt idx="35">
                        <c:v>571.4</c:v>
                      </c:pt>
                      <c:pt idx="36">
                        <c:v>574.29999999999995</c:v>
                      </c:pt>
                      <c:pt idx="37">
                        <c:v>577.29999999999995</c:v>
                      </c:pt>
                      <c:pt idx="38">
                        <c:v>580.20000000000005</c:v>
                      </c:pt>
                      <c:pt idx="39">
                        <c:v>583.20000000000005</c:v>
                      </c:pt>
                      <c:pt idx="40">
                        <c:v>586.1</c:v>
                      </c:pt>
                      <c:pt idx="41">
                        <c:v>589</c:v>
                      </c:pt>
                      <c:pt idx="42">
                        <c:v>591.9</c:v>
                      </c:pt>
                      <c:pt idx="43">
                        <c:v>594.70000000000005</c:v>
                      </c:pt>
                      <c:pt idx="44">
                        <c:v>597.5</c:v>
                      </c:pt>
                      <c:pt idx="45">
                        <c:v>600.29999999999995</c:v>
                      </c:pt>
                      <c:pt idx="46">
                        <c:v>603.4</c:v>
                      </c:pt>
                      <c:pt idx="47">
                        <c:v>606.4</c:v>
                      </c:pt>
                      <c:pt idx="48">
                        <c:v>609.4</c:v>
                      </c:pt>
                      <c:pt idx="49">
                        <c:v>612.4</c:v>
                      </c:pt>
                      <c:pt idx="50">
                        <c:v>615.5</c:v>
                      </c:pt>
                      <c:pt idx="51">
                        <c:v>618.79999999999995</c:v>
                      </c:pt>
                      <c:pt idx="52">
                        <c:v>622.1</c:v>
                      </c:pt>
                      <c:pt idx="53">
                        <c:v>625.29999999999995</c:v>
                      </c:pt>
                      <c:pt idx="54">
                        <c:v>628.6</c:v>
                      </c:pt>
                      <c:pt idx="55">
                        <c:v>631.79999999999995</c:v>
                      </c:pt>
                      <c:pt idx="56">
                        <c:v>635.1</c:v>
                      </c:pt>
                      <c:pt idx="57">
                        <c:v>638.70000000000005</c:v>
                      </c:pt>
                      <c:pt idx="58">
                        <c:v>642.4</c:v>
                      </c:pt>
                      <c:pt idx="59">
                        <c:v>646.4</c:v>
                      </c:pt>
                      <c:pt idx="60">
                        <c:v>650.20000000000005</c:v>
                      </c:pt>
                      <c:pt idx="61">
                        <c:v>654.1</c:v>
                      </c:pt>
                      <c:pt idx="62">
                        <c:v>657.9</c:v>
                      </c:pt>
                      <c:pt idx="63">
                        <c:v>663</c:v>
                      </c:pt>
                      <c:pt idx="64">
                        <c:v>668.4</c:v>
                      </c:pt>
                      <c:pt idx="65">
                        <c:v>673.5</c:v>
                      </c:pt>
                      <c:pt idx="66">
                        <c:v>679.5</c:v>
                      </c:pt>
                      <c:pt idx="67">
                        <c:v>685.5</c:v>
                      </c:pt>
                      <c:pt idx="68">
                        <c:v>691.7</c:v>
                      </c:pt>
                      <c:pt idx="69">
                        <c:v>697.9</c:v>
                      </c:pt>
                      <c:pt idx="70">
                        <c:v>705.1</c:v>
                      </c:pt>
                      <c:pt idx="71">
                        <c:v>714.2</c:v>
                      </c:pt>
                      <c:pt idx="72">
                        <c:v>729.7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3EE7-42F8-9B0B-A07A8C1580B4}"/>
                  </c:ext>
                </c:extLst>
              </c15:ser>
            </c15:filteredScatterSeries>
            <c15:filteredScatterSeries>
              <c15:ser>
                <c:idx val="15"/>
                <c:order val="27"/>
                <c:tx>
                  <c:v>ISV D8 LS4</c:v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'!$Q$223:$Q$290</c15:sqref>
                        </c15:formulaRef>
                      </c:ext>
                    </c:extLst>
                    <c:numCache>
                      <c:formatCode>General</c:formatCode>
                      <c:ptCount val="68"/>
                      <c:pt idx="0">
                        <c:v>135.1</c:v>
                      </c:pt>
                      <c:pt idx="1">
                        <c:v>173.5</c:v>
                      </c:pt>
                      <c:pt idx="2">
                        <c:v>220.6</c:v>
                      </c:pt>
                      <c:pt idx="3">
                        <c:v>255</c:v>
                      </c:pt>
                      <c:pt idx="4">
                        <c:v>284.5</c:v>
                      </c:pt>
                      <c:pt idx="5">
                        <c:v>310.7</c:v>
                      </c:pt>
                      <c:pt idx="6">
                        <c:v>332.1</c:v>
                      </c:pt>
                      <c:pt idx="7">
                        <c:v>352.3</c:v>
                      </c:pt>
                      <c:pt idx="8">
                        <c:v>370.1</c:v>
                      </c:pt>
                      <c:pt idx="9">
                        <c:v>386.7</c:v>
                      </c:pt>
                      <c:pt idx="10">
                        <c:v>402</c:v>
                      </c:pt>
                      <c:pt idx="11">
                        <c:v>416.6</c:v>
                      </c:pt>
                      <c:pt idx="12">
                        <c:v>429.7</c:v>
                      </c:pt>
                      <c:pt idx="13">
                        <c:v>442.8</c:v>
                      </c:pt>
                      <c:pt idx="14">
                        <c:v>455.2</c:v>
                      </c:pt>
                      <c:pt idx="15">
                        <c:v>467.3</c:v>
                      </c:pt>
                      <c:pt idx="16">
                        <c:v>478.7</c:v>
                      </c:pt>
                      <c:pt idx="17">
                        <c:v>489.8</c:v>
                      </c:pt>
                      <c:pt idx="18">
                        <c:v>499.7</c:v>
                      </c:pt>
                      <c:pt idx="19">
                        <c:v>508.5</c:v>
                      </c:pt>
                      <c:pt idx="20">
                        <c:v>517.29999999999995</c:v>
                      </c:pt>
                      <c:pt idx="21">
                        <c:v>525.1</c:v>
                      </c:pt>
                      <c:pt idx="22">
                        <c:v>531.9</c:v>
                      </c:pt>
                      <c:pt idx="23">
                        <c:v>537.9</c:v>
                      </c:pt>
                      <c:pt idx="24">
                        <c:v>543.20000000000005</c:v>
                      </c:pt>
                      <c:pt idx="25">
                        <c:v>548.29999999999995</c:v>
                      </c:pt>
                      <c:pt idx="26">
                        <c:v>553.1</c:v>
                      </c:pt>
                      <c:pt idx="27">
                        <c:v>557.4</c:v>
                      </c:pt>
                      <c:pt idx="28">
                        <c:v>561.4</c:v>
                      </c:pt>
                      <c:pt idx="29">
                        <c:v>565.1</c:v>
                      </c:pt>
                      <c:pt idx="30">
                        <c:v>568.5</c:v>
                      </c:pt>
                      <c:pt idx="31">
                        <c:v>571.70000000000005</c:v>
                      </c:pt>
                      <c:pt idx="32">
                        <c:v>574.9</c:v>
                      </c:pt>
                      <c:pt idx="33">
                        <c:v>578.20000000000005</c:v>
                      </c:pt>
                      <c:pt idx="34">
                        <c:v>581.4</c:v>
                      </c:pt>
                      <c:pt idx="35">
                        <c:v>584.6</c:v>
                      </c:pt>
                      <c:pt idx="36">
                        <c:v>587.79999999999995</c:v>
                      </c:pt>
                      <c:pt idx="37">
                        <c:v>590.9</c:v>
                      </c:pt>
                      <c:pt idx="38">
                        <c:v>593.9</c:v>
                      </c:pt>
                      <c:pt idx="39">
                        <c:v>597</c:v>
                      </c:pt>
                      <c:pt idx="40">
                        <c:v>600</c:v>
                      </c:pt>
                      <c:pt idx="41">
                        <c:v>603.20000000000005</c:v>
                      </c:pt>
                      <c:pt idx="42">
                        <c:v>606.5</c:v>
                      </c:pt>
                      <c:pt idx="43">
                        <c:v>609.70000000000005</c:v>
                      </c:pt>
                      <c:pt idx="44">
                        <c:v>613</c:v>
                      </c:pt>
                      <c:pt idx="45">
                        <c:v>616.29999999999995</c:v>
                      </c:pt>
                      <c:pt idx="46">
                        <c:v>619.79999999999995</c:v>
                      </c:pt>
                      <c:pt idx="47">
                        <c:v>623.4</c:v>
                      </c:pt>
                      <c:pt idx="48">
                        <c:v>626.79999999999995</c:v>
                      </c:pt>
                      <c:pt idx="49">
                        <c:v>630.29999999999995</c:v>
                      </c:pt>
                      <c:pt idx="50">
                        <c:v>633.70000000000005</c:v>
                      </c:pt>
                      <c:pt idx="51">
                        <c:v>637.4</c:v>
                      </c:pt>
                      <c:pt idx="52">
                        <c:v>641.20000000000005</c:v>
                      </c:pt>
                      <c:pt idx="53">
                        <c:v>645.29999999999995</c:v>
                      </c:pt>
                      <c:pt idx="54">
                        <c:v>649.29999999999995</c:v>
                      </c:pt>
                      <c:pt idx="55">
                        <c:v>653.29999999999995</c:v>
                      </c:pt>
                      <c:pt idx="56">
                        <c:v>657.1</c:v>
                      </c:pt>
                      <c:pt idx="57">
                        <c:v>661.9</c:v>
                      </c:pt>
                      <c:pt idx="58">
                        <c:v>667.2</c:v>
                      </c:pt>
                      <c:pt idx="59">
                        <c:v>672.2</c:v>
                      </c:pt>
                      <c:pt idx="60">
                        <c:v>677.6</c:v>
                      </c:pt>
                      <c:pt idx="61">
                        <c:v>683.6</c:v>
                      </c:pt>
                      <c:pt idx="62">
                        <c:v>689.4</c:v>
                      </c:pt>
                      <c:pt idx="63">
                        <c:v>694.7</c:v>
                      </c:pt>
                      <c:pt idx="64">
                        <c:v>701.5</c:v>
                      </c:pt>
                      <c:pt idx="65">
                        <c:v>708.4</c:v>
                      </c:pt>
                      <c:pt idx="66">
                        <c:v>717.6</c:v>
                      </c:pt>
                      <c:pt idx="67">
                        <c:v>733.4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3EE7-42F8-9B0B-A07A8C1580B4}"/>
                  </c:ext>
                </c:extLst>
              </c15:ser>
            </c15:filteredScatterSeries>
            <c15:filteredScatterSeries>
              <c15:ser>
                <c:idx val="19"/>
                <c:order val="30"/>
                <c:tx>
                  <c:v>LTO Aging 1</c:v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'!$J$116:$J$216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56.4</c:v>
                      </c:pt>
                      <c:pt idx="1">
                        <c:v>68.400000000000006</c:v>
                      </c:pt>
                      <c:pt idx="2">
                        <c:v>89.8</c:v>
                      </c:pt>
                      <c:pt idx="3">
                        <c:v>97.9</c:v>
                      </c:pt>
                      <c:pt idx="4">
                        <c:v>98.3</c:v>
                      </c:pt>
                      <c:pt idx="5">
                        <c:v>98.6</c:v>
                      </c:pt>
                      <c:pt idx="6">
                        <c:v>98.9</c:v>
                      </c:pt>
                      <c:pt idx="7">
                        <c:v>99.1</c:v>
                      </c:pt>
                      <c:pt idx="8">
                        <c:v>99.3</c:v>
                      </c:pt>
                      <c:pt idx="9">
                        <c:v>99.4</c:v>
                      </c:pt>
                      <c:pt idx="10">
                        <c:v>99.6</c:v>
                      </c:pt>
                      <c:pt idx="11">
                        <c:v>99.7</c:v>
                      </c:pt>
                      <c:pt idx="12">
                        <c:v>99.9</c:v>
                      </c:pt>
                      <c:pt idx="13">
                        <c:v>100</c:v>
                      </c:pt>
                      <c:pt idx="14">
                        <c:v>100.1</c:v>
                      </c:pt>
                      <c:pt idx="15">
                        <c:v>100.2</c:v>
                      </c:pt>
                      <c:pt idx="16">
                        <c:v>100.3</c:v>
                      </c:pt>
                      <c:pt idx="17">
                        <c:v>100.4</c:v>
                      </c:pt>
                      <c:pt idx="18">
                        <c:v>100.5</c:v>
                      </c:pt>
                      <c:pt idx="19">
                        <c:v>100.6</c:v>
                      </c:pt>
                      <c:pt idx="20">
                        <c:v>100.7</c:v>
                      </c:pt>
                      <c:pt idx="21">
                        <c:v>100.9</c:v>
                      </c:pt>
                      <c:pt idx="22">
                        <c:v>112.1</c:v>
                      </c:pt>
                      <c:pt idx="23">
                        <c:v>116.9</c:v>
                      </c:pt>
                      <c:pt idx="24">
                        <c:v>123</c:v>
                      </c:pt>
                      <c:pt idx="25">
                        <c:v>126.7</c:v>
                      </c:pt>
                      <c:pt idx="26">
                        <c:v>137</c:v>
                      </c:pt>
                      <c:pt idx="27">
                        <c:v>140.4</c:v>
                      </c:pt>
                      <c:pt idx="28">
                        <c:v>144.80000000000001</c:v>
                      </c:pt>
                      <c:pt idx="29">
                        <c:v>150.69999999999999</c:v>
                      </c:pt>
                      <c:pt idx="30">
                        <c:v>152.9</c:v>
                      </c:pt>
                      <c:pt idx="31">
                        <c:v>158.5</c:v>
                      </c:pt>
                      <c:pt idx="32">
                        <c:v>160.69999999999999</c:v>
                      </c:pt>
                      <c:pt idx="33">
                        <c:v>161.4</c:v>
                      </c:pt>
                      <c:pt idx="34">
                        <c:v>162.6</c:v>
                      </c:pt>
                      <c:pt idx="35">
                        <c:v>163.1</c:v>
                      </c:pt>
                      <c:pt idx="36">
                        <c:v>163.4</c:v>
                      </c:pt>
                      <c:pt idx="37">
                        <c:v>163.6</c:v>
                      </c:pt>
                      <c:pt idx="38">
                        <c:v>163.9</c:v>
                      </c:pt>
                      <c:pt idx="39">
                        <c:v>164.1</c:v>
                      </c:pt>
                      <c:pt idx="40">
                        <c:v>164.2</c:v>
                      </c:pt>
                      <c:pt idx="41">
                        <c:v>164.4</c:v>
                      </c:pt>
                      <c:pt idx="42">
                        <c:v>164.7</c:v>
                      </c:pt>
                      <c:pt idx="43">
                        <c:v>165.3</c:v>
                      </c:pt>
                      <c:pt idx="44">
                        <c:v>165.7</c:v>
                      </c:pt>
                      <c:pt idx="45">
                        <c:v>166.9</c:v>
                      </c:pt>
                      <c:pt idx="46">
                        <c:v>167.3</c:v>
                      </c:pt>
                      <c:pt idx="47">
                        <c:v>167.7</c:v>
                      </c:pt>
                      <c:pt idx="48">
                        <c:v>170</c:v>
                      </c:pt>
                      <c:pt idx="49">
                        <c:v>170.5</c:v>
                      </c:pt>
                      <c:pt idx="50">
                        <c:v>170.9</c:v>
                      </c:pt>
                      <c:pt idx="51">
                        <c:v>171.1</c:v>
                      </c:pt>
                      <c:pt idx="52">
                        <c:v>171.3</c:v>
                      </c:pt>
                      <c:pt idx="53">
                        <c:v>171.5</c:v>
                      </c:pt>
                      <c:pt idx="54">
                        <c:v>171.7</c:v>
                      </c:pt>
                      <c:pt idx="55">
                        <c:v>171.9</c:v>
                      </c:pt>
                      <c:pt idx="56">
                        <c:v>172.1</c:v>
                      </c:pt>
                      <c:pt idx="57">
                        <c:v>175</c:v>
                      </c:pt>
                      <c:pt idx="58">
                        <c:v>176.2</c:v>
                      </c:pt>
                      <c:pt idx="59">
                        <c:v>176.8</c:v>
                      </c:pt>
                      <c:pt idx="60">
                        <c:v>179.6</c:v>
                      </c:pt>
                      <c:pt idx="61">
                        <c:v>183.6</c:v>
                      </c:pt>
                      <c:pt idx="62">
                        <c:v>188</c:v>
                      </c:pt>
                      <c:pt idx="63">
                        <c:v>190.6</c:v>
                      </c:pt>
                      <c:pt idx="64">
                        <c:v>196.6</c:v>
                      </c:pt>
                      <c:pt idx="65">
                        <c:v>199.7</c:v>
                      </c:pt>
                      <c:pt idx="66">
                        <c:v>204.5</c:v>
                      </c:pt>
                      <c:pt idx="67">
                        <c:v>209.8</c:v>
                      </c:pt>
                      <c:pt idx="68">
                        <c:v>215.5</c:v>
                      </c:pt>
                      <c:pt idx="69">
                        <c:v>219</c:v>
                      </c:pt>
                      <c:pt idx="70">
                        <c:v>225</c:v>
                      </c:pt>
                      <c:pt idx="71">
                        <c:v>230.1</c:v>
                      </c:pt>
                      <c:pt idx="72">
                        <c:v>235.7</c:v>
                      </c:pt>
                      <c:pt idx="73">
                        <c:v>240</c:v>
                      </c:pt>
                      <c:pt idx="74">
                        <c:v>246.8</c:v>
                      </c:pt>
                      <c:pt idx="75">
                        <c:v>253.2</c:v>
                      </c:pt>
                      <c:pt idx="76">
                        <c:v>257</c:v>
                      </c:pt>
                      <c:pt idx="77">
                        <c:v>264</c:v>
                      </c:pt>
                      <c:pt idx="78">
                        <c:v>269.39999999999998</c:v>
                      </c:pt>
                      <c:pt idx="79">
                        <c:v>274.39999999999998</c:v>
                      </c:pt>
                      <c:pt idx="80">
                        <c:v>281.7</c:v>
                      </c:pt>
                      <c:pt idx="81">
                        <c:v>287.89999999999998</c:v>
                      </c:pt>
                      <c:pt idx="82">
                        <c:v>294.7</c:v>
                      </c:pt>
                      <c:pt idx="83">
                        <c:v>301.8</c:v>
                      </c:pt>
                      <c:pt idx="84">
                        <c:v>308.10000000000002</c:v>
                      </c:pt>
                      <c:pt idx="85">
                        <c:v>315.8</c:v>
                      </c:pt>
                      <c:pt idx="86">
                        <c:v>322.2</c:v>
                      </c:pt>
                      <c:pt idx="87">
                        <c:v>330.3</c:v>
                      </c:pt>
                      <c:pt idx="88">
                        <c:v>337.5</c:v>
                      </c:pt>
                      <c:pt idx="89">
                        <c:v>345.3</c:v>
                      </c:pt>
                      <c:pt idx="90">
                        <c:v>352.8</c:v>
                      </c:pt>
                      <c:pt idx="91">
                        <c:v>359.7</c:v>
                      </c:pt>
                      <c:pt idx="92">
                        <c:v>368.2</c:v>
                      </c:pt>
                      <c:pt idx="93">
                        <c:v>375.8</c:v>
                      </c:pt>
                      <c:pt idx="94">
                        <c:v>384.1</c:v>
                      </c:pt>
                      <c:pt idx="95">
                        <c:v>393.3</c:v>
                      </c:pt>
                      <c:pt idx="96">
                        <c:v>403.9</c:v>
                      </c:pt>
                      <c:pt idx="97">
                        <c:v>416.6</c:v>
                      </c:pt>
                      <c:pt idx="98">
                        <c:v>432.3</c:v>
                      </c:pt>
                      <c:pt idx="99">
                        <c:v>454.8</c:v>
                      </c:pt>
                      <c:pt idx="100">
                        <c:v>473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EE7-42F8-9B0B-A07A8C1580B4}"/>
                  </c:ext>
                </c:extLst>
              </c15:ser>
            </c15:filteredScatterSeries>
            <c15:filteredScatterSeries>
              <c15:ser>
                <c:idx val="23"/>
                <c:order val="31"/>
                <c:tx>
                  <c:v>LTO Aging 2</c:v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'!$K$116:$K$216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24.9</c:v>
                      </c:pt>
                      <c:pt idx="1">
                        <c:v>35.5</c:v>
                      </c:pt>
                      <c:pt idx="2">
                        <c:v>56.2</c:v>
                      </c:pt>
                      <c:pt idx="3">
                        <c:v>67.599999999999994</c:v>
                      </c:pt>
                      <c:pt idx="4">
                        <c:v>68.7</c:v>
                      </c:pt>
                      <c:pt idx="5">
                        <c:v>74.8</c:v>
                      </c:pt>
                      <c:pt idx="6">
                        <c:v>86.7</c:v>
                      </c:pt>
                      <c:pt idx="7">
                        <c:v>89.4</c:v>
                      </c:pt>
                      <c:pt idx="8">
                        <c:v>92.1</c:v>
                      </c:pt>
                      <c:pt idx="9">
                        <c:v>98</c:v>
                      </c:pt>
                      <c:pt idx="10">
                        <c:v>98.5</c:v>
                      </c:pt>
                      <c:pt idx="11">
                        <c:v>99.1</c:v>
                      </c:pt>
                      <c:pt idx="12">
                        <c:v>102.3</c:v>
                      </c:pt>
                      <c:pt idx="13">
                        <c:v>112</c:v>
                      </c:pt>
                      <c:pt idx="14">
                        <c:v>115.5</c:v>
                      </c:pt>
                      <c:pt idx="15">
                        <c:v>117.3</c:v>
                      </c:pt>
                      <c:pt idx="16">
                        <c:v>118.9</c:v>
                      </c:pt>
                      <c:pt idx="17">
                        <c:v>124</c:v>
                      </c:pt>
                      <c:pt idx="18">
                        <c:v>126.6</c:v>
                      </c:pt>
                      <c:pt idx="19">
                        <c:v>127.1</c:v>
                      </c:pt>
                      <c:pt idx="20">
                        <c:v>132.9</c:v>
                      </c:pt>
                      <c:pt idx="21">
                        <c:v>135.80000000000001</c:v>
                      </c:pt>
                      <c:pt idx="22">
                        <c:v>140.19999999999999</c:v>
                      </c:pt>
                      <c:pt idx="23">
                        <c:v>142.6</c:v>
                      </c:pt>
                      <c:pt idx="24">
                        <c:v>144.6</c:v>
                      </c:pt>
                      <c:pt idx="25">
                        <c:v>146.5</c:v>
                      </c:pt>
                      <c:pt idx="26">
                        <c:v>151.4</c:v>
                      </c:pt>
                      <c:pt idx="27">
                        <c:v>152.1</c:v>
                      </c:pt>
                      <c:pt idx="28">
                        <c:v>154.1</c:v>
                      </c:pt>
                      <c:pt idx="29">
                        <c:v>159</c:v>
                      </c:pt>
                      <c:pt idx="30">
                        <c:v>160.9</c:v>
                      </c:pt>
                      <c:pt idx="31">
                        <c:v>162.6</c:v>
                      </c:pt>
                      <c:pt idx="32">
                        <c:v>163.19999999999999</c:v>
                      </c:pt>
                      <c:pt idx="33">
                        <c:v>163.6</c:v>
                      </c:pt>
                      <c:pt idx="34">
                        <c:v>164.4</c:v>
                      </c:pt>
                      <c:pt idx="35">
                        <c:v>166.2</c:v>
                      </c:pt>
                      <c:pt idx="36">
                        <c:v>166.9</c:v>
                      </c:pt>
                      <c:pt idx="37">
                        <c:v>168.2</c:v>
                      </c:pt>
                      <c:pt idx="38">
                        <c:v>170.2</c:v>
                      </c:pt>
                      <c:pt idx="39">
                        <c:v>170.7</c:v>
                      </c:pt>
                      <c:pt idx="40">
                        <c:v>171</c:v>
                      </c:pt>
                      <c:pt idx="41">
                        <c:v>173.9</c:v>
                      </c:pt>
                      <c:pt idx="42">
                        <c:v>175.3</c:v>
                      </c:pt>
                      <c:pt idx="43">
                        <c:v>176.1</c:v>
                      </c:pt>
                      <c:pt idx="44">
                        <c:v>178.2</c:v>
                      </c:pt>
                      <c:pt idx="45">
                        <c:v>181</c:v>
                      </c:pt>
                      <c:pt idx="46">
                        <c:v>183.8</c:v>
                      </c:pt>
                      <c:pt idx="47">
                        <c:v>186.7</c:v>
                      </c:pt>
                      <c:pt idx="48">
                        <c:v>189.1</c:v>
                      </c:pt>
                      <c:pt idx="49">
                        <c:v>191.8</c:v>
                      </c:pt>
                      <c:pt idx="50">
                        <c:v>195.8</c:v>
                      </c:pt>
                      <c:pt idx="51">
                        <c:v>197.1</c:v>
                      </c:pt>
                      <c:pt idx="52">
                        <c:v>199</c:v>
                      </c:pt>
                      <c:pt idx="53">
                        <c:v>202.6</c:v>
                      </c:pt>
                      <c:pt idx="54">
                        <c:v>204.8</c:v>
                      </c:pt>
                      <c:pt idx="55">
                        <c:v>207.7</c:v>
                      </c:pt>
                      <c:pt idx="56">
                        <c:v>210.7</c:v>
                      </c:pt>
                      <c:pt idx="57">
                        <c:v>213.9</c:v>
                      </c:pt>
                      <c:pt idx="58">
                        <c:v>216.7</c:v>
                      </c:pt>
                      <c:pt idx="59">
                        <c:v>218.3</c:v>
                      </c:pt>
                      <c:pt idx="60">
                        <c:v>221.3</c:v>
                      </c:pt>
                      <c:pt idx="61">
                        <c:v>225.1</c:v>
                      </c:pt>
                      <c:pt idx="62">
                        <c:v>228.1</c:v>
                      </c:pt>
                      <c:pt idx="63">
                        <c:v>230.7</c:v>
                      </c:pt>
                      <c:pt idx="64">
                        <c:v>234.9</c:v>
                      </c:pt>
                      <c:pt idx="65">
                        <c:v>236.3</c:v>
                      </c:pt>
                      <c:pt idx="66">
                        <c:v>239.4</c:v>
                      </c:pt>
                      <c:pt idx="67">
                        <c:v>243.5</c:v>
                      </c:pt>
                      <c:pt idx="68">
                        <c:v>247.2</c:v>
                      </c:pt>
                      <c:pt idx="69">
                        <c:v>250.7</c:v>
                      </c:pt>
                      <c:pt idx="70">
                        <c:v>254.5</c:v>
                      </c:pt>
                      <c:pt idx="71">
                        <c:v>256.2</c:v>
                      </c:pt>
                      <c:pt idx="72">
                        <c:v>260.39999999999998</c:v>
                      </c:pt>
                      <c:pt idx="73">
                        <c:v>264.39999999999998</c:v>
                      </c:pt>
                      <c:pt idx="74">
                        <c:v>267.60000000000002</c:v>
                      </c:pt>
                      <c:pt idx="75">
                        <c:v>271.60000000000002</c:v>
                      </c:pt>
                      <c:pt idx="76">
                        <c:v>274.39999999999998</c:v>
                      </c:pt>
                      <c:pt idx="77">
                        <c:v>279.3</c:v>
                      </c:pt>
                      <c:pt idx="78">
                        <c:v>283.10000000000002</c:v>
                      </c:pt>
                      <c:pt idx="79">
                        <c:v>287.5</c:v>
                      </c:pt>
                      <c:pt idx="80">
                        <c:v>291.2</c:v>
                      </c:pt>
                      <c:pt idx="81">
                        <c:v>296</c:v>
                      </c:pt>
                      <c:pt idx="82">
                        <c:v>301.10000000000002</c:v>
                      </c:pt>
                      <c:pt idx="83">
                        <c:v>304.39999999999998</c:v>
                      </c:pt>
                      <c:pt idx="84">
                        <c:v>309.89999999999998</c:v>
                      </c:pt>
                      <c:pt idx="85">
                        <c:v>315.39999999999998</c:v>
                      </c:pt>
                      <c:pt idx="86">
                        <c:v>319.60000000000002</c:v>
                      </c:pt>
                      <c:pt idx="87">
                        <c:v>325.7</c:v>
                      </c:pt>
                      <c:pt idx="88">
                        <c:v>331.2</c:v>
                      </c:pt>
                      <c:pt idx="89">
                        <c:v>338</c:v>
                      </c:pt>
                      <c:pt idx="90">
                        <c:v>344.7</c:v>
                      </c:pt>
                      <c:pt idx="91">
                        <c:v>351.5</c:v>
                      </c:pt>
                      <c:pt idx="92">
                        <c:v>358.3</c:v>
                      </c:pt>
                      <c:pt idx="93">
                        <c:v>366.7</c:v>
                      </c:pt>
                      <c:pt idx="94">
                        <c:v>375.1</c:v>
                      </c:pt>
                      <c:pt idx="95">
                        <c:v>384.6</c:v>
                      </c:pt>
                      <c:pt idx="96">
                        <c:v>395.5</c:v>
                      </c:pt>
                      <c:pt idx="97">
                        <c:v>408.7</c:v>
                      </c:pt>
                      <c:pt idx="98">
                        <c:v>425.2</c:v>
                      </c:pt>
                      <c:pt idx="99">
                        <c:v>449.4</c:v>
                      </c:pt>
                      <c:pt idx="100">
                        <c:v>468.4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3EE7-42F8-9B0B-A07A8C1580B4}"/>
                  </c:ext>
                </c:extLst>
              </c15:ser>
            </c15:filteredScatterSeries>
            <c15:filteredScatterSeries>
              <c15:ser>
                <c:idx val="24"/>
                <c:order val="32"/>
                <c:tx>
                  <c:v>LTO Aging 3</c:v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'!$L$116:$L$216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6.2</c:v>
                      </c:pt>
                      <c:pt idx="1">
                        <c:v>24.8</c:v>
                      </c:pt>
                      <c:pt idx="2">
                        <c:v>35.799999999999997</c:v>
                      </c:pt>
                      <c:pt idx="3">
                        <c:v>55.7</c:v>
                      </c:pt>
                      <c:pt idx="4">
                        <c:v>60.8</c:v>
                      </c:pt>
                      <c:pt idx="5">
                        <c:v>68.099999999999994</c:v>
                      </c:pt>
                      <c:pt idx="6">
                        <c:v>68.8</c:v>
                      </c:pt>
                      <c:pt idx="7">
                        <c:v>74.599999999999994</c:v>
                      </c:pt>
                      <c:pt idx="8">
                        <c:v>83.5</c:v>
                      </c:pt>
                      <c:pt idx="9">
                        <c:v>87.7</c:v>
                      </c:pt>
                      <c:pt idx="10">
                        <c:v>90.3</c:v>
                      </c:pt>
                      <c:pt idx="11">
                        <c:v>97.5</c:v>
                      </c:pt>
                      <c:pt idx="12">
                        <c:v>98.3</c:v>
                      </c:pt>
                      <c:pt idx="13">
                        <c:v>98.7</c:v>
                      </c:pt>
                      <c:pt idx="14">
                        <c:v>101.8</c:v>
                      </c:pt>
                      <c:pt idx="15">
                        <c:v>105.3</c:v>
                      </c:pt>
                      <c:pt idx="16">
                        <c:v>112.7</c:v>
                      </c:pt>
                      <c:pt idx="17">
                        <c:v>116.8</c:v>
                      </c:pt>
                      <c:pt idx="18">
                        <c:v>117.7</c:v>
                      </c:pt>
                      <c:pt idx="19">
                        <c:v>119.2</c:v>
                      </c:pt>
                      <c:pt idx="20">
                        <c:v>125.8</c:v>
                      </c:pt>
                      <c:pt idx="21">
                        <c:v>126.8</c:v>
                      </c:pt>
                      <c:pt idx="22">
                        <c:v>127.2</c:v>
                      </c:pt>
                      <c:pt idx="23">
                        <c:v>133</c:v>
                      </c:pt>
                      <c:pt idx="24">
                        <c:v>136</c:v>
                      </c:pt>
                      <c:pt idx="25">
                        <c:v>140.30000000000001</c:v>
                      </c:pt>
                      <c:pt idx="26">
                        <c:v>142.6</c:v>
                      </c:pt>
                      <c:pt idx="27">
                        <c:v>144.5</c:v>
                      </c:pt>
                      <c:pt idx="28">
                        <c:v>146.30000000000001</c:v>
                      </c:pt>
                      <c:pt idx="29">
                        <c:v>151.4</c:v>
                      </c:pt>
                      <c:pt idx="30">
                        <c:v>152.1</c:v>
                      </c:pt>
                      <c:pt idx="31">
                        <c:v>153.9</c:v>
                      </c:pt>
                      <c:pt idx="32">
                        <c:v>158.30000000000001</c:v>
                      </c:pt>
                      <c:pt idx="33">
                        <c:v>160.9</c:v>
                      </c:pt>
                      <c:pt idx="34">
                        <c:v>162.69999999999999</c:v>
                      </c:pt>
                      <c:pt idx="35">
                        <c:v>163.30000000000001</c:v>
                      </c:pt>
                      <c:pt idx="36">
                        <c:v>164.8</c:v>
                      </c:pt>
                      <c:pt idx="37">
                        <c:v>166.6</c:v>
                      </c:pt>
                      <c:pt idx="38">
                        <c:v>167.9</c:v>
                      </c:pt>
                      <c:pt idx="39">
                        <c:v>170.1</c:v>
                      </c:pt>
                      <c:pt idx="40">
                        <c:v>170.6</c:v>
                      </c:pt>
                      <c:pt idx="41">
                        <c:v>174.4</c:v>
                      </c:pt>
                      <c:pt idx="42">
                        <c:v>175.3</c:v>
                      </c:pt>
                      <c:pt idx="43">
                        <c:v>176.5</c:v>
                      </c:pt>
                      <c:pt idx="44">
                        <c:v>179.6</c:v>
                      </c:pt>
                      <c:pt idx="45">
                        <c:v>182.4</c:v>
                      </c:pt>
                      <c:pt idx="46">
                        <c:v>184.7</c:v>
                      </c:pt>
                      <c:pt idx="47">
                        <c:v>188.2</c:v>
                      </c:pt>
                      <c:pt idx="48">
                        <c:v>189.8</c:v>
                      </c:pt>
                      <c:pt idx="49">
                        <c:v>193.7</c:v>
                      </c:pt>
                      <c:pt idx="50">
                        <c:v>196.6</c:v>
                      </c:pt>
                      <c:pt idx="51">
                        <c:v>197.3</c:v>
                      </c:pt>
                      <c:pt idx="52">
                        <c:v>200.3</c:v>
                      </c:pt>
                      <c:pt idx="53">
                        <c:v>203</c:v>
                      </c:pt>
                      <c:pt idx="54">
                        <c:v>205.3</c:v>
                      </c:pt>
                      <c:pt idx="55">
                        <c:v>208.2</c:v>
                      </c:pt>
                      <c:pt idx="56">
                        <c:v>211.1</c:v>
                      </c:pt>
                      <c:pt idx="57">
                        <c:v>214.1</c:v>
                      </c:pt>
                      <c:pt idx="58">
                        <c:v>216.8</c:v>
                      </c:pt>
                      <c:pt idx="59">
                        <c:v>218.4</c:v>
                      </c:pt>
                      <c:pt idx="60">
                        <c:v>221.3</c:v>
                      </c:pt>
                      <c:pt idx="61">
                        <c:v>224.9</c:v>
                      </c:pt>
                      <c:pt idx="62">
                        <c:v>227.9</c:v>
                      </c:pt>
                      <c:pt idx="63">
                        <c:v>230.4</c:v>
                      </c:pt>
                      <c:pt idx="64">
                        <c:v>234</c:v>
                      </c:pt>
                      <c:pt idx="65">
                        <c:v>236.1</c:v>
                      </c:pt>
                      <c:pt idx="66">
                        <c:v>238.4</c:v>
                      </c:pt>
                      <c:pt idx="67">
                        <c:v>242.6</c:v>
                      </c:pt>
                      <c:pt idx="68">
                        <c:v>246.2</c:v>
                      </c:pt>
                      <c:pt idx="69">
                        <c:v>249.6</c:v>
                      </c:pt>
                      <c:pt idx="70">
                        <c:v>253.6</c:v>
                      </c:pt>
                      <c:pt idx="71">
                        <c:v>255.3</c:v>
                      </c:pt>
                      <c:pt idx="72">
                        <c:v>258.7</c:v>
                      </c:pt>
                      <c:pt idx="73">
                        <c:v>263</c:v>
                      </c:pt>
                      <c:pt idx="74">
                        <c:v>265.89999999999998</c:v>
                      </c:pt>
                      <c:pt idx="75">
                        <c:v>269.89999999999998</c:v>
                      </c:pt>
                      <c:pt idx="76">
                        <c:v>272.3</c:v>
                      </c:pt>
                      <c:pt idx="77">
                        <c:v>276.60000000000002</c:v>
                      </c:pt>
                      <c:pt idx="78">
                        <c:v>280.89999999999998</c:v>
                      </c:pt>
                      <c:pt idx="79">
                        <c:v>285.10000000000002</c:v>
                      </c:pt>
                      <c:pt idx="80">
                        <c:v>288.2</c:v>
                      </c:pt>
                      <c:pt idx="81">
                        <c:v>293.3</c:v>
                      </c:pt>
                      <c:pt idx="82">
                        <c:v>297.60000000000002</c:v>
                      </c:pt>
                      <c:pt idx="83">
                        <c:v>302.5</c:v>
                      </c:pt>
                      <c:pt idx="84">
                        <c:v>306.10000000000002</c:v>
                      </c:pt>
                      <c:pt idx="85">
                        <c:v>311.3</c:v>
                      </c:pt>
                      <c:pt idx="86">
                        <c:v>316.5</c:v>
                      </c:pt>
                      <c:pt idx="87">
                        <c:v>321.39999999999998</c:v>
                      </c:pt>
                      <c:pt idx="88">
                        <c:v>327.3</c:v>
                      </c:pt>
                      <c:pt idx="89">
                        <c:v>332.8</c:v>
                      </c:pt>
                      <c:pt idx="90">
                        <c:v>340</c:v>
                      </c:pt>
                      <c:pt idx="91">
                        <c:v>346.4</c:v>
                      </c:pt>
                      <c:pt idx="92">
                        <c:v>354.1</c:v>
                      </c:pt>
                      <c:pt idx="93">
                        <c:v>361.9</c:v>
                      </c:pt>
                      <c:pt idx="94">
                        <c:v>370.1</c:v>
                      </c:pt>
                      <c:pt idx="95">
                        <c:v>380.3</c:v>
                      </c:pt>
                      <c:pt idx="96">
                        <c:v>391.4</c:v>
                      </c:pt>
                      <c:pt idx="97">
                        <c:v>404.6</c:v>
                      </c:pt>
                      <c:pt idx="98">
                        <c:v>421.7</c:v>
                      </c:pt>
                      <c:pt idx="99">
                        <c:v>446.5</c:v>
                      </c:pt>
                      <c:pt idx="100">
                        <c:v>465.6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3EE7-42F8-9B0B-A07A8C1580B4}"/>
                  </c:ext>
                </c:extLst>
              </c15:ser>
            </c15:filteredScatterSeries>
            <c15:filteredScatterSeries>
              <c15:ser>
                <c:idx val="26"/>
                <c:order val="33"/>
                <c:tx>
                  <c:v>LTO Aging 4</c:v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'!$M$116:$M$216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34.299999999999997</c:v>
                      </c:pt>
                      <c:pt idx="1">
                        <c:v>36</c:v>
                      </c:pt>
                      <c:pt idx="2">
                        <c:v>57.3</c:v>
                      </c:pt>
                      <c:pt idx="3">
                        <c:v>68.2</c:v>
                      </c:pt>
                      <c:pt idx="4">
                        <c:v>69.099999999999994</c:v>
                      </c:pt>
                      <c:pt idx="5">
                        <c:v>83.2</c:v>
                      </c:pt>
                      <c:pt idx="6">
                        <c:v>88</c:v>
                      </c:pt>
                      <c:pt idx="7">
                        <c:v>90.7</c:v>
                      </c:pt>
                      <c:pt idx="8">
                        <c:v>98.1</c:v>
                      </c:pt>
                      <c:pt idx="9">
                        <c:v>98.7</c:v>
                      </c:pt>
                      <c:pt idx="10">
                        <c:v>101.7</c:v>
                      </c:pt>
                      <c:pt idx="11">
                        <c:v>102.8</c:v>
                      </c:pt>
                      <c:pt idx="12">
                        <c:v>112.8</c:v>
                      </c:pt>
                      <c:pt idx="13">
                        <c:v>116.9</c:v>
                      </c:pt>
                      <c:pt idx="14">
                        <c:v>117.9</c:v>
                      </c:pt>
                      <c:pt idx="15">
                        <c:v>119.7</c:v>
                      </c:pt>
                      <c:pt idx="16">
                        <c:v>126.1</c:v>
                      </c:pt>
                      <c:pt idx="17">
                        <c:v>126.8</c:v>
                      </c:pt>
                      <c:pt idx="18">
                        <c:v>127.6</c:v>
                      </c:pt>
                      <c:pt idx="19">
                        <c:v>133.4</c:v>
                      </c:pt>
                      <c:pt idx="20">
                        <c:v>137.69999999999999</c:v>
                      </c:pt>
                      <c:pt idx="21">
                        <c:v>140.4</c:v>
                      </c:pt>
                      <c:pt idx="22">
                        <c:v>142.9</c:v>
                      </c:pt>
                      <c:pt idx="23">
                        <c:v>144.69999999999999</c:v>
                      </c:pt>
                      <c:pt idx="24">
                        <c:v>146.80000000000001</c:v>
                      </c:pt>
                      <c:pt idx="25">
                        <c:v>151.5</c:v>
                      </c:pt>
                      <c:pt idx="26">
                        <c:v>152</c:v>
                      </c:pt>
                      <c:pt idx="27">
                        <c:v>154</c:v>
                      </c:pt>
                      <c:pt idx="28">
                        <c:v>158.6</c:v>
                      </c:pt>
                      <c:pt idx="29">
                        <c:v>160.9</c:v>
                      </c:pt>
                      <c:pt idx="30">
                        <c:v>162.80000000000001</c:v>
                      </c:pt>
                      <c:pt idx="31">
                        <c:v>165.8</c:v>
                      </c:pt>
                      <c:pt idx="32">
                        <c:v>166.7</c:v>
                      </c:pt>
                      <c:pt idx="33">
                        <c:v>169.1</c:v>
                      </c:pt>
                      <c:pt idx="34">
                        <c:v>170.7</c:v>
                      </c:pt>
                      <c:pt idx="35">
                        <c:v>174.6</c:v>
                      </c:pt>
                      <c:pt idx="36">
                        <c:v>175.2</c:v>
                      </c:pt>
                      <c:pt idx="37">
                        <c:v>176.9</c:v>
                      </c:pt>
                      <c:pt idx="38">
                        <c:v>179.9</c:v>
                      </c:pt>
                      <c:pt idx="39">
                        <c:v>182.5</c:v>
                      </c:pt>
                      <c:pt idx="40">
                        <c:v>184.6</c:v>
                      </c:pt>
                      <c:pt idx="41">
                        <c:v>187.9</c:v>
                      </c:pt>
                      <c:pt idx="42">
                        <c:v>189.3</c:v>
                      </c:pt>
                      <c:pt idx="43">
                        <c:v>192.5</c:v>
                      </c:pt>
                      <c:pt idx="44">
                        <c:v>195.7</c:v>
                      </c:pt>
                      <c:pt idx="45">
                        <c:v>196.9</c:v>
                      </c:pt>
                      <c:pt idx="46">
                        <c:v>197.6</c:v>
                      </c:pt>
                      <c:pt idx="47">
                        <c:v>201.3</c:v>
                      </c:pt>
                      <c:pt idx="48">
                        <c:v>203.4</c:v>
                      </c:pt>
                      <c:pt idx="49">
                        <c:v>205.5</c:v>
                      </c:pt>
                      <c:pt idx="50">
                        <c:v>208.1</c:v>
                      </c:pt>
                      <c:pt idx="51">
                        <c:v>210.6</c:v>
                      </c:pt>
                      <c:pt idx="52">
                        <c:v>213.4</c:v>
                      </c:pt>
                      <c:pt idx="53">
                        <c:v>216.2</c:v>
                      </c:pt>
                      <c:pt idx="54">
                        <c:v>217.1</c:v>
                      </c:pt>
                      <c:pt idx="55">
                        <c:v>219.4</c:v>
                      </c:pt>
                      <c:pt idx="56">
                        <c:v>222.1</c:v>
                      </c:pt>
                      <c:pt idx="57">
                        <c:v>225.2</c:v>
                      </c:pt>
                      <c:pt idx="58">
                        <c:v>227.8</c:v>
                      </c:pt>
                      <c:pt idx="59">
                        <c:v>230.1</c:v>
                      </c:pt>
                      <c:pt idx="60">
                        <c:v>232.8</c:v>
                      </c:pt>
                      <c:pt idx="61">
                        <c:v>235.6</c:v>
                      </c:pt>
                      <c:pt idx="62">
                        <c:v>236.7</c:v>
                      </c:pt>
                      <c:pt idx="63">
                        <c:v>239.9</c:v>
                      </c:pt>
                      <c:pt idx="64">
                        <c:v>243.5</c:v>
                      </c:pt>
                      <c:pt idx="65">
                        <c:v>246.6</c:v>
                      </c:pt>
                      <c:pt idx="66">
                        <c:v>249.5</c:v>
                      </c:pt>
                      <c:pt idx="67">
                        <c:v>253.1</c:v>
                      </c:pt>
                      <c:pt idx="68">
                        <c:v>254.9</c:v>
                      </c:pt>
                      <c:pt idx="69">
                        <c:v>257.10000000000002</c:v>
                      </c:pt>
                      <c:pt idx="70">
                        <c:v>260.89999999999998</c:v>
                      </c:pt>
                      <c:pt idx="71">
                        <c:v>264.2</c:v>
                      </c:pt>
                      <c:pt idx="72">
                        <c:v>266.8</c:v>
                      </c:pt>
                      <c:pt idx="73">
                        <c:v>270.7</c:v>
                      </c:pt>
                      <c:pt idx="74">
                        <c:v>272.39999999999998</c:v>
                      </c:pt>
                      <c:pt idx="75">
                        <c:v>276.39999999999998</c:v>
                      </c:pt>
                      <c:pt idx="76">
                        <c:v>280.2</c:v>
                      </c:pt>
                      <c:pt idx="77">
                        <c:v>283.60000000000002</c:v>
                      </c:pt>
                      <c:pt idx="78">
                        <c:v>287.39999999999998</c:v>
                      </c:pt>
                      <c:pt idx="79">
                        <c:v>290.39999999999998</c:v>
                      </c:pt>
                      <c:pt idx="80">
                        <c:v>295.10000000000002</c:v>
                      </c:pt>
                      <c:pt idx="81">
                        <c:v>298.8</c:v>
                      </c:pt>
                      <c:pt idx="82">
                        <c:v>302.7</c:v>
                      </c:pt>
                      <c:pt idx="83">
                        <c:v>306.5</c:v>
                      </c:pt>
                      <c:pt idx="84">
                        <c:v>311</c:v>
                      </c:pt>
                      <c:pt idx="85">
                        <c:v>315.89999999999998</c:v>
                      </c:pt>
                      <c:pt idx="86">
                        <c:v>319.8</c:v>
                      </c:pt>
                      <c:pt idx="87">
                        <c:v>325.2</c:v>
                      </c:pt>
                      <c:pt idx="88">
                        <c:v>330.5</c:v>
                      </c:pt>
                      <c:pt idx="89">
                        <c:v>336.4</c:v>
                      </c:pt>
                      <c:pt idx="90">
                        <c:v>343.1</c:v>
                      </c:pt>
                      <c:pt idx="91">
                        <c:v>349</c:v>
                      </c:pt>
                      <c:pt idx="92">
                        <c:v>356.2</c:v>
                      </c:pt>
                      <c:pt idx="93">
                        <c:v>363.6</c:v>
                      </c:pt>
                      <c:pt idx="94">
                        <c:v>371.8</c:v>
                      </c:pt>
                      <c:pt idx="95">
                        <c:v>381.3</c:v>
                      </c:pt>
                      <c:pt idx="96">
                        <c:v>392.4</c:v>
                      </c:pt>
                      <c:pt idx="97">
                        <c:v>405.8</c:v>
                      </c:pt>
                      <c:pt idx="98">
                        <c:v>422.8</c:v>
                      </c:pt>
                      <c:pt idx="99">
                        <c:v>447.9</c:v>
                      </c:pt>
                      <c:pt idx="100">
                        <c:v>466.8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3EE7-42F8-9B0B-A07A8C1580B4}"/>
                  </c:ext>
                </c:extLst>
              </c15:ser>
            </c15:filteredScatterSeries>
            <c15:filteredScatterSeries>
              <c15:ser>
                <c:idx val="27"/>
                <c:order val="34"/>
                <c:tx>
                  <c:v>LTO D5 LS1</c:v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'!$N$116:$N$216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55.5</c:v>
                      </c:pt>
                      <c:pt idx="1">
                        <c:v>60.9</c:v>
                      </c:pt>
                      <c:pt idx="2">
                        <c:v>68.5</c:v>
                      </c:pt>
                      <c:pt idx="3">
                        <c:v>82.8</c:v>
                      </c:pt>
                      <c:pt idx="4">
                        <c:v>87.7</c:v>
                      </c:pt>
                      <c:pt idx="5">
                        <c:v>90.5</c:v>
                      </c:pt>
                      <c:pt idx="6">
                        <c:v>97.9</c:v>
                      </c:pt>
                      <c:pt idx="7">
                        <c:v>98.5</c:v>
                      </c:pt>
                      <c:pt idx="8">
                        <c:v>101.7</c:v>
                      </c:pt>
                      <c:pt idx="9">
                        <c:v>102.8</c:v>
                      </c:pt>
                      <c:pt idx="10">
                        <c:v>112.7</c:v>
                      </c:pt>
                      <c:pt idx="11">
                        <c:v>116.8</c:v>
                      </c:pt>
                      <c:pt idx="12">
                        <c:v>117.7</c:v>
                      </c:pt>
                      <c:pt idx="13">
                        <c:v>119.2</c:v>
                      </c:pt>
                      <c:pt idx="14">
                        <c:v>125.2</c:v>
                      </c:pt>
                      <c:pt idx="15">
                        <c:v>126.7</c:v>
                      </c:pt>
                      <c:pt idx="16">
                        <c:v>127.1</c:v>
                      </c:pt>
                      <c:pt idx="17">
                        <c:v>132.6</c:v>
                      </c:pt>
                      <c:pt idx="18">
                        <c:v>134.1</c:v>
                      </c:pt>
                      <c:pt idx="19">
                        <c:v>138.19999999999999</c:v>
                      </c:pt>
                      <c:pt idx="20">
                        <c:v>140.6</c:v>
                      </c:pt>
                      <c:pt idx="21">
                        <c:v>143</c:v>
                      </c:pt>
                      <c:pt idx="22">
                        <c:v>144.80000000000001</c:v>
                      </c:pt>
                      <c:pt idx="23">
                        <c:v>146.4</c:v>
                      </c:pt>
                      <c:pt idx="24">
                        <c:v>151.30000000000001</c:v>
                      </c:pt>
                      <c:pt idx="25">
                        <c:v>152</c:v>
                      </c:pt>
                      <c:pt idx="26">
                        <c:v>152.5</c:v>
                      </c:pt>
                      <c:pt idx="27">
                        <c:v>156.80000000000001</c:v>
                      </c:pt>
                      <c:pt idx="28">
                        <c:v>159.80000000000001</c:v>
                      </c:pt>
                      <c:pt idx="29">
                        <c:v>161.80000000000001</c:v>
                      </c:pt>
                      <c:pt idx="30">
                        <c:v>163.19999999999999</c:v>
                      </c:pt>
                      <c:pt idx="31">
                        <c:v>166.2</c:v>
                      </c:pt>
                      <c:pt idx="32">
                        <c:v>166.9</c:v>
                      </c:pt>
                      <c:pt idx="33">
                        <c:v>169.4</c:v>
                      </c:pt>
                      <c:pt idx="34">
                        <c:v>170.8</c:v>
                      </c:pt>
                      <c:pt idx="35">
                        <c:v>174.7</c:v>
                      </c:pt>
                      <c:pt idx="36">
                        <c:v>175.3</c:v>
                      </c:pt>
                      <c:pt idx="37">
                        <c:v>176.7</c:v>
                      </c:pt>
                      <c:pt idx="38">
                        <c:v>179.6</c:v>
                      </c:pt>
                      <c:pt idx="39">
                        <c:v>181.8</c:v>
                      </c:pt>
                      <c:pt idx="40">
                        <c:v>183.9</c:v>
                      </c:pt>
                      <c:pt idx="41">
                        <c:v>186.5</c:v>
                      </c:pt>
                      <c:pt idx="42">
                        <c:v>188.8</c:v>
                      </c:pt>
                      <c:pt idx="43">
                        <c:v>190.3</c:v>
                      </c:pt>
                      <c:pt idx="44">
                        <c:v>194.1</c:v>
                      </c:pt>
                      <c:pt idx="45">
                        <c:v>196.5</c:v>
                      </c:pt>
                      <c:pt idx="46">
                        <c:v>197.2</c:v>
                      </c:pt>
                      <c:pt idx="47">
                        <c:v>198.8</c:v>
                      </c:pt>
                      <c:pt idx="48">
                        <c:v>202.2</c:v>
                      </c:pt>
                      <c:pt idx="49">
                        <c:v>203.9</c:v>
                      </c:pt>
                      <c:pt idx="50">
                        <c:v>206</c:v>
                      </c:pt>
                      <c:pt idx="51">
                        <c:v>208.4</c:v>
                      </c:pt>
                      <c:pt idx="52">
                        <c:v>210.9</c:v>
                      </c:pt>
                      <c:pt idx="53">
                        <c:v>213.5</c:v>
                      </c:pt>
                      <c:pt idx="54">
                        <c:v>216.3</c:v>
                      </c:pt>
                      <c:pt idx="55">
                        <c:v>217.2</c:v>
                      </c:pt>
                      <c:pt idx="56">
                        <c:v>219.5</c:v>
                      </c:pt>
                      <c:pt idx="57">
                        <c:v>222</c:v>
                      </c:pt>
                      <c:pt idx="58">
                        <c:v>225.1</c:v>
                      </c:pt>
                      <c:pt idx="59">
                        <c:v>227.6</c:v>
                      </c:pt>
                      <c:pt idx="60">
                        <c:v>229.8</c:v>
                      </c:pt>
                      <c:pt idx="61">
                        <c:v>232.2</c:v>
                      </c:pt>
                      <c:pt idx="62">
                        <c:v>235.6</c:v>
                      </c:pt>
                      <c:pt idx="63">
                        <c:v>236.5</c:v>
                      </c:pt>
                      <c:pt idx="64">
                        <c:v>239.3</c:v>
                      </c:pt>
                      <c:pt idx="65">
                        <c:v>242.8</c:v>
                      </c:pt>
                      <c:pt idx="66">
                        <c:v>246</c:v>
                      </c:pt>
                      <c:pt idx="67">
                        <c:v>248.9</c:v>
                      </c:pt>
                      <c:pt idx="68">
                        <c:v>252</c:v>
                      </c:pt>
                      <c:pt idx="69">
                        <c:v>254.8</c:v>
                      </c:pt>
                      <c:pt idx="70">
                        <c:v>256.3</c:v>
                      </c:pt>
                      <c:pt idx="71">
                        <c:v>259.8</c:v>
                      </c:pt>
                      <c:pt idx="72">
                        <c:v>263.60000000000002</c:v>
                      </c:pt>
                      <c:pt idx="73">
                        <c:v>266</c:v>
                      </c:pt>
                      <c:pt idx="74">
                        <c:v>269.8</c:v>
                      </c:pt>
                      <c:pt idx="75">
                        <c:v>272.10000000000002</c:v>
                      </c:pt>
                      <c:pt idx="76">
                        <c:v>275.5</c:v>
                      </c:pt>
                      <c:pt idx="77">
                        <c:v>279.60000000000002</c:v>
                      </c:pt>
                      <c:pt idx="78">
                        <c:v>283</c:v>
                      </c:pt>
                      <c:pt idx="79">
                        <c:v>287.2</c:v>
                      </c:pt>
                      <c:pt idx="80">
                        <c:v>289.7</c:v>
                      </c:pt>
                      <c:pt idx="81">
                        <c:v>294.8</c:v>
                      </c:pt>
                      <c:pt idx="82">
                        <c:v>298.39999999999998</c:v>
                      </c:pt>
                      <c:pt idx="83">
                        <c:v>302.7</c:v>
                      </c:pt>
                      <c:pt idx="84">
                        <c:v>306.3</c:v>
                      </c:pt>
                      <c:pt idx="85">
                        <c:v>311</c:v>
                      </c:pt>
                      <c:pt idx="86">
                        <c:v>316.10000000000002</c:v>
                      </c:pt>
                      <c:pt idx="87">
                        <c:v>320.2</c:v>
                      </c:pt>
                      <c:pt idx="88">
                        <c:v>325.89999999999998</c:v>
                      </c:pt>
                      <c:pt idx="89">
                        <c:v>331.1</c:v>
                      </c:pt>
                      <c:pt idx="90">
                        <c:v>337.7</c:v>
                      </c:pt>
                      <c:pt idx="91">
                        <c:v>344.5</c:v>
                      </c:pt>
                      <c:pt idx="92">
                        <c:v>351.2</c:v>
                      </c:pt>
                      <c:pt idx="93">
                        <c:v>358.5</c:v>
                      </c:pt>
                      <c:pt idx="94">
                        <c:v>367.4</c:v>
                      </c:pt>
                      <c:pt idx="95">
                        <c:v>376.9</c:v>
                      </c:pt>
                      <c:pt idx="96">
                        <c:v>388.1</c:v>
                      </c:pt>
                      <c:pt idx="97">
                        <c:v>401.6</c:v>
                      </c:pt>
                      <c:pt idx="98">
                        <c:v>419</c:v>
                      </c:pt>
                      <c:pt idx="99">
                        <c:v>444.7</c:v>
                      </c:pt>
                      <c:pt idx="100">
                        <c:v>465.4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3EE7-42F8-9B0B-A07A8C1580B4}"/>
                  </c:ext>
                </c:extLst>
              </c15:ser>
            </c15:filteredScatterSeries>
            <c15:filteredScatterSeries>
              <c15:ser>
                <c:idx val="36"/>
                <c:order val="35"/>
                <c:tx>
                  <c:v>LTO D6 LS2</c:v>
                </c:tx>
                <c:spPr>
                  <a:ln w="19050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'!$O$116:$O$216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60.5</c:v>
                      </c:pt>
                      <c:pt idx="1">
                        <c:v>68.2</c:v>
                      </c:pt>
                      <c:pt idx="2">
                        <c:v>87.1</c:v>
                      </c:pt>
                      <c:pt idx="3">
                        <c:v>92.4</c:v>
                      </c:pt>
                      <c:pt idx="4">
                        <c:v>98</c:v>
                      </c:pt>
                      <c:pt idx="5">
                        <c:v>101.4</c:v>
                      </c:pt>
                      <c:pt idx="6">
                        <c:v>105.9</c:v>
                      </c:pt>
                      <c:pt idx="7">
                        <c:v>114.4</c:v>
                      </c:pt>
                      <c:pt idx="8">
                        <c:v>117</c:v>
                      </c:pt>
                      <c:pt idx="9">
                        <c:v>118.4</c:v>
                      </c:pt>
                      <c:pt idx="10">
                        <c:v>122</c:v>
                      </c:pt>
                      <c:pt idx="11">
                        <c:v>126.2</c:v>
                      </c:pt>
                      <c:pt idx="12">
                        <c:v>126.8</c:v>
                      </c:pt>
                      <c:pt idx="13">
                        <c:v>127.2</c:v>
                      </c:pt>
                      <c:pt idx="14">
                        <c:v>132.80000000000001</c:v>
                      </c:pt>
                      <c:pt idx="15">
                        <c:v>134.30000000000001</c:v>
                      </c:pt>
                      <c:pt idx="16">
                        <c:v>138.19999999999999</c:v>
                      </c:pt>
                      <c:pt idx="17">
                        <c:v>140.5</c:v>
                      </c:pt>
                      <c:pt idx="18">
                        <c:v>142.80000000000001</c:v>
                      </c:pt>
                      <c:pt idx="19">
                        <c:v>144.4</c:v>
                      </c:pt>
                      <c:pt idx="20">
                        <c:v>145.69999999999999</c:v>
                      </c:pt>
                      <c:pt idx="21">
                        <c:v>147.5</c:v>
                      </c:pt>
                      <c:pt idx="22">
                        <c:v>151.6</c:v>
                      </c:pt>
                      <c:pt idx="23">
                        <c:v>152.1</c:v>
                      </c:pt>
                      <c:pt idx="24">
                        <c:v>152.5</c:v>
                      </c:pt>
                      <c:pt idx="25">
                        <c:v>155.80000000000001</c:v>
                      </c:pt>
                      <c:pt idx="26">
                        <c:v>159</c:v>
                      </c:pt>
                      <c:pt idx="27">
                        <c:v>160.80000000000001</c:v>
                      </c:pt>
                      <c:pt idx="28">
                        <c:v>162.69999999999999</c:v>
                      </c:pt>
                      <c:pt idx="29">
                        <c:v>164.1</c:v>
                      </c:pt>
                      <c:pt idx="30">
                        <c:v>166.3</c:v>
                      </c:pt>
                      <c:pt idx="31">
                        <c:v>166.9</c:v>
                      </c:pt>
                      <c:pt idx="32">
                        <c:v>168.5</c:v>
                      </c:pt>
                      <c:pt idx="33">
                        <c:v>170.2</c:v>
                      </c:pt>
                      <c:pt idx="34">
                        <c:v>173.5</c:v>
                      </c:pt>
                      <c:pt idx="35">
                        <c:v>174.9</c:v>
                      </c:pt>
                      <c:pt idx="36">
                        <c:v>175.4</c:v>
                      </c:pt>
                      <c:pt idx="37">
                        <c:v>176.3</c:v>
                      </c:pt>
                      <c:pt idx="38">
                        <c:v>178.6</c:v>
                      </c:pt>
                      <c:pt idx="39">
                        <c:v>180.6</c:v>
                      </c:pt>
                      <c:pt idx="40">
                        <c:v>182.8</c:v>
                      </c:pt>
                      <c:pt idx="41">
                        <c:v>184.4</c:v>
                      </c:pt>
                      <c:pt idx="42">
                        <c:v>186.5</c:v>
                      </c:pt>
                      <c:pt idx="43">
                        <c:v>188.7</c:v>
                      </c:pt>
                      <c:pt idx="44">
                        <c:v>189.9</c:v>
                      </c:pt>
                      <c:pt idx="45">
                        <c:v>192.4</c:v>
                      </c:pt>
                      <c:pt idx="46">
                        <c:v>195</c:v>
                      </c:pt>
                      <c:pt idx="47">
                        <c:v>196.9</c:v>
                      </c:pt>
                      <c:pt idx="48">
                        <c:v>197.4</c:v>
                      </c:pt>
                      <c:pt idx="49">
                        <c:v>198.5</c:v>
                      </c:pt>
                      <c:pt idx="50">
                        <c:v>201.6</c:v>
                      </c:pt>
                      <c:pt idx="51">
                        <c:v>203.2</c:v>
                      </c:pt>
                      <c:pt idx="52">
                        <c:v>204.9</c:v>
                      </c:pt>
                      <c:pt idx="53">
                        <c:v>207</c:v>
                      </c:pt>
                      <c:pt idx="54">
                        <c:v>209</c:v>
                      </c:pt>
                      <c:pt idx="55">
                        <c:v>211.1</c:v>
                      </c:pt>
                      <c:pt idx="56">
                        <c:v>213.6</c:v>
                      </c:pt>
                      <c:pt idx="57">
                        <c:v>216.1</c:v>
                      </c:pt>
                      <c:pt idx="58">
                        <c:v>217.1</c:v>
                      </c:pt>
                      <c:pt idx="59">
                        <c:v>218.5</c:v>
                      </c:pt>
                      <c:pt idx="60">
                        <c:v>220.4</c:v>
                      </c:pt>
                      <c:pt idx="61">
                        <c:v>223.1</c:v>
                      </c:pt>
                      <c:pt idx="62">
                        <c:v>225.6</c:v>
                      </c:pt>
                      <c:pt idx="63">
                        <c:v>228</c:v>
                      </c:pt>
                      <c:pt idx="64">
                        <c:v>230</c:v>
                      </c:pt>
                      <c:pt idx="65">
                        <c:v>232.1</c:v>
                      </c:pt>
                      <c:pt idx="66">
                        <c:v>235.5</c:v>
                      </c:pt>
                      <c:pt idx="67">
                        <c:v>236.3</c:v>
                      </c:pt>
                      <c:pt idx="68">
                        <c:v>238</c:v>
                      </c:pt>
                      <c:pt idx="69">
                        <c:v>241.1</c:v>
                      </c:pt>
                      <c:pt idx="70">
                        <c:v>244.6</c:v>
                      </c:pt>
                      <c:pt idx="71">
                        <c:v>247.4</c:v>
                      </c:pt>
                      <c:pt idx="72">
                        <c:v>250.3</c:v>
                      </c:pt>
                      <c:pt idx="73">
                        <c:v>253.8</c:v>
                      </c:pt>
                      <c:pt idx="74">
                        <c:v>255.2</c:v>
                      </c:pt>
                      <c:pt idx="75">
                        <c:v>257.3</c:v>
                      </c:pt>
                      <c:pt idx="76">
                        <c:v>261.2</c:v>
                      </c:pt>
                      <c:pt idx="77">
                        <c:v>264.60000000000002</c:v>
                      </c:pt>
                      <c:pt idx="78">
                        <c:v>267.2</c:v>
                      </c:pt>
                      <c:pt idx="79">
                        <c:v>271.3</c:v>
                      </c:pt>
                      <c:pt idx="80">
                        <c:v>272.89999999999998</c:v>
                      </c:pt>
                      <c:pt idx="81">
                        <c:v>277.5</c:v>
                      </c:pt>
                      <c:pt idx="82">
                        <c:v>281.5</c:v>
                      </c:pt>
                      <c:pt idx="83">
                        <c:v>285.8</c:v>
                      </c:pt>
                      <c:pt idx="84">
                        <c:v>288.39999999999998</c:v>
                      </c:pt>
                      <c:pt idx="85">
                        <c:v>293.8</c:v>
                      </c:pt>
                      <c:pt idx="86">
                        <c:v>298.10000000000002</c:v>
                      </c:pt>
                      <c:pt idx="87">
                        <c:v>302.7</c:v>
                      </c:pt>
                      <c:pt idx="88">
                        <c:v>307.10000000000002</c:v>
                      </c:pt>
                      <c:pt idx="89">
                        <c:v>312.5</c:v>
                      </c:pt>
                      <c:pt idx="90">
                        <c:v>317.5</c:v>
                      </c:pt>
                      <c:pt idx="91">
                        <c:v>324.39999999999998</c:v>
                      </c:pt>
                      <c:pt idx="92">
                        <c:v>330.9</c:v>
                      </c:pt>
                      <c:pt idx="93">
                        <c:v>339.2</c:v>
                      </c:pt>
                      <c:pt idx="94">
                        <c:v>347.3</c:v>
                      </c:pt>
                      <c:pt idx="95">
                        <c:v>357.1</c:v>
                      </c:pt>
                      <c:pt idx="96">
                        <c:v>368.6</c:v>
                      </c:pt>
                      <c:pt idx="97">
                        <c:v>381.9</c:v>
                      </c:pt>
                      <c:pt idx="98">
                        <c:v>400.5</c:v>
                      </c:pt>
                      <c:pt idx="99">
                        <c:v>427</c:v>
                      </c:pt>
                      <c:pt idx="100">
                        <c:v>449.2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1-3EE7-42F8-9B0B-A07A8C1580B4}"/>
                  </c:ext>
                </c:extLst>
              </c15:ser>
            </c15:filteredScatterSeries>
            <c15:filteredScatterSeries>
              <c15:ser>
                <c:idx val="37"/>
                <c:order val="36"/>
                <c:tx>
                  <c:v>LTO D7 LS3</c:v>
                </c:tx>
                <c:spPr>
                  <a:ln w="19050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'!$P$116:$P$216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56</c:v>
                      </c:pt>
                      <c:pt idx="1">
                        <c:v>67.599999999999994</c:v>
                      </c:pt>
                      <c:pt idx="2">
                        <c:v>76.400000000000006</c:v>
                      </c:pt>
                      <c:pt idx="3">
                        <c:v>87.6</c:v>
                      </c:pt>
                      <c:pt idx="4">
                        <c:v>91.8</c:v>
                      </c:pt>
                      <c:pt idx="5">
                        <c:v>98</c:v>
                      </c:pt>
                      <c:pt idx="6">
                        <c:v>98.5</c:v>
                      </c:pt>
                      <c:pt idx="7">
                        <c:v>101.9</c:v>
                      </c:pt>
                      <c:pt idx="8">
                        <c:v>107.6</c:v>
                      </c:pt>
                      <c:pt idx="9">
                        <c:v>112.9</c:v>
                      </c:pt>
                      <c:pt idx="10">
                        <c:v>116.8</c:v>
                      </c:pt>
                      <c:pt idx="11">
                        <c:v>117.6</c:v>
                      </c:pt>
                      <c:pt idx="12">
                        <c:v>119</c:v>
                      </c:pt>
                      <c:pt idx="13">
                        <c:v>123</c:v>
                      </c:pt>
                      <c:pt idx="14">
                        <c:v>126.5</c:v>
                      </c:pt>
                      <c:pt idx="15">
                        <c:v>127</c:v>
                      </c:pt>
                      <c:pt idx="16">
                        <c:v>127.4</c:v>
                      </c:pt>
                      <c:pt idx="17">
                        <c:v>132.80000000000001</c:v>
                      </c:pt>
                      <c:pt idx="18">
                        <c:v>134.1</c:v>
                      </c:pt>
                      <c:pt idx="19">
                        <c:v>138</c:v>
                      </c:pt>
                      <c:pt idx="20">
                        <c:v>140.4</c:v>
                      </c:pt>
                      <c:pt idx="21">
                        <c:v>142.5</c:v>
                      </c:pt>
                      <c:pt idx="22">
                        <c:v>143.69999999999999</c:v>
                      </c:pt>
                      <c:pt idx="23">
                        <c:v>145.19999999999999</c:v>
                      </c:pt>
                      <c:pt idx="24">
                        <c:v>146.9</c:v>
                      </c:pt>
                      <c:pt idx="25">
                        <c:v>151.30000000000001</c:v>
                      </c:pt>
                      <c:pt idx="26">
                        <c:v>152</c:v>
                      </c:pt>
                      <c:pt idx="27">
                        <c:v>152.4</c:v>
                      </c:pt>
                      <c:pt idx="28">
                        <c:v>153.6</c:v>
                      </c:pt>
                      <c:pt idx="29">
                        <c:v>157.19999999999999</c:v>
                      </c:pt>
                      <c:pt idx="30">
                        <c:v>159.80000000000001</c:v>
                      </c:pt>
                      <c:pt idx="31">
                        <c:v>161.69999999999999</c:v>
                      </c:pt>
                      <c:pt idx="32">
                        <c:v>163.1</c:v>
                      </c:pt>
                      <c:pt idx="33">
                        <c:v>165.5</c:v>
                      </c:pt>
                      <c:pt idx="34">
                        <c:v>166.6</c:v>
                      </c:pt>
                      <c:pt idx="35">
                        <c:v>167.3</c:v>
                      </c:pt>
                      <c:pt idx="36">
                        <c:v>169.6</c:v>
                      </c:pt>
                      <c:pt idx="37">
                        <c:v>170.7</c:v>
                      </c:pt>
                      <c:pt idx="38">
                        <c:v>174.5</c:v>
                      </c:pt>
                      <c:pt idx="39">
                        <c:v>175.2</c:v>
                      </c:pt>
                      <c:pt idx="40">
                        <c:v>175.7</c:v>
                      </c:pt>
                      <c:pt idx="41">
                        <c:v>177</c:v>
                      </c:pt>
                      <c:pt idx="42">
                        <c:v>179.7</c:v>
                      </c:pt>
                      <c:pt idx="43">
                        <c:v>181.2</c:v>
                      </c:pt>
                      <c:pt idx="44">
                        <c:v>183.3</c:v>
                      </c:pt>
                      <c:pt idx="45">
                        <c:v>184.9</c:v>
                      </c:pt>
                      <c:pt idx="46">
                        <c:v>187.8</c:v>
                      </c:pt>
                      <c:pt idx="47">
                        <c:v>189.1</c:v>
                      </c:pt>
                      <c:pt idx="48">
                        <c:v>190.4</c:v>
                      </c:pt>
                      <c:pt idx="49">
                        <c:v>193.6</c:v>
                      </c:pt>
                      <c:pt idx="50">
                        <c:v>196.2</c:v>
                      </c:pt>
                      <c:pt idx="51">
                        <c:v>197.1</c:v>
                      </c:pt>
                      <c:pt idx="52">
                        <c:v>197.6</c:v>
                      </c:pt>
                      <c:pt idx="53">
                        <c:v>199.8</c:v>
                      </c:pt>
                      <c:pt idx="54">
                        <c:v>202.4</c:v>
                      </c:pt>
                      <c:pt idx="55">
                        <c:v>203.8</c:v>
                      </c:pt>
                      <c:pt idx="56">
                        <c:v>205.5</c:v>
                      </c:pt>
                      <c:pt idx="57">
                        <c:v>207.8</c:v>
                      </c:pt>
                      <c:pt idx="58">
                        <c:v>209.9</c:v>
                      </c:pt>
                      <c:pt idx="59">
                        <c:v>212.2</c:v>
                      </c:pt>
                      <c:pt idx="60">
                        <c:v>214.6</c:v>
                      </c:pt>
                      <c:pt idx="61">
                        <c:v>216.8</c:v>
                      </c:pt>
                      <c:pt idx="62">
                        <c:v>217.4</c:v>
                      </c:pt>
                      <c:pt idx="63">
                        <c:v>219.5</c:v>
                      </c:pt>
                      <c:pt idx="64">
                        <c:v>221.5</c:v>
                      </c:pt>
                      <c:pt idx="65">
                        <c:v>224.3</c:v>
                      </c:pt>
                      <c:pt idx="66">
                        <c:v>226.8</c:v>
                      </c:pt>
                      <c:pt idx="67">
                        <c:v>229</c:v>
                      </c:pt>
                      <c:pt idx="68">
                        <c:v>230.9</c:v>
                      </c:pt>
                      <c:pt idx="69">
                        <c:v>234</c:v>
                      </c:pt>
                      <c:pt idx="70">
                        <c:v>236.1</c:v>
                      </c:pt>
                      <c:pt idx="71">
                        <c:v>236.9</c:v>
                      </c:pt>
                      <c:pt idx="72">
                        <c:v>239.8</c:v>
                      </c:pt>
                      <c:pt idx="73">
                        <c:v>243.3</c:v>
                      </c:pt>
                      <c:pt idx="74">
                        <c:v>246.5</c:v>
                      </c:pt>
                      <c:pt idx="75">
                        <c:v>249.5</c:v>
                      </c:pt>
                      <c:pt idx="76">
                        <c:v>252.9</c:v>
                      </c:pt>
                      <c:pt idx="77">
                        <c:v>255</c:v>
                      </c:pt>
                      <c:pt idx="78">
                        <c:v>256.60000000000002</c:v>
                      </c:pt>
                      <c:pt idx="79">
                        <c:v>260.39999999999998</c:v>
                      </c:pt>
                      <c:pt idx="80">
                        <c:v>264.2</c:v>
                      </c:pt>
                      <c:pt idx="81">
                        <c:v>267</c:v>
                      </c:pt>
                      <c:pt idx="82">
                        <c:v>271.3</c:v>
                      </c:pt>
                      <c:pt idx="83">
                        <c:v>273</c:v>
                      </c:pt>
                      <c:pt idx="84">
                        <c:v>278</c:v>
                      </c:pt>
                      <c:pt idx="85">
                        <c:v>282.2</c:v>
                      </c:pt>
                      <c:pt idx="86">
                        <c:v>287.10000000000002</c:v>
                      </c:pt>
                      <c:pt idx="87">
                        <c:v>289.89999999999998</c:v>
                      </c:pt>
                      <c:pt idx="88">
                        <c:v>295.7</c:v>
                      </c:pt>
                      <c:pt idx="89">
                        <c:v>301.2</c:v>
                      </c:pt>
                      <c:pt idx="90">
                        <c:v>304.8</c:v>
                      </c:pt>
                      <c:pt idx="91">
                        <c:v>311.39999999999998</c:v>
                      </c:pt>
                      <c:pt idx="92">
                        <c:v>317.2</c:v>
                      </c:pt>
                      <c:pt idx="93">
                        <c:v>324.89999999999998</c:v>
                      </c:pt>
                      <c:pt idx="94">
                        <c:v>332.4</c:v>
                      </c:pt>
                      <c:pt idx="95">
                        <c:v>343.7</c:v>
                      </c:pt>
                      <c:pt idx="96">
                        <c:v>354.4</c:v>
                      </c:pt>
                      <c:pt idx="97">
                        <c:v>368.4</c:v>
                      </c:pt>
                      <c:pt idx="98">
                        <c:v>386.6</c:v>
                      </c:pt>
                      <c:pt idx="99">
                        <c:v>415.1</c:v>
                      </c:pt>
                      <c:pt idx="100">
                        <c:v>439.4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3EE7-42F8-9B0B-A07A8C1580B4}"/>
                  </c:ext>
                </c:extLst>
              </c15:ser>
            </c15:filteredScatterSeries>
            <c15:filteredScatterSeries>
              <c15:ser>
                <c:idx val="38"/>
                <c:order val="37"/>
                <c:tx>
                  <c:v>LTO D8 LS4</c:v>
                </c:tx>
                <c:spPr>
                  <a:ln w="19050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'!$Q$116:$Q$216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56.3</c:v>
                      </c:pt>
                      <c:pt idx="1">
                        <c:v>67.7</c:v>
                      </c:pt>
                      <c:pt idx="2">
                        <c:v>75.3</c:v>
                      </c:pt>
                      <c:pt idx="3">
                        <c:v>87.4</c:v>
                      </c:pt>
                      <c:pt idx="4">
                        <c:v>90.7</c:v>
                      </c:pt>
                      <c:pt idx="5">
                        <c:v>97.8</c:v>
                      </c:pt>
                      <c:pt idx="6">
                        <c:v>98.3</c:v>
                      </c:pt>
                      <c:pt idx="7">
                        <c:v>101.6</c:v>
                      </c:pt>
                      <c:pt idx="8">
                        <c:v>105.5</c:v>
                      </c:pt>
                      <c:pt idx="9">
                        <c:v>112.9</c:v>
                      </c:pt>
                      <c:pt idx="10">
                        <c:v>116.9</c:v>
                      </c:pt>
                      <c:pt idx="11">
                        <c:v>117.6</c:v>
                      </c:pt>
                      <c:pt idx="12">
                        <c:v>119</c:v>
                      </c:pt>
                      <c:pt idx="13">
                        <c:v>123.2</c:v>
                      </c:pt>
                      <c:pt idx="14">
                        <c:v>126.5</c:v>
                      </c:pt>
                      <c:pt idx="15">
                        <c:v>126.9</c:v>
                      </c:pt>
                      <c:pt idx="16">
                        <c:v>127.3</c:v>
                      </c:pt>
                      <c:pt idx="17">
                        <c:v>132.80000000000001</c:v>
                      </c:pt>
                      <c:pt idx="18">
                        <c:v>134.1</c:v>
                      </c:pt>
                      <c:pt idx="19">
                        <c:v>137.9</c:v>
                      </c:pt>
                      <c:pt idx="20">
                        <c:v>140.4</c:v>
                      </c:pt>
                      <c:pt idx="21">
                        <c:v>142.4</c:v>
                      </c:pt>
                      <c:pt idx="22">
                        <c:v>143.6</c:v>
                      </c:pt>
                      <c:pt idx="23">
                        <c:v>145.1</c:v>
                      </c:pt>
                      <c:pt idx="24">
                        <c:v>146.80000000000001</c:v>
                      </c:pt>
                      <c:pt idx="25">
                        <c:v>151.19999999999999</c:v>
                      </c:pt>
                      <c:pt idx="26">
                        <c:v>151.9</c:v>
                      </c:pt>
                      <c:pt idx="27">
                        <c:v>152.30000000000001</c:v>
                      </c:pt>
                      <c:pt idx="28">
                        <c:v>153.19999999999999</c:v>
                      </c:pt>
                      <c:pt idx="29">
                        <c:v>157.1</c:v>
                      </c:pt>
                      <c:pt idx="30">
                        <c:v>159.69999999999999</c:v>
                      </c:pt>
                      <c:pt idx="31">
                        <c:v>161.4</c:v>
                      </c:pt>
                      <c:pt idx="32">
                        <c:v>163</c:v>
                      </c:pt>
                      <c:pt idx="33">
                        <c:v>165.2</c:v>
                      </c:pt>
                      <c:pt idx="34">
                        <c:v>166.5</c:v>
                      </c:pt>
                      <c:pt idx="35">
                        <c:v>167.2</c:v>
                      </c:pt>
                      <c:pt idx="36">
                        <c:v>169.4</c:v>
                      </c:pt>
                      <c:pt idx="37">
                        <c:v>170.5</c:v>
                      </c:pt>
                      <c:pt idx="38">
                        <c:v>174.4</c:v>
                      </c:pt>
                      <c:pt idx="39">
                        <c:v>175.1</c:v>
                      </c:pt>
                      <c:pt idx="40">
                        <c:v>175.5</c:v>
                      </c:pt>
                      <c:pt idx="41">
                        <c:v>176.8</c:v>
                      </c:pt>
                      <c:pt idx="42">
                        <c:v>179.5</c:v>
                      </c:pt>
                      <c:pt idx="43">
                        <c:v>181</c:v>
                      </c:pt>
                      <c:pt idx="44">
                        <c:v>183.1</c:v>
                      </c:pt>
                      <c:pt idx="45">
                        <c:v>184.8</c:v>
                      </c:pt>
                      <c:pt idx="46">
                        <c:v>187.6</c:v>
                      </c:pt>
                      <c:pt idx="47">
                        <c:v>189</c:v>
                      </c:pt>
                      <c:pt idx="48">
                        <c:v>190.3</c:v>
                      </c:pt>
                      <c:pt idx="49">
                        <c:v>193.4</c:v>
                      </c:pt>
                      <c:pt idx="50">
                        <c:v>196</c:v>
                      </c:pt>
                      <c:pt idx="51">
                        <c:v>197</c:v>
                      </c:pt>
                      <c:pt idx="52">
                        <c:v>197.4</c:v>
                      </c:pt>
                      <c:pt idx="53">
                        <c:v>199.6</c:v>
                      </c:pt>
                      <c:pt idx="54">
                        <c:v>202.3</c:v>
                      </c:pt>
                      <c:pt idx="55">
                        <c:v>203.6</c:v>
                      </c:pt>
                      <c:pt idx="56">
                        <c:v>205.4</c:v>
                      </c:pt>
                      <c:pt idx="57">
                        <c:v>207.7</c:v>
                      </c:pt>
                      <c:pt idx="58">
                        <c:v>209.8</c:v>
                      </c:pt>
                      <c:pt idx="59">
                        <c:v>212.1</c:v>
                      </c:pt>
                      <c:pt idx="60">
                        <c:v>214.5</c:v>
                      </c:pt>
                      <c:pt idx="61">
                        <c:v>216.7</c:v>
                      </c:pt>
                      <c:pt idx="62">
                        <c:v>217.3</c:v>
                      </c:pt>
                      <c:pt idx="63">
                        <c:v>219.4</c:v>
                      </c:pt>
                      <c:pt idx="64">
                        <c:v>221.4</c:v>
                      </c:pt>
                      <c:pt idx="65">
                        <c:v>224.2</c:v>
                      </c:pt>
                      <c:pt idx="66">
                        <c:v>226.8</c:v>
                      </c:pt>
                      <c:pt idx="67">
                        <c:v>229</c:v>
                      </c:pt>
                      <c:pt idx="68">
                        <c:v>230.9</c:v>
                      </c:pt>
                      <c:pt idx="69">
                        <c:v>234.1</c:v>
                      </c:pt>
                      <c:pt idx="70">
                        <c:v>236</c:v>
                      </c:pt>
                      <c:pt idx="71">
                        <c:v>236.9</c:v>
                      </c:pt>
                      <c:pt idx="72">
                        <c:v>239.9</c:v>
                      </c:pt>
                      <c:pt idx="73">
                        <c:v>243.4</c:v>
                      </c:pt>
                      <c:pt idx="74">
                        <c:v>246.6</c:v>
                      </c:pt>
                      <c:pt idx="75">
                        <c:v>249.6</c:v>
                      </c:pt>
                      <c:pt idx="76">
                        <c:v>253.1</c:v>
                      </c:pt>
                      <c:pt idx="77">
                        <c:v>255</c:v>
                      </c:pt>
                      <c:pt idx="78">
                        <c:v>256.8</c:v>
                      </c:pt>
                      <c:pt idx="79">
                        <c:v>260.8</c:v>
                      </c:pt>
                      <c:pt idx="80">
                        <c:v>264.39999999999998</c:v>
                      </c:pt>
                      <c:pt idx="81">
                        <c:v>267.3</c:v>
                      </c:pt>
                      <c:pt idx="82">
                        <c:v>271.39999999999998</c:v>
                      </c:pt>
                      <c:pt idx="83">
                        <c:v>273.39999999999998</c:v>
                      </c:pt>
                      <c:pt idx="84">
                        <c:v>278.5</c:v>
                      </c:pt>
                      <c:pt idx="85">
                        <c:v>282.5</c:v>
                      </c:pt>
                      <c:pt idx="86">
                        <c:v>287.3</c:v>
                      </c:pt>
                      <c:pt idx="87">
                        <c:v>290.60000000000002</c:v>
                      </c:pt>
                      <c:pt idx="88">
                        <c:v>296</c:v>
                      </c:pt>
                      <c:pt idx="89">
                        <c:v>301.89999999999998</c:v>
                      </c:pt>
                      <c:pt idx="90">
                        <c:v>305.5</c:v>
                      </c:pt>
                      <c:pt idx="91">
                        <c:v>312</c:v>
                      </c:pt>
                      <c:pt idx="92">
                        <c:v>317.60000000000002</c:v>
                      </c:pt>
                      <c:pt idx="93">
                        <c:v>325.60000000000002</c:v>
                      </c:pt>
                      <c:pt idx="94">
                        <c:v>333.2</c:v>
                      </c:pt>
                      <c:pt idx="95">
                        <c:v>344.1</c:v>
                      </c:pt>
                      <c:pt idx="96">
                        <c:v>355</c:v>
                      </c:pt>
                      <c:pt idx="97">
                        <c:v>368.6</c:v>
                      </c:pt>
                      <c:pt idx="98">
                        <c:v>386.5</c:v>
                      </c:pt>
                      <c:pt idx="99">
                        <c:v>413.9</c:v>
                      </c:pt>
                      <c:pt idx="100">
                        <c:v>437.2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3EE7-42F8-9B0B-A07A8C1580B4}"/>
                  </c:ext>
                </c:extLst>
              </c15:ser>
            </c15:filteredScatterSeries>
            <c15:filteredScatterSeries>
              <c15:ser>
                <c:idx val="39"/>
                <c:order val="38"/>
                <c:tx>
                  <c:v>LTO D9 LS5</c:v>
                </c:tx>
                <c:spPr>
                  <a:ln w="19050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'!$R$116:$R$216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56.4</c:v>
                      </c:pt>
                      <c:pt idx="1">
                        <c:v>67.7</c:v>
                      </c:pt>
                      <c:pt idx="2">
                        <c:v>82.8</c:v>
                      </c:pt>
                      <c:pt idx="3">
                        <c:v>89.3</c:v>
                      </c:pt>
                      <c:pt idx="4">
                        <c:v>97.1</c:v>
                      </c:pt>
                      <c:pt idx="5">
                        <c:v>98</c:v>
                      </c:pt>
                      <c:pt idx="6">
                        <c:v>100.5</c:v>
                      </c:pt>
                      <c:pt idx="7">
                        <c:v>102.5</c:v>
                      </c:pt>
                      <c:pt idx="8">
                        <c:v>112.4</c:v>
                      </c:pt>
                      <c:pt idx="9">
                        <c:v>116.5</c:v>
                      </c:pt>
                      <c:pt idx="10">
                        <c:v>117.3</c:v>
                      </c:pt>
                      <c:pt idx="11">
                        <c:v>118.7</c:v>
                      </c:pt>
                      <c:pt idx="12">
                        <c:v>122.6</c:v>
                      </c:pt>
                      <c:pt idx="13">
                        <c:v>126.3</c:v>
                      </c:pt>
                      <c:pt idx="14">
                        <c:v>126.8</c:v>
                      </c:pt>
                      <c:pt idx="15">
                        <c:v>127.1</c:v>
                      </c:pt>
                      <c:pt idx="16">
                        <c:v>132.6</c:v>
                      </c:pt>
                      <c:pt idx="17">
                        <c:v>134</c:v>
                      </c:pt>
                      <c:pt idx="18">
                        <c:v>137.80000000000001</c:v>
                      </c:pt>
                      <c:pt idx="19">
                        <c:v>140.30000000000001</c:v>
                      </c:pt>
                      <c:pt idx="20">
                        <c:v>142.5</c:v>
                      </c:pt>
                      <c:pt idx="21">
                        <c:v>143.6</c:v>
                      </c:pt>
                      <c:pt idx="22">
                        <c:v>145.1</c:v>
                      </c:pt>
                      <c:pt idx="23">
                        <c:v>146.80000000000001</c:v>
                      </c:pt>
                      <c:pt idx="24">
                        <c:v>151.19999999999999</c:v>
                      </c:pt>
                      <c:pt idx="25">
                        <c:v>151.80000000000001</c:v>
                      </c:pt>
                      <c:pt idx="26">
                        <c:v>152.19999999999999</c:v>
                      </c:pt>
                      <c:pt idx="27">
                        <c:v>153.6</c:v>
                      </c:pt>
                      <c:pt idx="28">
                        <c:v>157.19999999999999</c:v>
                      </c:pt>
                      <c:pt idx="29">
                        <c:v>159.69999999999999</c:v>
                      </c:pt>
                      <c:pt idx="30">
                        <c:v>161.5</c:v>
                      </c:pt>
                      <c:pt idx="31">
                        <c:v>162.9</c:v>
                      </c:pt>
                      <c:pt idx="32">
                        <c:v>165.4</c:v>
                      </c:pt>
                      <c:pt idx="33">
                        <c:v>166.4</c:v>
                      </c:pt>
                      <c:pt idx="34">
                        <c:v>167.1</c:v>
                      </c:pt>
                      <c:pt idx="35">
                        <c:v>169.3</c:v>
                      </c:pt>
                      <c:pt idx="36">
                        <c:v>170.4</c:v>
                      </c:pt>
                      <c:pt idx="37">
                        <c:v>174.2</c:v>
                      </c:pt>
                      <c:pt idx="38">
                        <c:v>175</c:v>
                      </c:pt>
                      <c:pt idx="39">
                        <c:v>175.4</c:v>
                      </c:pt>
                      <c:pt idx="40">
                        <c:v>176.6</c:v>
                      </c:pt>
                      <c:pt idx="41">
                        <c:v>179.1</c:v>
                      </c:pt>
                      <c:pt idx="42">
                        <c:v>180.7</c:v>
                      </c:pt>
                      <c:pt idx="43">
                        <c:v>182.9</c:v>
                      </c:pt>
                      <c:pt idx="44">
                        <c:v>184.5</c:v>
                      </c:pt>
                      <c:pt idx="45">
                        <c:v>186.9</c:v>
                      </c:pt>
                      <c:pt idx="46">
                        <c:v>188.7</c:v>
                      </c:pt>
                      <c:pt idx="47">
                        <c:v>189.9</c:v>
                      </c:pt>
                      <c:pt idx="48">
                        <c:v>192.5</c:v>
                      </c:pt>
                      <c:pt idx="49">
                        <c:v>195.1</c:v>
                      </c:pt>
                      <c:pt idx="50">
                        <c:v>196.8</c:v>
                      </c:pt>
                      <c:pt idx="51">
                        <c:v>197.3</c:v>
                      </c:pt>
                      <c:pt idx="52">
                        <c:v>198.1</c:v>
                      </c:pt>
                      <c:pt idx="53">
                        <c:v>201.3</c:v>
                      </c:pt>
                      <c:pt idx="54">
                        <c:v>203.1</c:v>
                      </c:pt>
                      <c:pt idx="55">
                        <c:v>204.7</c:v>
                      </c:pt>
                      <c:pt idx="56">
                        <c:v>206.8</c:v>
                      </c:pt>
                      <c:pt idx="57">
                        <c:v>208.8</c:v>
                      </c:pt>
                      <c:pt idx="58">
                        <c:v>211</c:v>
                      </c:pt>
                      <c:pt idx="59">
                        <c:v>213.4</c:v>
                      </c:pt>
                      <c:pt idx="60">
                        <c:v>216</c:v>
                      </c:pt>
                      <c:pt idx="61">
                        <c:v>217</c:v>
                      </c:pt>
                      <c:pt idx="62">
                        <c:v>218</c:v>
                      </c:pt>
                      <c:pt idx="63">
                        <c:v>220</c:v>
                      </c:pt>
                      <c:pt idx="64">
                        <c:v>222.6</c:v>
                      </c:pt>
                      <c:pt idx="65">
                        <c:v>225.3</c:v>
                      </c:pt>
                      <c:pt idx="66">
                        <c:v>227.7</c:v>
                      </c:pt>
                      <c:pt idx="67">
                        <c:v>229.8</c:v>
                      </c:pt>
                      <c:pt idx="68">
                        <c:v>231.8</c:v>
                      </c:pt>
                      <c:pt idx="69">
                        <c:v>235.3</c:v>
                      </c:pt>
                      <c:pt idx="70">
                        <c:v>236.2</c:v>
                      </c:pt>
                      <c:pt idx="71">
                        <c:v>237.8</c:v>
                      </c:pt>
                      <c:pt idx="72">
                        <c:v>240.9</c:v>
                      </c:pt>
                      <c:pt idx="73">
                        <c:v>244.5</c:v>
                      </c:pt>
                      <c:pt idx="74">
                        <c:v>247.5</c:v>
                      </c:pt>
                      <c:pt idx="75">
                        <c:v>250.4</c:v>
                      </c:pt>
                      <c:pt idx="76">
                        <c:v>253.9</c:v>
                      </c:pt>
                      <c:pt idx="77">
                        <c:v>255.2</c:v>
                      </c:pt>
                      <c:pt idx="78">
                        <c:v>257.7</c:v>
                      </c:pt>
                      <c:pt idx="79">
                        <c:v>261.89999999999998</c:v>
                      </c:pt>
                      <c:pt idx="80">
                        <c:v>265.10000000000002</c:v>
                      </c:pt>
                      <c:pt idx="81">
                        <c:v>268.3</c:v>
                      </c:pt>
                      <c:pt idx="82">
                        <c:v>271.7</c:v>
                      </c:pt>
                      <c:pt idx="83">
                        <c:v>274.3</c:v>
                      </c:pt>
                      <c:pt idx="84">
                        <c:v>279.3</c:v>
                      </c:pt>
                      <c:pt idx="85">
                        <c:v>283.3</c:v>
                      </c:pt>
                      <c:pt idx="86">
                        <c:v>287.7</c:v>
                      </c:pt>
                      <c:pt idx="87">
                        <c:v>291.8</c:v>
                      </c:pt>
                      <c:pt idx="88">
                        <c:v>297</c:v>
                      </c:pt>
                      <c:pt idx="89">
                        <c:v>302.39999999999998</c:v>
                      </c:pt>
                      <c:pt idx="90">
                        <c:v>306.8</c:v>
                      </c:pt>
                      <c:pt idx="91">
                        <c:v>313.10000000000002</c:v>
                      </c:pt>
                      <c:pt idx="92">
                        <c:v>318.60000000000002</c:v>
                      </c:pt>
                      <c:pt idx="93">
                        <c:v>327</c:v>
                      </c:pt>
                      <c:pt idx="94">
                        <c:v>335.1</c:v>
                      </c:pt>
                      <c:pt idx="95">
                        <c:v>344.9</c:v>
                      </c:pt>
                      <c:pt idx="96">
                        <c:v>356.7</c:v>
                      </c:pt>
                      <c:pt idx="97">
                        <c:v>370</c:v>
                      </c:pt>
                      <c:pt idx="98">
                        <c:v>389.6</c:v>
                      </c:pt>
                      <c:pt idx="99">
                        <c:v>418.4</c:v>
                      </c:pt>
                      <c:pt idx="100">
                        <c:v>442.6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3EE7-42F8-9B0B-A07A8C1580B4}"/>
                  </c:ext>
                </c:extLst>
              </c15:ser>
            </c15:filteredScatterSeries>
            <c15:filteredScatterSeries>
              <c15:ser>
                <c:idx val="40"/>
                <c:order val="39"/>
                <c:tx>
                  <c:v>LTO D10 LS6</c:v>
                </c:tx>
                <c:spPr>
                  <a:ln w="19050" cap="rnd">
                    <a:solidFill>
                      <a:schemeClr val="accent5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'!$S$116:$S$216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56.9</c:v>
                      </c:pt>
                      <c:pt idx="1">
                        <c:v>68</c:v>
                      </c:pt>
                      <c:pt idx="2">
                        <c:v>82.7</c:v>
                      </c:pt>
                      <c:pt idx="3">
                        <c:v>87.9</c:v>
                      </c:pt>
                      <c:pt idx="4">
                        <c:v>92</c:v>
                      </c:pt>
                      <c:pt idx="5">
                        <c:v>98</c:v>
                      </c:pt>
                      <c:pt idx="6">
                        <c:v>98.5</c:v>
                      </c:pt>
                      <c:pt idx="7">
                        <c:v>101.8</c:v>
                      </c:pt>
                      <c:pt idx="8">
                        <c:v>106</c:v>
                      </c:pt>
                      <c:pt idx="9">
                        <c:v>113.4</c:v>
                      </c:pt>
                      <c:pt idx="10">
                        <c:v>117</c:v>
                      </c:pt>
                      <c:pt idx="11">
                        <c:v>117.8</c:v>
                      </c:pt>
                      <c:pt idx="12">
                        <c:v>119.1</c:v>
                      </c:pt>
                      <c:pt idx="13">
                        <c:v>123</c:v>
                      </c:pt>
                      <c:pt idx="14">
                        <c:v>126.6</c:v>
                      </c:pt>
                      <c:pt idx="15">
                        <c:v>127.1</c:v>
                      </c:pt>
                      <c:pt idx="16">
                        <c:v>127.4</c:v>
                      </c:pt>
                      <c:pt idx="17">
                        <c:v>132.5</c:v>
                      </c:pt>
                      <c:pt idx="18">
                        <c:v>133.9</c:v>
                      </c:pt>
                      <c:pt idx="19">
                        <c:v>136.6</c:v>
                      </c:pt>
                      <c:pt idx="20">
                        <c:v>140</c:v>
                      </c:pt>
                      <c:pt idx="21">
                        <c:v>141</c:v>
                      </c:pt>
                      <c:pt idx="22">
                        <c:v>143.30000000000001</c:v>
                      </c:pt>
                      <c:pt idx="23">
                        <c:v>144.80000000000001</c:v>
                      </c:pt>
                      <c:pt idx="24">
                        <c:v>146</c:v>
                      </c:pt>
                      <c:pt idx="25">
                        <c:v>147.9</c:v>
                      </c:pt>
                      <c:pt idx="26">
                        <c:v>151.69999999999999</c:v>
                      </c:pt>
                      <c:pt idx="27">
                        <c:v>152.30000000000001</c:v>
                      </c:pt>
                      <c:pt idx="28">
                        <c:v>152.6</c:v>
                      </c:pt>
                      <c:pt idx="29">
                        <c:v>154.19999999999999</c:v>
                      </c:pt>
                      <c:pt idx="30">
                        <c:v>157.80000000000001</c:v>
                      </c:pt>
                      <c:pt idx="31">
                        <c:v>160.1</c:v>
                      </c:pt>
                      <c:pt idx="32">
                        <c:v>162.1</c:v>
                      </c:pt>
                      <c:pt idx="33">
                        <c:v>163.19999999999999</c:v>
                      </c:pt>
                      <c:pt idx="34">
                        <c:v>165.8</c:v>
                      </c:pt>
                      <c:pt idx="35">
                        <c:v>166.7</c:v>
                      </c:pt>
                      <c:pt idx="36">
                        <c:v>167.4</c:v>
                      </c:pt>
                      <c:pt idx="37">
                        <c:v>169.6</c:v>
                      </c:pt>
                      <c:pt idx="38">
                        <c:v>170.7</c:v>
                      </c:pt>
                      <c:pt idx="39">
                        <c:v>174.4</c:v>
                      </c:pt>
                      <c:pt idx="40">
                        <c:v>175.3</c:v>
                      </c:pt>
                      <c:pt idx="41">
                        <c:v>175.7</c:v>
                      </c:pt>
                      <c:pt idx="42">
                        <c:v>176.7</c:v>
                      </c:pt>
                      <c:pt idx="43">
                        <c:v>179</c:v>
                      </c:pt>
                      <c:pt idx="44">
                        <c:v>180.7</c:v>
                      </c:pt>
                      <c:pt idx="45">
                        <c:v>183</c:v>
                      </c:pt>
                      <c:pt idx="46">
                        <c:v>184.6</c:v>
                      </c:pt>
                      <c:pt idx="47">
                        <c:v>186.7</c:v>
                      </c:pt>
                      <c:pt idx="48">
                        <c:v>188.9</c:v>
                      </c:pt>
                      <c:pt idx="49">
                        <c:v>190</c:v>
                      </c:pt>
                      <c:pt idx="50">
                        <c:v>192.4</c:v>
                      </c:pt>
                      <c:pt idx="51">
                        <c:v>195.1</c:v>
                      </c:pt>
                      <c:pt idx="52">
                        <c:v>197</c:v>
                      </c:pt>
                      <c:pt idx="53">
                        <c:v>197.5</c:v>
                      </c:pt>
                      <c:pt idx="54">
                        <c:v>198.1</c:v>
                      </c:pt>
                      <c:pt idx="55">
                        <c:v>201.4</c:v>
                      </c:pt>
                      <c:pt idx="56">
                        <c:v>203.2</c:v>
                      </c:pt>
                      <c:pt idx="57">
                        <c:v>204.9</c:v>
                      </c:pt>
                      <c:pt idx="58">
                        <c:v>207</c:v>
                      </c:pt>
                      <c:pt idx="59">
                        <c:v>209</c:v>
                      </c:pt>
                      <c:pt idx="60">
                        <c:v>211.1</c:v>
                      </c:pt>
                      <c:pt idx="61">
                        <c:v>213.6</c:v>
                      </c:pt>
                      <c:pt idx="62">
                        <c:v>216.3</c:v>
                      </c:pt>
                      <c:pt idx="63">
                        <c:v>217.2</c:v>
                      </c:pt>
                      <c:pt idx="64">
                        <c:v>218.5</c:v>
                      </c:pt>
                      <c:pt idx="65">
                        <c:v>220.4</c:v>
                      </c:pt>
                      <c:pt idx="66">
                        <c:v>223.1</c:v>
                      </c:pt>
                      <c:pt idx="67">
                        <c:v>225.7</c:v>
                      </c:pt>
                      <c:pt idx="68">
                        <c:v>228.3</c:v>
                      </c:pt>
                      <c:pt idx="69">
                        <c:v>230.3</c:v>
                      </c:pt>
                      <c:pt idx="70">
                        <c:v>232.8</c:v>
                      </c:pt>
                      <c:pt idx="71">
                        <c:v>235.8</c:v>
                      </c:pt>
                      <c:pt idx="72">
                        <c:v>236.6</c:v>
                      </c:pt>
                      <c:pt idx="73">
                        <c:v>239</c:v>
                      </c:pt>
                      <c:pt idx="74">
                        <c:v>242.6</c:v>
                      </c:pt>
                      <c:pt idx="75">
                        <c:v>246</c:v>
                      </c:pt>
                      <c:pt idx="76">
                        <c:v>249</c:v>
                      </c:pt>
                      <c:pt idx="77">
                        <c:v>252.3</c:v>
                      </c:pt>
                      <c:pt idx="78">
                        <c:v>254.9</c:v>
                      </c:pt>
                      <c:pt idx="79">
                        <c:v>256.39999999999998</c:v>
                      </c:pt>
                      <c:pt idx="80">
                        <c:v>260.3</c:v>
                      </c:pt>
                      <c:pt idx="81">
                        <c:v>264.3</c:v>
                      </c:pt>
                      <c:pt idx="82">
                        <c:v>267.2</c:v>
                      </c:pt>
                      <c:pt idx="83">
                        <c:v>271.5</c:v>
                      </c:pt>
                      <c:pt idx="84">
                        <c:v>273.60000000000002</c:v>
                      </c:pt>
                      <c:pt idx="85">
                        <c:v>279</c:v>
                      </c:pt>
                      <c:pt idx="86">
                        <c:v>283.2</c:v>
                      </c:pt>
                      <c:pt idx="87">
                        <c:v>287.7</c:v>
                      </c:pt>
                      <c:pt idx="88">
                        <c:v>292.3</c:v>
                      </c:pt>
                      <c:pt idx="89">
                        <c:v>297.7</c:v>
                      </c:pt>
                      <c:pt idx="90">
                        <c:v>302.89999999999998</c:v>
                      </c:pt>
                      <c:pt idx="91">
                        <c:v>308.7</c:v>
                      </c:pt>
                      <c:pt idx="92">
                        <c:v>315.8</c:v>
                      </c:pt>
                      <c:pt idx="93">
                        <c:v>322.2</c:v>
                      </c:pt>
                      <c:pt idx="94">
                        <c:v>330.6</c:v>
                      </c:pt>
                      <c:pt idx="95">
                        <c:v>340.8</c:v>
                      </c:pt>
                      <c:pt idx="96">
                        <c:v>352</c:v>
                      </c:pt>
                      <c:pt idx="97">
                        <c:v>366</c:v>
                      </c:pt>
                      <c:pt idx="98">
                        <c:v>383.9</c:v>
                      </c:pt>
                      <c:pt idx="99">
                        <c:v>412.1</c:v>
                      </c:pt>
                      <c:pt idx="100">
                        <c:v>435.6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3EE7-42F8-9B0B-A07A8C1580B4}"/>
                  </c:ext>
                </c:extLst>
              </c15:ser>
            </c15:filteredScatterSeries>
          </c:ext>
        </c:extLst>
      </c:scatterChart>
      <c:valAx>
        <c:axId val="161194894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34063"/>
        <c:crosses val="autoZero"/>
        <c:crossBetween val="midCat"/>
      </c:valAx>
      <c:valAx>
        <c:axId val="161193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deg.C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4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375505850010674"/>
          <c:y val="0.15925020645829546"/>
          <c:w val="0.68488713097585896"/>
          <c:h val="0.71150274519547052"/>
        </c:manualLayout>
      </c:layout>
      <c:scatterChart>
        <c:scatterStyle val="smoothMarker"/>
        <c:varyColors val="0"/>
        <c:ser>
          <c:idx val="2"/>
          <c:order val="2"/>
          <c:tx>
            <c:v>Low Sedimentation VR Feed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'HPS LTO DAILY '!$H$10:$H$57</c:f>
              <c:numCache>
                <c:formatCode>General</c:formatCode>
                <c:ptCount val="48"/>
                <c:pt idx="0">
                  <c:v>462.3</c:v>
                </c:pt>
                <c:pt idx="1">
                  <c:v>528.9</c:v>
                </c:pt>
                <c:pt idx="2">
                  <c:v>546.9</c:v>
                </c:pt>
                <c:pt idx="3">
                  <c:v>555.20000000000005</c:v>
                </c:pt>
                <c:pt idx="4">
                  <c:v>561</c:v>
                </c:pt>
                <c:pt idx="5">
                  <c:v>565.70000000000005</c:v>
                </c:pt>
                <c:pt idx="6">
                  <c:v>569.70000000000005</c:v>
                </c:pt>
                <c:pt idx="7">
                  <c:v>573.20000000000005</c:v>
                </c:pt>
                <c:pt idx="8">
                  <c:v>576.70000000000005</c:v>
                </c:pt>
                <c:pt idx="9">
                  <c:v>580.1</c:v>
                </c:pt>
                <c:pt idx="10">
                  <c:v>583.4</c:v>
                </c:pt>
                <c:pt idx="11">
                  <c:v>586.6</c:v>
                </c:pt>
                <c:pt idx="12">
                  <c:v>589.6</c:v>
                </c:pt>
                <c:pt idx="13">
                  <c:v>592.6</c:v>
                </c:pt>
                <c:pt idx="14">
                  <c:v>595.6</c:v>
                </c:pt>
                <c:pt idx="15">
                  <c:v>598.5</c:v>
                </c:pt>
                <c:pt idx="16">
                  <c:v>601.4</c:v>
                </c:pt>
                <c:pt idx="17">
                  <c:v>604.4</c:v>
                </c:pt>
                <c:pt idx="18">
                  <c:v>607.29999999999995</c:v>
                </c:pt>
                <c:pt idx="19">
                  <c:v>610.20000000000005</c:v>
                </c:pt>
                <c:pt idx="20">
                  <c:v>613.1</c:v>
                </c:pt>
                <c:pt idx="21">
                  <c:v>616.1</c:v>
                </c:pt>
                <c:pt idx="22">
                  <c:v>619.20000000000005</c:v>
                </c:pt>
                <c:pt idx="23">
                  <c:v>622.29999999999995</c:v>
                </c:pt>
                <c:pt idx="24">
                  <c:v>625.29999999999995</c:v>
                </c:pt>
                <c:pt idx="25">
                  <c:v>628.4</c:v>
                </c:pt>
                <c:pt idx="26">
                  <c:v>631.4</c:v>
                </c:pt>
                <c:pt idx="27">
                  <c:v>634.4</c:v>
                </c:pt>
                <c:pt idx="28">
                  <c:v>637.5</c:v>
                </c:pt>
                <c:pt idx="29">
                  <c:v>640.79999999999995</c:v>
                </c:pt>
                <c:pt idx="30">
                  <c:v>644.20000000000005</c:v>
                </c:pt>
                <c:pt idx="31">
                  <c:v>647.6</c:v>
                </c:pt>
                <c:pt idx="32">
                  <c:v>650.9</c:v>
                </c:pt>
                <c:pt idx="33">
                  <c:v>654.20000000000005</c:v>
                </c:pt>
                <c:pt idx="34">
                  <c:v>657.5</c:v>
                </c:pt>
                <c:pt idx="35">
                  <c:v>661.5</c:v>
                </c:pt>
                <c:pt idx="36">
                  <c:v>665.8</c:v>
                </c:pt>
                <c:pt idx="37">
                  <c:v>670.3</c:v>
                </c:pt>
                <c:pt idx="38">
                  <c:v>674.2</c:v>
                </c:pt>
                <c:pt idx="39">
                  <c:v>679.2</c:v>
                </c:pt>
                <c:pt idx="40">
                  <c:v>683.9</c:v>
                </c:pt>
                <c:pt idx="41">
                  <c:v>688.5</c:v>
                </c:pt>
                <c:pt idx="42">
                  <c:v>693</c:v>
                </c:pt>
                <c:pt idx="43">
                  <c:v>697.8</c:v>
                </c:pt>
                <c:pt idx="44">
                  <c:v>702.9</c:v>
                </c:pt>
                <c:pt idx="45">
                  <c:v>708.2</c:v>
                </c:pt>
                <c:pt idx="46">
                  <c:v>715.3</c:v>
                </c:pt>
                <c:pt idx="47">
                  <c:v>724.1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E29C-460D-9626-D125B23F4421}"/>
            </c:ext>
          </c:extLst>
        </c:ser>
        <c:ser>
          <c:idx val="3"/>
          <c:order val="3"/>
          <c:tx>
            <c:v>High Sedimentation VR Feed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'!$I$10:$I$54</c:f>
              <c:numCache>
                <c:formatCode>General</c:formatCode>
                <c:ptCount val="45"/>
                <c:pt idx="0">
                  <c:v>436.7</c:v>
                </c:pt>
                <c:pt idx="1">
                  <c:v>499.2</c:v>
                </c:pt>
                <c:pt idx="2">
                  <c:v>527.20000000000005</c:v>
                </c:pt>
                <c:pt idx="3">
                  <c:v>538.6</c:v>
                </c:pt>
                <c:pt idx="4">
                  <c:v>546.5</c:v>
                </c:pt>
                <c:pt idx="5">
                  <c:v>553.1</c:v>
                </c:pt>
                <c:pt idx="6">
                  <c:v>558.5</c:v>
                </c:pt>
                <c:pt idx="7">
                  <c:v>563.20000000000005</c:v>
                </c:pt>
                <c:pt idx="8">
                  <c:v>567.4</c:v>
                </c:pt>
                <c:pt idx="9">
                  <c:v>571.1</c:v>
                </c:pt>
                <c:pt idx="10">
                  <c:v>574.70000000000005</c:v>
                </c:pt>
                <c:pt idx="11">
                  <c:v>578.20000000000005</c:v>
                </c:pt>
                <c:pt idx="12">
                  <c:v>581.70000000000005</c:v>
                </c:pt>
                <c:pt idx="13">
                  <c:v>585.1</c:v>
                </c:pt>
                <c:pt idx="14">
                  <c:v>588.4</c:v>
                </c:pt>
                <c:pt idx="15">
                  <c:v>591.6</c:v>
                </c:pt>
                <c:pt idx="16">
                  <c:v>594.79999999999995</c:v>
                </c:pt>
                <c:pt idx="17">
                  <c:v>598</c:v>
                </c:pt>
                <c:pt idx="18">
                  <c:v>601.20000000000005</c:v>
                </c:pt>
                <c:pt idx="19">
                  <c:v>604.6</c:v>
                </c:pt>
                <c:pt idx="20">
                  <c:v>607.9</c:v>
                </c:pt>
                <c:pt idx="21">
                  <c:v>611.20000000000005</c:v>
                </c:pt>
                <c:pt idx="22">
                  <c:v>614.5</c:v>
                </c:pt>
                <c:pt idx="23">
                  <c:v>618</c:v>
                </c:pt>
                <c:pt idx="24">
                  <c:v>621.5</c:v>
                </c:pt>
                <c:pt idx="25">
                  <c:v>624.9</c:v>
                </c:pt>
                <c:pt idx="26">
                  <c:v>628.4</c:v>
                </c:pt>
                <c:pt idx="27">
                  <c:v>631.79999999999995</c:v>
                </c:pt>
                <c:pt idx="28">
                  <c:v>635.20000000000005</c:v>
                </c:pt>
                <c:pt idx="29">
                  <c:v>638.79999999999995</c:v>
                </c:pt>
                <c:pt idx="30">
                  <c:v>642.6</c:v>
                </c:pt>
                <c:pt idx="31">
                  <c:v>646.5</c:v>
                </c:pt>
                <c:pt idx="32">
                  <c:v>650.20000000000005</c:v>
                </c:pt>
                <c:pt idx="33">
                  <c:v>654</c:v>
                </c:pt>
                <c:pt idx="34">
                  <c:v>657.6</c:v>
                </c:pt>
                <c:pt idx="35">
                  <c:v>662.3</c:v>
                </c:pt>
                <c:pt idx="36">
                  <c:v>667.3</c:v>
                </c:pt>
                <c:pt idx="37">
                  <c:v>672.1</c:v>
                </c:pt>
                <c:pt idx="38">
                  <c:v>677.2</c:v>
                </c:pt>
                <c:pt idx="39">
                  <c:v>683</c:v>
                </c:pt>
                <c:pt idx="40">
                  <c:v>688.5</c:v>
                </c:pt>
                <c:pt idx="41">
                  <c:v>693.9</c:v>
                </c:pt>
                <c:pt idx="42">
                  <c:v>700.7</c:v>
                </c:pt>
                <c:pt idx="43">
                  <c:v>708.3</c:v>
                </c:pt>
                <c:pt idx="44">
                  <c:v>721.3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9C-460D-9626-D125B23F4421}"/>
            </c:ext>
          </c:extLst>
        </c:ser>
        <c:ser>
          <c:idx val="7"/>
          <c:order val="7"/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B4FF-41FC-AD64-9E81A2B15D58}"/>
              </c:ext>
            </c:extLst>
          </c:dPt>
          <c:xVal>
            <c:numRef>
              <c:f>'HPS LTO DAILY '!$AN$20:$AN$21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560</c:v>
              </c:pt>
              <c:pt idx="1">
                <c:v>560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E29C-460D-9626-D125B23F4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3088"/>
        <c:axId val="19079141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5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LTO DAILY '!$D$223:$D$323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LTO DAILY '!$N$223:$N$323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118.8</c:v>
                      </c:pt>
                      <c:pt idx="1">
                        <c:v>176.6</c:v>
                      </c:pt>
                      <c:pt idx="2">
                        <c:v>244.2</c:v>
                      </c:pt>
                      <c:pt idx="3">
                        <c:v>281</c:v>
                      </c:pt>
                      <c:pt idx="4">
                        <c:v>309</c:v>
                      </c:pt>
                      <c:pt idx="5">
                        <c:v>330.2</c:v>
                      </c:pt>
                      <c:pt idx="6">
                        <c:v>348.9</c:v>
                      </c:pt>
                      <c:pt idx="7">
                        <c:v>364.2</c:v>
                      </c:pt>
                      <c:pt idx="8">
                        <c:v>377.3</c:v>
                      </c:pt>
                      <c:pt idx="9">
                        <c:v>388.8</c:v>
                      </c:pt>
                      <c:pt idx="10">
                        <c:v>399.5</c:v>
                      </c:pt>
                      <c:pt idx="11">
                        <c:v>409.9</c:v>
                      </c:pt>
                      <c:pt idx="12">
                        <c:v>419.8</c:v>
                      </c:pt>
                      <c:pt idx="13">
                        <c:v>428.9</c:v>
                      </c:pt>
                      <c:pt idx="14">
                        <c:v>438.1</c:v>
                      </c:pt>
                      <c:pt idx="15">
                        <c:v>446.9</c:v>
                      </c:pt>
                      <c:pt idx="16">
                        <c:v>455.4</c:v>
                      </c:pt>
                      <c:pt idx="17">
                        <c:v>463.7</c:v>
                      </c:pt>
                      <c:pt idx="18">
                        <c:v>471.7</c:v>
                      </c:pt>
                      <c:pt idx="19">
                        <c:v>479.4</c:v>
                      </c:pt>
                      <c:pt idx="20">
                        <c:v>486.8</c:v>
                      </c:pt>
                      <c:pt idx="21">
                        <c:v>493.8</c:v>
                      </c:pt>
                      <c:pt idx="22">
                        <c:v>500</c:v>
                      </c:pt>
                      <c:pt idx="23">
                        <c:v>505.7</c:v>
                      </c:pt>
                      <c:pt idx="24">
                        <c:v>511.2</c:v>
                      </c:pt>
                      <c:pt idx="25">
                        <c:v>516.6</c:v>
                      </c:pt>
                      <c:pt idx="26">
                        <c:v>521.6</c:v>
                      </c:pt>
                      <c:pt idx="27">
                        <c:v>526.1</c:v>
                      </c:pt>
                      <c:pt idx="28">
                        <c:v>530.20000000000005</c:v>
                      </c:pt>
                      <c:pt idx="29">
                        <c:v>534</c:v>
                      </c:pt>
                      <c:pt idx="30">
                        <c:v>537.6</c:v>
                      </c:pt>
                      <c:pt idx="31">
                        <c:v>541</c:v>
                      </c:pt>
                      <c:pt idx="32">
                        <c:v>544.20000000000005</c:v>
                      </c:pt>
                      <c:pt idx="33">
                        <c:v>547.4</c:v>
                      </c:pt>
                      <c:pt idx="34">
                        <c:v>550.5</c:v>
                      </c:pt>
                      <c:pt idx="35">
                        <c:v>553.5</c:v>
                      </c:pt>
                      <c:pt idx="36">
                        <c:v>556.29999999999995</c:v>
                      </c:pt>
                      <c:pt idx="37">
                        <c:v>559</c:v>
                      </c:pt>
                      <c:pt idx="38">
                        <c:v>561.5</c:v>
                      </c:pt>
                      <c:pt idx="39">
                        <c:v>564</c:v>
                      </c:pt>
                      <c:pt idx="40">
                        <c:v>566.4</c:v>
                      </c:pt>
                      <c:pt idx="41">
                        <c:v>568.6</c:v>
                      </c:pt>
                      <c:pt idx="42">
                        <c:v>570.79999999999995</c:v>
                      </c:pt>
                      <c:pt idx="43">
                        <c:v>572.9</c:v>
                      </c:pt>
                      <c:pt idx="44">
                        <c:v>575</c:v>
                      </c:pt>
                      <c:pt idx="45">
                        <c:v>577.20000000000005</c:v>
                      </c:pt>
                      <c:pt idx="46">
                        <c:v>579.4</c:v>
                      </c:pt>
                      <c:pt idx="47">
                        <c:v>581.6</c:v>
                      </c:pt>
                      <c:pt idx="48">
                        <c:v>583.79999999999995</c:v>
                      </c:pt>
                      <c:pt idx="49">
                        <c:v>585.9</c:v>
                      </c:pt>
                      <c:pt idx="50">
                        <c:v>588</c:v>
                      </c:pt>
                      <c:pt idx="51">
                        <c:v>590.1</c:v>
                      </c:pt>
                      <c:pt idx="52">
                        <c:v>592.29999999999995</c:v>
                      </c:pt>
                      <c:pt idx="53">
                        <c:v>594.29999999999995</c:v>
                      </c:pt>
                      <c:pt idx="54">
                        <c:v>596.4</c:v>
                      </c:pt>
                      <c:pt idx="55">
                        <c:v>598.5</c:v>
                      </c:pt>
                      <c:pt idx="56">
                        <c:v>600.6</c:v>
                      </c:pt>
                      <c:pt idx="57">
                        <c:v>602.79999999999995</c:v>
                      </c:pt>
                      <c:pt idx="58">
                        <c:v>605</c:v>
                      </c:pt>
                      <c:pt idx="59">
                        <c:v>607.29999999999995</c:v>
                      </c:pt>
                      <c:pt idx="60">
                        <c:v>609.5</c:v>
                      </c:pt>
                      <c:pt idx="61">
                        <c:v>611.70000000000005</c:v>
                      </c:pt>
                      <c:pt idx="62">
                        <c:v>613.9</c:v>
                      </c:pt>
                      <c:pt idx="63">
                        <c:v>616.20000000000005</c:v>
                      </c:pt>
                      <c:pt idx="64">
                        <c:v>618.6</c:v>
                      </c:pt>
                      <c:pt idx="65">
                        <c:v>621</c:v>
                      </c:pt>
                      <c:pt idx="66">
                        <c:v>623.4</c:v>
                      </c:pt>
                      <c:pt idx="67">
                        <c:v>625.70000000000005</c:v>
                      </c:pt>
                      <c:pt idx="68">
                        <c:v>628</c:v>
                      </c:pt>
                      <c:pt idx="69">
                        <c:v>630.29999999999995</c:v>
                      </c:pt>
                      <c:pt idx="70">
                        <c:v>632.6</c:v>
                      </c:pt>
                      <c:pt idx="71">
                        <c:v>634.9</c:v>
                      </c:pt>
                      <c:pt idx="72">
                        <c:v>637.4</c:v>
                      </c:pt>
                      <c:pt idx="73">
                        <c:v>639.9</c:v>
                      </c:pt>
                      <c:pt idx="74">
                        <c:v>642.4</c:v>
                      </c:pt>
                      <c:pt idx="75">
                        <c:v>645.1</c:v>
                      </c:pt>
                      <c:pt idx="76">
                        <c:v>647.79999999999995</c:v>
                      </c:pt>
                      <c:pt idx="77">
                        <c:v>650.29999999999995</c:v>
                      </c:pt>
                      <c:pt idx="78">
                        <c:v>652.9</c:v>
                      </c:pt>
                      <c:pt idx="79">
                        <c:v>655.29999999999995</c:v>
                      </c:pt>
                      <c:pt idx="80">
                        <c:v>657.8</c:v>
                      </c:pt>
                      <c:pt idx="81">
                        <c:v>661</c:v>
                      </c:pt>
                      <c:pt idx="82">
                        <c:v>664.3</c:v>
                      </c:pt>
                      <c:pt idx="83">
                        <c:v>667.7</c:v>
                      </c:pt>
                      <c:pt idx="84">
                        <c:v>671</c:v>
                      </c:pt>
                      <c:pt idx="85">
                        <c:v>674</c:v>
                      </c:pt>
                      <c:pt idx="86">
                        <c:v>677.6</c:v>
                      </c:pt>
                      <c:pt idx="87">
                        <c:v>681.5</c:v>
                      </c:pt>
                      <c:pt idx="88">
                        <c:v>684.9</c:v>
                      </c:pt>
                      <c:pt idx="89">
                        <c:v>688.4</c:v>
                      </c:pt>
                      <c:pt idx="90">
                        <c:v>691.8</c:v>
                      </c:pt>
                      <c:pt idx="91">
                        <c:v>694.7</c:v>
                      </c:pt>
                      <c:pt idx="92">
                        <c:v>698.8</c:v>
                      </c:pt>
                      <c:pt idx="93">
                        <c:v>702.4</c:v>
                      </c:pt>
                      <c:pt idx="94">
                        <c:v>706</c:v>
                      </c:pt>
                      <c:pt idx="95">
                        <c:v>710</c:v>
                      </c:pt>
                      <c:pt idx="96">
                        <c:v>714.3</c:v>
                      </c:pt>
                      <c:pt idx="97">
                        <c:v>718.8</c:v>
                      </c:pt>
                      <c:pt idx="98">
                        <c:v>723.7</c:v>
                      </c:pt>
                      <c:pt idx="99">
                        <c:v>729</c:v>
                      </c:pt>
                      <c:pt idx="100">
                        <c:v>731.8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E29C-460D-9626-D125B23F442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'!$V$220</c15:sqref>
                        </c15:formulaRef>
                      </c:ext>
                    </c:extLst>
                    <c:strCache>
                      <c:ptCount val="1"/>
                      <c:pt idx="0">
                        <c:v>13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'!$D$223:$D$323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'!$V$223:$V$295</c15:sqref>
                        </c15:formulaRef>
                      </c:ext>
                    </c:extLst>
                    <c:numCache>
                      <c:formatCode>General</c:formatCode>
                      <c:ptCount val="73"/>
                      <c:pt idx="0">
                        <c:v>124.1</c:v>
                      </c:pt>
                      <c:pt idx="1">
                        <c:v>166.3</c:v>
                      </c:pt>
                      <c:pt idx="2">
                        <c:v>213.1</c:v>
                      </c:pt>
                      <c:pt idx="3">
                        <c:v>244.5</c:v>
                      </c:pt>
                      <c:pt idx="4">
                        <c:v>270</c:v>
                      </c:pt>
                      <c:pt idx="5">
                        <c:v>293.3</c:v>
                      </c:pt>
                      <c:pt idx="6">
                        <c:v>313</c:v>
                      </c:pt>
                      <c:pt idx="7">
                        <c:v>330.4</c:v>
                      </c:pt>
                      <c:pt idx="8">
                        <c:v>346.2</c:v>
                      </c:pt>
                      <c:pt idx="9">
                        <c:v>361.3</c:v>
                      </c:pt>
                      <c:pt idx="10">
                        <c:v>376</c:v>
                      </c:pt>
                      <c:pt idx="11">
                        <c:v>390.6</c:v>
                      </c:pt>
                      <c:pt idx="12">
                        <c:v>400.8</c:v>
                      </c:pt>
                      <c:pt idx="13">
                        <c:v>410.9</c:v>
                      </c:pt>
                      <c:pt idx="14">
                        <c:v>425.2</c:v>
                      </c:pt>
                      <c:pt idx="15">
                        <c:v>437</c:v>
                      </c:pt>
                      <c:pt idx="16">
                        <c:v>446.5</c:v>
                      </c:pt>
                      <c:pt idx="17">
                        <c:v>457.9</c:v>
                      </c:pt>
                      <c:pt idx="18">
                        <c:v>468.9</c:v>
                      </c:pt>
                      <c:pt idx="19">
                        <c:v>478.1</c:v>
                      </c:pt>
                      <c:pt idx="20">
                        <c:v>487.9</c:v>
                      </c:pt>
                      <c:pt idx="21">
                        <c:v>497.5</c:v>
                      </c:pt>
                      <c:pt idx="22">
                        <c:v>505.2</c:v>
                      </c:pt>
                      <c:pt idx="23">
                        <c:v>513</c:v>
                      </c:pt>
                      <c:pt idx="24">
                        <c:v>520.9</c:v>
                      </c:pt>
                      <c:pt idx="25">
                        <c:v>527.5</c:v>
                      </c:pt>
                      <c:pt idx="26">
                        <c:v>533.6</c:v>
                      </c:pt>
                      <c:pt idx="27">
                        <c:v>539.1</c:v>
                      </c:pt>
                      <c:pt idx="28">
                        <c:v>544.20000000000005</c:v>
                      </c:pt>
                      <c:pt idx="29">
                        <c:v>549.20000000000005</c:v>
                      </c:pt>
                      <c:pt idx="30">
                        <c:v>553.79999999999995</c:v>
                      </c:pt>
                      <c:pt idx="31">
                        <c:v>558.1</c:v>
                      </c:pt>
                      <c:pt idx="32">
                        <c:v>562</c:v>
                      </c:pt>
                      <c:pt idx="33">
                        <c:v>565.79999999999995</c:v>
                      </c:pt>
                      <c:pt idx="34">
                        <c:v>569.20000000000005</c:v>
                      </c:pt>
                      <c:pt idx="35">
                        <c:v>572.4</c:v>
                      </c:pt>
                      <c:pt idx="36">
                        <c:v>575.6</c:v>
                      </c:pt>
                      <c:pt idx="37">
                        <c:v>578.9</c:v>
                      </c:pt>
                      <c:pt idx="38">
                        <c:v>582.1</c:v>
                      </c:pt>
                      <c:pt idx="39">
                        <c:v>585.20000000000005</c:v>
                      </c:pt>
                      <c:pt idx="40">
                        <c:v>588.4</c:v>
                      </c:pt>
                      <c:pt idx="41">
                        <c:v>591.5</c:v>
                      </c:pt>
                      <c:pt idx="42">
                        <c:v>594.5</c:v>
                      </c:pt>
                      <c:pt idx="43">
                        <c:v>597.5</c:v>
                      </c:pt>
                      <c:pt idx="44">
                        <c:v>600.6</c:v>
                      </c:pt>
                      <c:pt idx="45">
                        <c:v>603.79999999999995</c:v>
                      </c:pt>
                      <c:pt idx="46">
                        <c:v>607</c:v>
                      </c:pt>
                      <c:pt idx="47">
                        <c:v>610.20000000000005</c:v>
                      </c:pt>
                      <c:pt idx="48">
                        <c:v>613.4</c:v>
                      </c:pt>
                      <c:pt idx="49">
                        <c:v>616.6</c:v>
                      </c:pt>
                      <c:pt idx="50">
                        <c:v>620.1</c:v>
                      </c:pt>
                      <c:pt idx="51">
                        <c:v>623.5</c:v>
                      </c:pt>
                      <c:pt idx="52">
                        <c:v>626.9</c:v>
                      </c:pt>
                      <c:pt idx="53">
                        <c:v>630.29999999999995</c:v>
                      </c:pt>
                      <c:pt idx="54">
                        <c:v>633.79999999999995</c:v>
                      </c:pt>
                      <c:pt idx="55">
                        <c:v>637.29999999999995</c:v>
                      </c:pt>
                      <c:pt idx="56">
                        <c:v>641.1</c:v>
                      </c:pt>
                      <c:pt idx="57">
                        <c:v>645</c:v>
                      </c:pt>
                      <c:pt idx="58">
                        <c:v>648.9</c:v>
                      </c:pt>
                      <c:pt idx="59">
                        <c:v>652.9</c:v>
                      </c:pt>
                      <c:pt idx="60">
                        <c:v>656.7</c:v>
                      </c:pt>
                      <c:pt idx="61">
                        <c:v>661.3</c:v>
                      </c:pt>
                      <c:pt idx="62">
                        <c:v>666.3</c:v>
                      </c:pt>
                      <c:pt idx="63">
                        <c:v>671.4</c:v>
                      </c:pt>
                      <c:pt idx="64">
                        <c:v>676.3</c:v>
                      </c:pt>
                      <c:pt idx="65">
                        <c:v>682.2</c:v>
                      </c:pt>
                      <c:pt idx="66">
                        <c:v>687.5</c:v>
                      </c:pt>
                      <c:pt idx="67">
                        <c:v>692.8</c:v>
                      </c:pt>
                      <c:pt idx="68">
                        <c:v>698.5</c:v>
                      </c:pt>
                      <c:pt idx="69">
                        <c:v>704.3</c:v>
                      </c:pt>
                      <c:pt idx="70">
                        <c:v>710.9</c:v>
                      </c:pt>
                      <c:pt idx="71">
                        <c:v>718.7</c:v>
                      </c:pt>
                      <c:pt idx="72">
                        <c:v>727.3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29C-460D-9626-D125B23F4421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HPS 13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'!$V$10:$V$98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121.9</c:v>
                      </c:pt>
                      <c:pt idx="1">
                        <c:v>144.19999999999999</c:v>
                      </c:pt>
                      <c:pt idx="2">
                        <c:v>169.7</c:v>
                      </c:pt>
                      <c:pt idx="3">
                        <c:v>185.8</c:v>
                      </c:pt>
                      <c:pt idx="4">
                        <c:v>200.3</c:v>
                      </c:pt>
                      <c:pt idx="5">
                        <c:v>212.1</c:v>
                      </c:pt>
                      <c:pt idx="6">
                        <c:v>221.4</c:v>
                      </c:pt>
                      <c:pt idx="7">
                        <c:v>231.3</c:v>
                      </c:pt>
                      <c:pt idx="8">
                        <c:v>239.7</c:v>
                      </c:pt>
                      <c:pt idx="9">
                        <c:v>249.7</c:v>
                      </c:pt>
                      <c:pt idx="10">
                        <c:v>257</c:v>
                      </c:pt>
                      <c:pt idx="11">
                        <c:v>266.5</c:v>
                      </c:pt>
                      <c:pt idx="12">
                        <c:v>274</c:v>
                      </c:pt>
                      <c:pt idx="13">
                        <c:v>283.3</c:v>
                      </c:pt>
                      <c:pt idx="14">
                        <c:v>290.89999999999998</c:v>
                      </c:pt>
                      <c:pt idx="15">
                        <c:v>298.7</c:v>
                      </c:pt>
                      <c:pt idx="16">
                        <c:v>305.2</c:v>
                      </c:pt>
                      <c:pt idx="17">
                        <c:v>313</c:v>
                      </c:pt>
                      <c:pt idx="18">
                        <c:v>319.2</c:v>
                      </c:pt>
                      <c:pt idx="19">
                        <c:v>326.5</c:v>
                      </c:pt>
                      <c:pt idx="20">
                        <c:v>332.5</c:v>
                      </c:pt>
                      <c:pt idx="21">
                        <c:v>339.7</c:v>
                      </c:pt>
                      <c:pt idx="22">
                        <c:v>345.6</c:v>
                      </c:pt>
                      <c:pt idx="23">
                        <c:v>352.5</c:v>
                      </c:pt>
                      <c:pt idx="24">
                        <c:v>358.2</c:v>
                      </c:pt>
                      <c:pt idx="25">
                        <c:v>364.6</c:v>
                      </c:pt>
                      <c:pt idx="26">
                        <c:v>370.5</c:v>
                      </c:pt>
                      <c:pt idx="27">
                        <c:v>377.3</c:v>
                      </c:pt>
                      <c:pt idx="28">
                        <c:v>383.6</c:v>
                      </c:pt>
                      <c:pt idx="29">
                        <c:v>390.3</c:v>
                      </c:pt>
                      <c:pt idx="30">
                        <c:v>395.2</c:v>
                      </c:pt>
                      <c:pt idx="31">
                        <c:v>399.6</c:v>
                      </c:pt>
                      <c:pt idx="32">
                        <c:v>404.7</c:v>
                      </c:pt>
                      <c:pt idx="33">
                        <c:v>409</c:v>
                      </c:pt>
                      <c:pt idx="34">
                        <c:v>415.2</c:v>
                      </c:pt>
                      <c:pt idx="35">
                        <c:v>422.4</c:v>
                      </c:pt>
                      <c:pt idx="36">
                        <c:v>430</c:v>
                      </c:pt>
                      <c:pt idx="37">
                        <c:v>435.4</c:v>
                      </c:pt>
                      <c:pt idx="38">
                        <c:v>440.2</c:v>
                      </c:pt>
                      <c:pt idx="39">
                        <c:v>445.5</c:v>
                      </c:pt>
                      <c:pt idx="40">
                        <c:v>450.9</c:v>
                      </c:pt>
                      <c:pt idx="41">
                        <c:v>457.1</c:v>
                      </c:pt>
                      <c:pt idx="42">
                        <c:v>464</c:v>
                      </c:pt>
                      <c:pt idx="43">
                        <c:v>469.5</c:v>
                      </c:pt>
                      <c:pt idx="44">
                        <c:v>474.7</c:v>
                      </c:pt>
                      <c:pt idx="45">
                        <c:v>480.1</c:v>
                      </c:pt>
                      <c:pt idx="46">
                        <c:v>486</c:v>
                      </c:pt>
                      <c:pt idx="47">
                        <c:v>492</c:v>
                      </c:pt>
                      <c:pt idx="48">
                        <c:v>497.6</c:v>
                      </c:pt>
                      <c:pt idx="49">
                        <c:v>502.5</c:v>
                      </c:pt>
                      <c:pt idx="50">
                        <c:v>507.4</c:v>
                      </c:pt>
                      <c:pt idx="51">
                        <c:v>512.70000000000005</c:v>
                      </c:pt>
                      <c:pt idx="52">
                        <c:v>518.20000000000005</c:v>
                      </c:pt>
                      <c:pt idx="53">
                        <c:v>523.5</c:v>
                      </c:pt>
                      <c:pt idx="54">
                        <c:v>528.29999999999995</c:v>
                      </c:pt>
                      <c:pt idx="55">
                        <c:v>533</c:v>
                      </c:pt>
                      <c:pt idx="56">
                        <c:v>537.6</c:v>
                      </c:pt>
                      <c:pt idx="57">
                        <c:v>542.1</c:v>
                      </c:pt>
                      <c:pt idx="58">
                        <c:v>546.70000000000005</c:v>
                      </c:pt>
                      <c:pt idx="59">
                        <c:v>551.29999999999995</c:v>
                      </c:pt>
                      <c:pt idx="60">
                        <c:v>556</c:v>
                      </c:pt>
                      <c:pt idx="61">
                        <c:v>560.29999999999995</c:v>
                      </c:pt>
                      <c:pt idx="62">
                        <c:v>564.4</c:v>
                      </c:pt>
                      <c:pt idx="63">
                        <c:v>568.4</c:v>
                      </c:pt>
                      <c:pt idx="64">
                        <c:v>572.20000000000005</c:v>
                      </c:pt>
                      <c:pt idx="65">
                        <c:v>576.20000000000005</c:v>
                      </c:pt>
                      <c:pt idx="66">
                        <c:v>580.20000000000005</c:v>
                      </c:pt>
                      <c:pt idx="67">
                        <c:v>584.4</c:v>
                      </c:pt>
                      <c:pt idx="68">
                        <c:v>588.5</c:v>
                      </c:pt>
                      <c:pt idx="69">
                        <c:v>592.6</c:v>
                      </c:pt>
                      <c:pt idx="70">
                        <c:v>596.79999999999995</c:v>
                      </c:pt>
                      <c:pt idx="71">
                        <c:v>601.1</c:v>
                      </c:pt>
                      <c:pt idx="72">
                        <c:v>605.6</c:v>
                      </c:pt>
                      <c:pt idx="73">
                        <c:v>610.20000000000005</c:v>
                      </c:pt>
                      <c:pt idx="74">
                        <c:v>615</c:v>
                      </c:pt>
                      <c:pt idx="75">
                        <c:v>620</c:v>
                      </c:pt>
                      <c:pt idx="76">
                        <c:v>625.20000000000005</c:v>
                      </c:pt>
                      <c:pt idx="77">
                        <c:v>630.5</c:v>
                      </c:pt>
                      <c:pt idx="78">
                        <c:v>635.9</c:v>
                      </c:pt>
                      <c:pt idx="79">
                        <c:v>641.9</c:v>
                      </c:pt>
                      <c:pt idx="80">
                        <c:v>648.29999999999995</c:v>
                      </c:pt>
                      <c:pt idx="81">
                        <c:v>654.70000000000005</c:v>
                      </c:pt>
                      <c:pt idx="82">
                        <c:v>662.1</c:v>
                      </c:pt>
                      <c:pt idx="83">
                        <c:v>670.9</c:v>
                      </c:pt>
                      <c:pt idx="84">
                        <c:v>680.3</c:v>
                      </c:pt>
                      <c:pt idx="85">
                        <c:v>690.2</c:v>
                      </c:pt>
                      <c:pt idx="86">
                        <c:v>700.4</c:v>
                      </c:pt>
                      <c:pt idx="87">
                        <c:v>712.3</c:v>
                      </c:pt>
                      <c:pt idx="88">
                        <c:v>726.7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29C-460D-9626-D125B23F4421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HPS 5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'!$N$10:$N$98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95.5</c:v>
                      </c:pt>
                      <c:pt idx="1">
                        <c:v>125.7</c:v>
                      </c:pt>
                      <c:pt idx="2">
                        <c:v>155.6</c:v>
                      </c:pt>
                      <c:pt idx="3">
                        <c:v>174.7</c:v>
                      </c:pt>
                      <c:pt idx="4">
                        <c:v>190.5</c:v>
                      </c:pt>
                      <c:pt idx="5">
                        <c:v>203.2</c:v>
                      </c:pt>
                      <c:pt idx="6">
                        <c:v>216</c:v>
                      </c:pt>
                      <c:pt idx="7">
                        <c:v>226</c:v>
                      </c:pt>
                      <c:pt idx="8">
                        <c:v>235.1</c:v>
                      </c:pt>
                      <c:pt idx="9">
                        <c:v>245.2</c:v>
                      </c:pt>
                      <c:pt idx="10">
                        <c:v>253.3</c:v>
                      </c:pt>
                      <c:pt idx="11">
                        <c:v>262.5</c:v>
                      </c:pt>
                      <c:pt idx="12">
                        <c:v>270.2</c:v>
                      </c:pt>
                      <c:pt idx="13">
                        <c:v>278.8</c:v>
                      </c:pt>
                      <c:pt idx="14">
                        <c:v>286.39999999999998</c:v>
                      </c:pt>
                      <c:pt idx="15">
                        <c:v>294.10000000000002</c:v>
                      </c:pt>
                      <c:pt idx="16">
                        <c:v>301</c:v>
                      </c:pt>
                      <c:pt idx="17">
                        <c:v>308</c:v>
                      </c:pt>
                      <c:pt idx="18">
                        <c:v>314.89999999999998</c:v>
                      </c:pt>
                      <c:pt idx="19">
                        <c:v>321.3</c:v>
                      </c:pt>
                      <c:pt idx="20">
                        <c:v>328.2</c:v>
                      </c:pt>
                      <c:pt idx="21">
                        <c:v>334.2</c:v>
                      </c:pt>
                      <c:pt idx="22">
                        <c:v>340.8</c:v>
                      </c:pt>
                      <c:pt idx="23">
                        <c:v>346.4</c:v>
                      </c:pt>
                      <c:pt idx="24">
                        <c:v>352.3</c:v>
                      </c:pt>
                      <c:pt idx="25">
                        <c:v>357.5</c:v>
                      </c:pt>
                      <c:pt idx="26">
                        <c:v>363.2</c:v>
                      </c:pt>
                      <c:pt idx="27">
                        <c:v>368.5</c:v>
                      </c:pt>
                      <c:pt idx="28">
                        <c:v>375.1</c:v>
                      </c:pt>
                      <c:pt idx="29">
                        <c:v>381.5</c:v>
                      </c:pt>
                      <c:pt idx="30">
                        <c:v>388.2</c:v>
                      </c:pt>
                      <c:pt idx="31">
                        <c:v>393.9</c:v>
                      </c:pt>
                      <c:pt idx="32">
                        <c:v>399.4</c:v>
                      </c:pt>
                      <c:pt idx="33">
                        <c:v>404.7</c:v>
                      </c:pt>
                      <c:pt idx="34">
                        <c:v>410</c:v>
                      </c:pt>
                      <c:pt idx="35">
                        <c:v>415.6</c:v>
                      </c:pt>
                      <c:pt idx="36">
                        <c:v>421</c:v>
                      </c:pt>
                      <c:pt idx="37">
                        <c:v>427</c:v>
                      </c:pt>
                      <c:pt idx="38">
                        <c:v>432.5</c:v>
                      </c:pt>
                      <c:pt idx="39">
                        <c:v>438.1</c:v>
                      </c:pt>
                      <c:pt idx="40">
                        <c:v>443.3</c:v>
                      </c:pt>
                      <c:pt idx="41">
                        <c:v>448.5</c:v>
                      </c:pt>
                      <c:pt idx="42">
                        <c:v>454.3</c:v>
                      </c:pt>
                      <c:pt idx="43">
                        <c:v>459.9</c:v>
                      </c:pt>
                      <c:pt idx="44">
                        <c:v>465.4</c:v>
                      </c:pt>
                      <c:pt idx="45">
                        <c:v>471</c:v>
                      </c:pt>
                      <c:pt idx="46">
                        <c:v>476.4</c:v>
                      </c:pt>
                      <c:pt idx="47">
                        <c:v>481.9</c:v>
                      </c:pt>
                      <c:pt idx="48">
                        <c:v>487.5</c:v>
                      </c:pt>
                      <c:pt idx="49">
                        <c:v>493.2</c:v>
                      </c:pt>
                      <c:pt idx="50">
                        <c:v>498.4</c:v>
                      </c:pt>
                      <c:pt idx="51">
                        <c:v>503.4</c:v>
                      </c:pt>
                      <c:pt idx="52">
                        <c:v>508.3</c:v>
                      </c:pt>
                      <c:pt idx="53">
                        <c:v>513.70000000000005</c:v>
                      </c:pt>
                      <c:pt idx="54">
                        <c:v>519.1</c:v>
                      </c:pt>
                      <c:pt idx="55">
                        <c:v>524.20000000000005</c:v>
                      </c:pt>
                      <c:pt idx="56">
                        <c:v>529.1</c:v>
                      </c:pt>
                      <c:pt idx="57">
                        <c:v>533.9</c:v>
                      </c:pt>
                      <c:pt idx="58">
                        <c:v>538.70000000000005</c:v>
                      </c:pt>
                      <c:pt idx="59">
                        <c:v>543.29999999999995</c:v>
                      </c:pt>
                      <c:pt idx="60">
                        <c:v>548.1</c:v>
                      </c:pt>
                      <c:pt idx="61">
                        <c:v>552.79999999999995</c:v>
                      </c:pt>
                      <c:pt idx="62">
                        <c:v>557.4</c:v>
                      </c:pt>
                      <c:pt idx="63">
                        <c:v>561.79999999999995</c:v>
                      </c:pt>
                      <c:pt idx="64">
                        <c:v>566.1</c:v>
                      </c:pt>
                      <c:pt idx="65">
                        <c:v>570.20000000000005</c:v>
                      </c:pt>
                      <c:pt idx="66">
                        <c:v>574.20000000000005</c:v>
                      </c:pt>
                      <c:pt idx="67">
                        <c:v>578.5</c:v>
                      </c:pt>
                      <c:pt idx="68">
                        <c:v>582.9</c:v>
                      </c:pt>
                      <c:pt idx="69">
                        <c:v>587.20000000000005</c:v>
                      </c:pt>
                      <c:pt idx="70">
                        <c:v>591.6</c:v>
                      </c:pt>
                      <c:pt idx="71">
                        <c:v>596</c:v>
                      </c:pt>
                      <c:pt idx="72">
                        <c:v>600.5</c:v>
                      </c:pt>
                      <c:pt idx="73">
                        <c:v>605.29999999999995</c:v>
                      </c:pt>
                      <c:pt idx="74">
                        <c:v>610.29999999999995</c:v>
                      </c:pt>
                      <c:pt idx="75">
                        <c:v>615.29999999999995</c:v>
                      </c:pt>
                      <c:pt idx="76">
                        <c:v>620.9</c:v>
                      </c:pt>
                      <c:pt idx="77">
                        <c:v>626.4</c:v>
                      </c:pt>
                      <c:pt idx="78">
                        <c:v>632.1</c:v>
                      </c:pt>
                      <c:pt idx="79">
                        <c:v>638</c:v>
                      </c:pt>
                      <c:pt idx="80">
                        <c:v>644.6</c:v>
                      </c:pt>
                      <c:pt idx="81">
                        <c:v>651.6</c:v>
                      </c:pt>
                      <c:pt idx="82">
                        <c:v>658.6</c:v>
                      </c:pt>
                      <c:pt idx="83">
                        <c:v>667.9</c:v>
                      </c:pt>
                      <c:pt idx="84">
                        <c:v>677.4</c:v>
                      </c:pt>
                      <c:pt idx="85">
                        <c:v>688.1</c:v>
                      </c:pt>
                      <c:pt idx="86">
                        <c:v>698.6</c:v>
                      </c:pt>
                      <c:pt idx="87">
                        <c:v>709.6</c:v>
                      </c:pt>
                      <c:pt idx="88">
                        <c:v>722.6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29C-460D-9626-D125B23F442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LTO 13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'!$V$116:$V$216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54.4</c:v>
                      </c:pt>
                      <c:pt idx="1">
                        <c:v>61.4</c:v>
                      </c:pt>
                      <c:pt idx="2">
                        <c:v>74.3</c:v>
                      </c:pt>
                      <c:pt idx="3">
                        <c:v>87.8</c:v>
                      </c:pt>
                      <c:pt idx="4">
                        <c:v>92.7</c:v>
                      </c:pt>
                      <c:pt idx="5">
                        <c:v>98.2</c:v>
                      </c:pt>
                      <c:pt idx="6">
                        <c:v>101.3</c:v>
                      </c:pt>
                      <c:pt idx="7">
                        <c:v>105.5</c:v>
                      </c:pt>
                      <c:pt idx="8">
                        <c:v>114.5</c:v>
                      </c:pt>
                      <c:pt idx="9">
                        <c:v>117.2</c:v>
                      </c:pt>
                      <c:pt idx="10">
                        <c:v>118.4</c:v>
                      </c:pt>
                      <c:pt idx="11">
                        <c:v>121.9</c:v>
                      </c:pt>
                      <c:pt idx="12">
                        <c:v>126.3</c:v>
                      </c:pt>
                      <c:pt idx="13">
                        <c:v>126.9</c:v>
                      </c:pt>
                      <c:pt idx="14">
                        <c:v>127.3</c:v>
                      </c:pt>
                      <c:pt idx="15">
                        <c:v>133</c:v>
                      </c:pt>
                      <c:pt idx="16">
                        <c:v>134.30000000000001</c:v>
                      </c:pt>
                      <c:pt idx="17">
                        <c:v>138.1</c:v>
                      </c:pt>
                      <c:pt idx="18">
                        <c:v>140.69999999999999</c:v>
                      </c:pt>
                      <c:pt idx="19">
                        <c:v>143</c:v>
                      </c:pt>
                      <c:pt idx="20">
                        <c:v>144.69999999999999</c:v>
                      </c:pt>
                      <c:pt idx="21">
                        <c:v>146</c:v>
                      </c:pt>
                      <c:pt idx="22">
                        <c:v>149.80000000000001</c:v>
                      </c:pt>
                      <c:pt idx="23">
                        <c:v>151.80000000000001</c:v>
                      </c:pt>
                      <c:pt idx="24">
                        <c:v>152.30000000000001</c:v>
                      </c:pt>
                      <c:pt idx="25">
                        <c:v>152.80000000000001</c:v>
                      </c:pt>
                      <c:pt idx="26">
                        <c:v>157.1</c:v>
                      </c:pt>
                      <c:pt idx="27">
                        <c:v>159.80000000000001</c:v>
                      </c:pt>
                      <c:pt idx="28">
                        <c:v>161.4</c:v>
                      </c:pt>
                      <c:pt idx="29">
                        <c:v>163</c:v>
                      </c:pt>
                      <c:pt idx="30">
                        <c:v>165.8</c:v>
                      </c:pt>
                      <c:pt idx="31">
                        <c:v>166.6</c:v>
                      </c:pt>
                      <c:pt idx="32">
                        <c:v>167.7</c:v>
                      </c:pt>
                      <c:pt idx="33">
                        <c:v>169.9</c:v>
                      </c:pt>
                      <c:pt idx="34">
                        <c:v>172.3</c:v>
                      </c:pt>
                      <c:pt idx="35">
                        <c:v>174.8</c:v>
                      </c:pt>
                      <c:pt idx="36">
                        <c:v>175.4</c:v>
                      </c:pt>
                      <c:pt idx="37">
                        <c:v>175.9</c:v>
                      </c:pt>
                      <c:pt idx="38">
                        <c:v>178.3</c:v>
                      </c:pt>
                      <c:pt idx="39">
                        <c:v>180.4</c:v>
                      </c:pt>
                      <c:pt idx="40">
                        <c:v>182.5</c:v>
                      </c:pt>
                      <c:pt idx="41">
                        <c:v>184.2</c:v>
                      </c:pt>
                      <c:pt idx="42">
                        <c:v>186.4</c:v>
                      </c:pt>
                      <c:pt idx="43">
                        <c:v>188.7</c:v>
                      </c:pt>
                      <c:pt idx="44">
                        <c:v>190</c:v>
                      </c:pt>
                      <c:pt idx="45">
                        <c:v>192.8</c:v>
                      </c:pt>
                      <c:pt idx="46">
                        <c:v>195.6</c:v>
                      </c:pt>
                      <c:pt idx="47">
                        <c:v>197</c:v>
                      </c:pt>
                      <c:pt idx="48">
                        <c:v>197.5</c:v>
                      </c:pt>
                      <c:pt idx="49">
                        <c:v>199.5</c:v>
                      </c:pt>
                      <c:pt idx="50">
                        <c:v>202.3</c:v>
                      </c:pt>
                      <c:pt idx="51">
                        <c:v>203.7</c:v>
                      </c:pt>
                      <c:pt idx="52">
                        <c:v>205.4</c:v>
                      </c:pt>
                      <c:pt idx="53">
                        <c:v>207.7</c:v>
                      </c:pt>
                      <c:pt idx="54">
                        <c:v>209.9</c:v>
                      </c:pt>
                      <c:pt idx="55">
                        <c:v>212.3</c:v>
                      </c:pt>
                      <c:pt idx="56">
                        <c:v>214.7</c:v>
                      </c:pt>
                      <c:pt idx="57">
                        <c:v>216.8</c:v>
                      </c:pt>
                      <c:pt idx="58">
                        <c:v>217.4</c:v>
                      </c:pt>
                      <c:pt idx="59">
                        <c:v>219.5</c:v>
                      </c:pt>
                      <c:pt idx="60">
                        <c:v>221.3</c:v>
                      </c:pt>
                      <c:pt idx="61">
                        <c:v>224</c:v>
                      </c:pt>
                      <c:pt idx="62">
                        <c:v>226.6</c:v>
                      </c:pt>
                      <c:pt idx="63">
                        <c:v>228.8</c:v>
                      </c:pt>
                      <c:pt idx="64">
                        <c:v>230.8</c:v>
                      </c:pt>
                      <c:pt idx="65">
                        <c:v>233.2</c:v>
                      </c:pt>
                      <c:pt idx="66">
                        <c:v>235.9</c:v>
                      </c:pt>
                      <c:pt idx="67">
                        <c:v>236.6</c:v>
                      </c:pt>
                      <c:pt idx="68">
                        <c:v>239</c:v>
                      </c:pt>
                      <c:pt idx="69">
                        <c:v>242.2</c:v>
                      </c:pt>
                      <c:pt idx="70">
                        <c:v>245.6</c:v>
                      </c:pt>
                      <c:pt idx="71">
                        <c:v>248.5</c:v>
                      </c:pt>
                      <c:pt idx="72">
                        <c:v>251.1</c:v>
                      </c:pt>
                      <c:pt idx="73">
                        <c:v>254.4</c:v>
                      </c:pt>
                      <c:pt idx="74">
                        <c:v>255.5</c:v>
                      </c:pt>
                      <c:pt idx="75">
                        <c:v>258</c:v>
                      </c:pt>
                      <c:pt idx="76">
                        <c:v>262</c:v>
                      </c:pt>
                      <c:pt idx="77">
                        <c:v>265.10000000000002</c:v>
                      </c:pt>
                      <c:pt idx="78">
                        <c:v>268.10000000000002</c:v>
                      </c:pt>
                      <c:pt idx="79">
                        <c:v>271.60000000000002</c:v>
                      </c:pt>
                      <c:pt idx="80">
                        <c:v>273.39999999999998</c:v>
                      </c:pt>
                      <c:pt idx="81">
                        <c:v>278.2</c:v>
                      </c:pt>
                      <c:pt idx="82">
                        <c:v>282</c:v>
                      </c:pt>
                      <c:pt idx="83">
                        <c:v>286.60000000000002</c:v>
                      </c:pt>
                      <c:pt idx="84">
                        <c:v>288.7</c:v>
                      </c:pt>
                      <c:pt idx="85">
                        <c:v>294.5</c:v>
                      </c:pt>
                      <c:pt idx="86">
                        <c:v>298.5</c:v>
                      </c:pt>
                      <c:pt idx="87">
                        <c:v>302.89999999999998</c:v>
                      </c:pt>
                      <c:pt idx="88">
                        <c:v>307.2</c:v>
                      </c:pt>
                      <c:pt idx="89">
                        <c:v>312.7</c:v>
                      </c:pt>
                      <c:pt idx="90">
                        <c:v>317.5</c:v>
                      </c:pt>
                      <c:pt idx="91">
                        <c:v>324.3</c:v>
                      </c:pt>
                      <c:pt idx="92">
                        <c:v>330.9</c:v>
                      </c:pt>
                      <c:pt idx="93">
                        <c:v>339</c:v>
                      </c:pt>
                      <c:pt idx="94">
                        <c:v>346.8</c:v>
                      </c:pt>
                      <c:pt idx="95">
                        <c:v>357</c:v>
                      </c:pt>
                      <c:pt idx="96">
                        <c:v>368.4</c:v>
                      </c:pt>
                      <c:pt idx="97">
                        <c:v>381.2</c:v>
                      </c:pt>
                      <c:pt idx="98">
                        <c:v>399.8</c:v>
                      </c:pt>
                      <c:pt idx="99">
                        <c:v>426</c:v>
                      </c:pt>
                      <c:pt idx="100">
                        <c:v>448.1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29C-460D-9626-D125B23F4421}"/>
                  </c:ext>
                </c:extLst>
              </c15:ser>
            </c15:filteredScatterSeries>
          </c:ext>
        </c:extLst>
      </c:scatterChart>
      <c:valAx>
        <c:axId val="48001308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914192"/>
        <c:crosses val="autoZero"/>
        <c:crossBetween val="midCat"/>
      </c:valAx>
      <c:valAx>
        <c:axId val="190791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Boiling Point, degC</a:t>
                </a:r>
              </a:p>
            </c:rich>
          </c:tx>
          <c:layout>
            <c:manualLayout>
              <c:xMode val="edge"/>
              <c:yMode val="edge"/>
              <c:x val="0.10860236771949351"/>
              <c:y val="0.279813540164886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01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57479650071859245"/>
          <c:y val="0.39178507287094483"/>
          <c:w val="0.27378162243270304"/>
          <c:h val="0.188722560295032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High Sediment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990859836933707E-2"/>
          <c:y val="0.10369882621883431"/>
          <c:w val="0.79347167744787084"/>
          <c:h val="0.75872124381441231"/>
        </c:manualLayout>
      </c:layout>
      <c:scatterChart>
        <c:scatterStyle val="smoothMarker"/>
        <c:varyColors val="0"/>
        <c:ser>
          <c:idx val="3"/>
          <c:order val="3"/>
          <c:tx>
            <c:v>High Sedimentation VR Feed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'!$I$10:$I$54</c:f>
              <c:numCache>
                <c:formatCode>General</c:formatCode>
                <c:ptCount val="45"/>
                <c:pt idx="0">
                  <c:v>436.7</c:v>
                </c:pt>
                <c:pt idx="1">
                  <c:v>499.2</c:v>
                </c:pt>
                <c:pt idx="2">
                  <c:v>527.20000000000005</c:v>
                </c:pt>
                <c:pt idx="3">
                  <c:v>538.6</c:v>
                </c:pt>
                <c:pt idx="4">
                  <c:v>546.5</c:v>
                </c:pt>
                <c:pt idx="5">
                  <c:v>553.1</c:v>
                </c:pt>
                <c:pt idx="6">
                  <c:v>558.5</c:v>
                </c:pt>
                <c:pt idx="7">
                  <c:v>563.20000000000005</c:v>
                </c:pt>
                <c:pt idx="8">
                  <c:v>567.4</c:v>
                </c:pt>
                <c:pt idx="9">
                  <c:v>571.1</c:v>
                </c:pt>
                <c:pt idx="10">
                  <c:v>574.70000000000005</c:v>
                </c:pt>
                <c:pt idx="11">
                  <c:v>578.20000000000005</c:v>
                </c:pt>
                <c:pt idx="12">
                  <c:v>581.70000000000005</c:v>
                </c:pt>
                <c:pt idx="13">
                  <c:v>585.1</c:v>
                </c:pt>
                <c:pt idx="14">
                  <c:v>588.4</c:v>
                </c:pt>
                <c:pt idx="15">
                  <c:v>591.6</c:v>
                </c:pt>
                <c:pt idx="16">
                  <c:v>594.79999999999995</c:v>
                </c:pt>
                <c:pt idx="17">
                  <c:v>598</c:v>
                </c:pt>
                <c:pt idx="18">
                  <c:v>601.20000000000005</c:v>
                </c:pt>
                <c:pt idx="19">
                  <c:v>604.6</c:v>
                </c:pt>
                <c:pt idx="20">
                  <c:v>607.9</c:v>
                </c:pt>
                <c:pt idx="21">
                  <c:v>611.20000000000005</c:v>
                </c:pt>
                <c:pt idx="22">
                  <c:v>614.5</c:v>
                </c:pt>
                <c:pt idx="23">
                  <c:v>618</c:v>
                </c:pt>
                <c:pt idx="24">
                  <c:v>621.5</c:v>
                </c:pt>
                <c:pt idx="25">
                  <c:v>624.9</c:v>
                </c:pt>
                <c:pt idx="26">
                  <c:v>628.4</c:v>
                </c:pt>
                <c:pt idx="27">
                  <c:v>631.79999999999995</c:v>
                </c:pt>
                <c:pt idx="28">
                  <c:v>635.20000000000005</c:v>
                </c:pt>
                <c:pt idx="29">
                  <c:v>638.79999999999995</c:v>
                </c:pt>
                <c:pt idx="30">
                  <c:v>642.6</c:v>
                </c:pt>
                <c:pt idx="31">
                  <c:v>646.5</c:v>
                </c:pt>
                <c:pt idx="32">
                  <c:v>650.20000000000005</c:v>
                </c:pt>
                <c:pt idx="33">
                  <c:v>654</c:v>
                </c:pt>
                <c:pt idx="34">
                  <c:v>657.6</c:v>
                </c:pt>
                <c:pt idx="35">
                  <c:v>662.3</c:v>
                </c:pt>
                <c:pt idx="36">
                  <c:v>667.3</c:v>
                </c:pt>
                <c:pt idx="37">
                  <c:v>672.1</c:v>
                </c:pt>
                <c:pt idx="38">
                  <c:v>677.2</c:v>
                </c:pt>
                <c:pt idx="39">
                  <c:v>683</c:v>
                </c:pt>
                <c:pt idx="40">
                  <c:v>688.5</c:v>
                </c:pt>
                <c:pt idx="41">
                  <c:v>693.9</c:v>
                </c:pt>
                <c:pt idx="42">
                  <c:v>700.7</c:v>
                </c:pt>
                <c:pt idx="43">
                  <c:v>708.3</c:v>
                </c:pt>
                <c:pt idx="44">
                  <c:v>721.3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2A-48A8-B010-814E40297066}"/>
            </c:ext>
          </c:extLst>
        </c:ser>
        <c:ser>
          <c:idx val="4"/>
          <c:order val="4"/>
          <c:tx>
            <c:v>HPS 13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'!$V$10:$V$98</c:f>
              <c:numCache>
                <c:formatCode>General</c:formatCode>
                <c:ptCount val="89"/>
                <c:pt idx="0">
                  <c:v>121.9</c:v>
                </c:pt>
                <c:pt idx="1">
                  <c:v>144.19999999999999</c:v>
                </c:pt>
                <c:pt idx="2">
                  <c:v>169.7</c:v>
                </c:pt>
                <c:pt idx="3">
                  <c:v>185.8</c:v>
                </c:pt>
                <c:pt idx="4">
                  <c:v>200.3</c:v>
                </c:pt>
                <c:pt idx="5">
                  <c:v>212.1</c:v>
                </c:pt>
                <c:pt idx="6">
                  <c:v>221.4</c:v>
                </c:pt>
                <c:pt idx="7">
                  <c:v>231.3</c:v>
                </c:pt>
                <c:pt idx="8">
                  <c:v>239.7</c:v>
                </c:pt>
                <c:pt idx="9">
                  <c:v>249.7</c:v>
                </c:pt>
                <c:pt idx="10">
                  <c:v>257</c:v>
                </c:pt>
                <c:pt idx="11">
                  <c:v>266.5</c:v>
                </c:pt>
                <c:pt idx="12">
                  <c:v>274</c:v>
                </c:pt>
                <c:pt idx="13">
                  <c:v>283.3</c:v>
                </c:pt>
                <c:pt idx="14">
                  <c:v>290.89999999999998</c:v>
                </c:pt>
                <c:pt idx="15">
                  <c:v>298.7</c:v>
                </c:pt>
                <c:pt idx="16">
                  <c:v>305.2</c:v>
                </c:pt>
                <c:pt idx="17">
                  <c:v>313</c:v>
                </c:pt>
                <c:pt idx="18">
                  <c:v>319.2</c:v>
                </c:pt>
                <c:pt idx="19">
                  <c:v>326.5</c:v>
                </c:pt>
                <c:pt idx="20">
                  <c:v>332.5</c:v>
                </c:pt>
                <c:pt idx="21">
                  <c:v>339.7</c:v>
                </c:pt>
                <c:pt idx="22">
                  <c:v>345.6</c:v>
                </c:pt>
                <c:pt idx="23">
                  <c:v>352.5</c:v>
                </c:pt>
                <c:pt idx="24">
                  <c:v>358.2</c:v>
                </c:pt>
                <c:pt idx="25">
                  <c:v>364.6</c:v>
                </c:pt>
                <c:pt idx="26">
                  <c:v>370.5</c:v>
                </c:pt>
                <c:pt idx="27">
                  <c:v>377.3</c:v>
                </c:pt>
                <c:pt idx="28">
                  <c:v>383.6</c:v>
                </c:pt>
                <c:pt idx="29">
                  <c:v>390.3</c:v>
                </c:pt>
                <c:pt idx="30">
                  <c:v>395.2</c:v>
                </c:pt>
                <c:pt idx="31">
                  <c:v>399.6</c:v>
                </c:pt>
                <c:pt idx="32">
                  <c:v>404.7</c:v>
                </c:pt>
                <c:pt idx="33">
                  <c:v>409</c:v>
                </c:pt>
                <c:pt idx="34">
                  <c:v>415.2</c:v>
                </c:pt>
                <c:pt idx="35">
                  <c:v>422.4</c:v>
                </c:pt>
                <c:pt idx="36">
                  <c:v>430</c:v>
                </c:pt>
                <c:pt idx="37">
                  <c:v>435.4</c:v>
                </c:pt>
                <c:pt idx="38">
                  <c:v>440.2</c:v>
                </c:pt>
                <c:pt idx="39">
                  <c:v>445.5</c:v>
                </c:pt>
                <c:pt idx="40">
                  <c:v>450.9</c:v>
                </c:pt>
                <c:pt idx="41">
                  <c:v>457.1</c:v>
                </c:pt>
                <c:pt idx="42">
                  <c:v>464</c:v>
                </c:pt>
                <c:pt idx="43">
                  <c:v>469.5</c:v>
                </c:pt>
                <c:pt idx="44">
                  <c:v>474.7</c:v>
                </c:pt>
                <c:pt idx="45">
                  <c:v>480.1</c:v>
                </c:pt>
                <c:pt idx="46">
                  <c:v>486</c:v>
                </c:pt>
                <c:pt idx="47">
                  <c:v>492</c:v>
                </c:pt>
                <c:pt idx="48">
                  <c:v>497.6</c:v>
                </c:pt>
                <c:pt idx="49">
                  <c:v>502.5</c:v>
                </c:pt>
                <c:pt idx="50">
                  <c:v>507.4</c:v>
                </c:pt>
                <c:pt idx="51">
                  <c:v>512.70000000000005</c:v>
                </c:pt>
                <c:pt idx="52">
                  <c:v>518.20000000000005</c:v>
                </c:pt>
                <c:pt idx="53">
                  <c:v>523.5</c:v>
                </c:pt>
                <c:pt idx="54">
                  <c:v>528.29999999999995</c:v>
                </c:pt>
                <c:pt idx="55">
                  <c:v>533</c:v>
                </c:pt>
                <c:pt idx="56">
                  <c:v>537.6</c:v>
                </c:pt>
                <c:pt idx="57">
                  <c:v>542.1</c:v>
                </c:pt>
                <c:pt idx="58">
                  <c:v>546.70000000000005</c:v>
                </c:pt>
                <c:pt idx="59">
                  <c:v>551.29999999999995</c:v>
                </c:pt>
                <c:pt idx="60">
                  <c:v>556</c:v>
                </c:pt>
                <c:pt idx="61">
                  <c:v>560.29999999999995</c:v>
                </c:pt>
                <c:pt idx="62">
                  <c:v>564.4</c:v>
                </c:pt>
                <c:pt idx="63">
                  <c:v>568.4</c:v>
                </c:pt>
                <c:pt idx="64">
                  <c:v>572.20000000000005</c:v>
                </c:pt>
                <c:pt idx="65">
                  <c:v>576.20000000000005</c:v>
                </c:pt>
                <c:pt idx="66">
                  <c:v>580.20000000000005</c:v>
                </c:pt>
                <c:pt idx="67">
                  <c:v>584.4</c:v>
                </c:pt>
                <c:pt idx="68">
                  <c:v>588.5</c:v>
                </c:pt>
                <c:pt idx="69">
                  <c:v>592.6</c:v>
                </c:pt>
                <c:pt idx="70">
                  <c:v>596.79999999999995</c:v>
                </c:pt>
                <c:pt idx="71">
                  <c:v>601.1</c:v>
                </c:pt>
                <c:pt idx="72">
                  <c:v>605.6</c:v>
                </c:pt>
                <c:pt idx="73">
                  <c:v>610.20000000000005</c:v>
                </c:pt>
                <c:pt idx="74">
                  <c:v>615</c:v>
                </c:pt>
                <c:pt idx="75">
                  <c:v>620</c:v>
                </c:pt>
                <c:pt idx="76">
                  <c:v>625.20000000000005</c:v>
                </c:pt>
                <c:pt idx="77">
                  <c:v>630.5</c:v>
                </c:pt>
                <c:pt idx="78">
                  <c:v>635.9</c:v>
                </c:pt>
                <c:pt idx="79">
                  <c:v>641.9</c:v>
                </c:pt>
                <c:pt idx="80">
                  <c:v>648.29999999999995</c:v>
                </c:pt>
                <c:pt idx="81">
                  <c:v>654.70000000000005</c:v>
                </c:pt>
                <c:pt idx="82">
                  <c:v>662.1</c:v>
                </c:pt>
                <c:pt idx="83">
                  <c:v>670.9</c:v>
                </c:pt>
                <c:pt idx="84">
                  <c:v>680.3</c:v>
                </c:pt>
                <c:pt idx="85">
                  <c:v>690.2</c:v>
                </c:pt>
                <c:pt idx="86">
                  <c:v>700.4</c:v>
                </c:pt>
                <c:pt idx="87">
                  <c:v>712.3</c:v>
                </c:pt>
                <c:pt idx="88">
                  <c:v>726.7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2A-48A8-B010-814E40297066}"/>
            </c:ext>
          </c:extLst>
        </c:ser>
        <c:ser>
          <c:idx val="6"/>
          <c:order val="6"/>
          <c:tx>
            <c:v>LTO 13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'!$V$116:$V$216</c:f>
              <c:numCache>
                <c:formatCode>General</c:formatCode>
                <c:ptCount val="101"/>
                <c:pt idx="0">
                  <c:v>54.4</c:v>
                </c:pt>
                <c:pt idx="1">
                  <c:v>61.4</c:v>
                </c:pt>
                <c:pt idx="2">
                  <c:v>74.3</c:v>
                </c:pt>
                <c:pt idx="3">
                  <c:v>87.8</c:v>
                </c:pt>
                <c:pt idx="4">
                  <c:v>92.7</c:v>
                </c:pt>
                <c:pt idx="5">
                  <c:v>98.2</c:v>
                </c:pt>
                <c:pt idx="6">
                  <c:v>101.3</c:v>
                </c:pt>
                <c:pt idx="7">
                  <c:v>105.5</c:v>
                </c:pt>
                <c:pt idx="8">
                  <c:v>114.5</c:v>
                </c:pt>
                <c:pt idx="9">
                  <c:v>117.2</c:v>
                </c:pt>
                <c:pt idx="10">
                  <c:v>118.4</c:v>
                </c:pt>
                <c:pt idx="11">
                  <c:v>121.9</c:v>
                </c:pt>
                <c:pt idx="12">
                  <c:v>126.3</c:v>
                </c:pt>
                <c:pt idx="13">
                  <c:v>126.9</c:v>
                </c:pt>
                <c:pt idx="14">
                  <c:v>127.3</c:v>
                </c:pt>
                <c:pt idx="15">
                  <c:v>133</c:v>
                </c:pt>
                <c:pt idx="16">
                  <c:v>134.30000000000001</c:v>
                </c:pt>
                <c:pt idx="17">
                  <c:v>138.1</c:v>
                </c:pt>
                <c:pt idx="18">
                  <c:v>140.69999999999999</c:v>
                </c:pt>
                <c:pt idx="19">
                  <c:v>143</c:v>
                </c:pt>
                <c:pt idx="20">
                  <c:v>144.69999999999999</c:v>
                </c:pt>
                <c:pt idx="21">
                  <c:v>146</c:v>
                </c:pt>
                <c:pt idx="22">
                  <c:v>149.80000000000001</c:v>
                </c:pt>
                <c:pt idx="23">
                  <c:v>151.80000000000001</c:v>
                </c:pt>
                <c:pt idx="24">
                  <c:v>152.30000000000001</c:v>
                </c:pt>
                <c:pt idx="25">
                  <c:v>152.80000000000001</c:v>
                </c:pt>
                <c:pt idx="26">
                  <c:v>157.1</c:v>
                </c:pt>
                <c:pt idx="27">
                  <c:v>159.80000000000001</c:v>
                </c:pt>
                <c:pt idx="28">
                  <c:v>161.4</c:v>
                </c:pt>
                <c:pt idx="29">
                  <c:v>163</c:v>
                </c:pt>
                <c:pt idx="30">
                  <c:v>165.8</c:v>
                </c:pt>
                <c:pt idx="31">
                  <c:v>166.6</c:v>
                </c:pt>
                <c:pt idx="32">
                  <c:v>167.7</c:v>
                </c:pt>
                <c:pt idx="33">
                  <c:v>169.9</c:v>
                </c:pt>
                <c:pt idx="34">
                  <c:v>172.3</c:v>
                </c:pt>
                <c:pt idx="35">
                  <c:v>174.8</c:v>
                </c:pt>
                <c:pt idx="36">
                  <c:v>175.4</c:v>
                </c:pt>
                <c:pt idx="37">
                  <c:v>175.9</c:v>
                </c:pt>
                <c:pt idx="38">
                  <c:v>178.3</c:v>
                </c:pt>
                <c:pt idx="39">
                  <c:v>180.4</c:v>
                </c:pt>
                <c:pt idx="40">
                  <c:v>182.5</c:v>
                </c:pt>
                <c:pt idx="41">
                  <c:v>184.2</c:v>
                </c:pt>
                <c:pt idx="42">
                  <c:v>186.4</c:v>
                </c:pt>
                <c:pt idx="43">
                  <c:v>188.7</c:v>
                </c:pt>
                <c:pt idx="44">
                  <c:v>190</c:v>
                </c:pt>
                <c:pt idx="45">
                  <c:v>192.8</c:v>
                </c:pt>
                <c:pt idx="46">
                  <c:v>195.6</c:v>
                </c:pt>
                <c:pt idx="47">
                  <c:v>197</c:v>
                </c:pt>
                <c:pt idx="48">
                  <c:v>197.5</c:v>
                </c:pt>
                <c:pt idx="49">
                  <c:v>199.5</c:v>
                </c:pt>
                <c:pt idx="50">
                  <c:v>202.3</c:v>
                </c:pt>
                <c:pt idx="51">
                  <c:v>203.7</c:v>
                </c:pt>
                <c:pt idx="52">
                  <c:v>205.4</c:v>
                </c:pt>
                <c:pt idx="53">
                  <c:v>207.7</c:v>
                </c:pt>
                <c:pt idx="54">
                  <c:v>209.9</c:v>
                </c:pt>
                <c:pt idx="55">
                  <c:v>212.3</c:v>
                </c:pt>
                <c:pt idx="56">
                  <c:v>214.7</c:v>
                </c:pt>
                <c:pt idx="57">
                  <c:v>216.8</c:v>
                </c:pt>
                <c:pt idx="58">
                  <c:v>217.4</c:v>
                </c:pt>
                <c:pt idx="59">
                  <c:v>219.5</c:v>
                </c:pt>
                <c:pt idx="60">
                  <c:v>221.3</c:v>
                </c:pt>
                <c:pt idx="61">
                  <c:v>224</c:v>
                </c:pt>
                <c:pt idx="62">
                  <c:v>226.6</c:v>
                </c:pt>
                <c:pt idx="63">
                  <c:v>228.8</c:v>
                </c:pt>
                <c:pt idx="64">
                  <c:v>230.8</c:v>
                </c:pt>
                <c:pt idx="65">
                  <c:v>233.2</c:v>
                </c:pt>
                <c:pt idx="66">
                  <c:v>235.9</c:v>
                </c:pt>
                <c:pt idx="67">
                  <c:v>236.6</c:v>
                </c:pt>
                <c:pt idx="68">
                  <c:v>239</c:v>
                </c:pt>
                <c:pt idx="69">
                  <c:v>242.2</c:v>
                </c:pt>
                <c:pt idx="70">
                  <c:v>245.6</c:v>
                </c:pt>
                <c:pt idx="71">
                  <c:v>248.5</c:v>
                </c:pt>
                <c:pt idx="72">
                  <c:v>251.1</c:v>
                </c:pt>
                <c:pt idx="73">
                  <c:v>254.4</c:v>
                </c:pt>
                <c:pt idx="74">
                  <c:v>255.5</c:v>
                </c:pt>
                <c:pt idx="75">
                  <c:v>258</c:v>
                </c:pt>
                <c:pt idx="76">
                  <c:v>262</c:v>
                </c:pt>
                <c:pt idx="77">
                  <c:v>265.10000000000002</c:v>
                </c:pt>
                <c:pt idx="78">
                  <c:v>268.10000000000002</c:v>
                </c:pt>
                <c:pt idx="79">
                  <c:v>271.60000000000002</c:v>
                </c:pt>
                <c:pt idx="80">
                  <c:v>273.39999999999998</c:v>
                </c:pt>
                <c:pt idx="81">
                  <c:v>278.2</c:v>
                </c:pt>
                <c:pt idx="82">
                  <c:v>282</c:v>
                </c:pt>
                <c:pt idx="83">
                  <c:v>286.60000000000002</c:v>
                </c:pt>
                <c:pt idx="84">
                  <c:v>288.7</c:v>
                </c:pt>
                <c:pt idx="85">
                  <c:v>294.5</c:v>
                </c:pt>
                <c:pt idx="86">
                  <c:v>298.5</c:v>
                </c:pt>
                <c:pt idx="87">
                  <c:v>302.89999999999998</c:v>
                </c:pt>
                <c:pt idx="88">
                  <c:v>307.2</c:v>
                </c:pt>
                <c:pt idx="89">
                  <c:v>312.7</c:v>
                </c:pt>
                <c:pt idx="90">
                  <c:v>317.5</c:v>
                </c:pt>
                <c:pt idx="91">
                  <c:v>324.3</c:v>
                </c:pt>
                <c:pt idx="92">
                  <c:v>330.9</c:v>
                </c:pt>
                <c:pt idx="93">
                  <c:v>339</c:v>
                </c:pt>
                <c:pt idx="94">
                  <c:v>346.8</c:v>
                </c:pt>
                <c:pt idx="95">
                  <c:v>357</c:v>
                </c:pt>
                <c:pt idx="96">
                  <c:v>368.4</c:v>
                </c:pt>
                <c:pt idx="97">
                  <c:v>381.2</c:v>
                </c:pt>
                <c:pt idx="98">
                  <c:v>399.8</c:v>
                </c:pt>
                <c:pt idx="99">
                  <c:v>426</c:v>
                </c:pt>
                <c:pt idx="100">
                  <c:v>448.1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2A-48A8-B010-814E40297066}"/>
            </c:ext>
          </c:extLst>
        </c:ser>
        <c:ser>
          <c:idx val="7"/>
          <c:order val="7"/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02A-48A8-B010-814E40297066}"/>
              </c:ext>
            </c:extLst>
          </c:dPt>
          <c:xVal>
            <c:numRef>
              <c:f>'HPS LTO DAILY '!$AN$20:$AN$21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560</c:v>
              </c:pt>
              <c:pt idx="1">
                <c:v>560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E02A-48A8-B010-814E40297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3088"/>
        <c:axId val="19079141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5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LTO DAILY '!$D$223:$D$323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LTO DAILY '!$N$223:$N$323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118.8</c:v>
                      </c:pt>
                      <c:pt idx="1">
                        <c:v>176.6</c:v>
                      </c:pt>
                      <c:pt idx="2">
                        <c:v>244.2</c:v>
                      </c:pt>
                      <c:pt idx="3">
                        <c:v>281</c:v>
                      </c:pt>
                      <c:pt idx="4">
                        <c:v>309</c:v>
                      </c:pt>
                      <c:pt idx="5">
                        <c:v>330.2</c:v>
                      </c:pt>
                      <c:pt idx="6">
                        <c:v>348.9</c:v>
                      </c:pt>
                      <c:pt idx="7">
                        <c:v>364.2</c:v>
                      </c:pt>
                      <c:pt idx="8">
                        <c:v>377.3</c:v>
                      </c:pt>
                      <c:pt idx="9">
                        <c:v>388.8</c:v>
                      </c:pt>
                      <c:pt idx="10">
                        <c:v>399.5</c:v>
                      </c:pt>
                      <c:pt idx="11">
                        <c:v>409.9</c:v>
                      </c:pt>
                      <c:pt idx="12">
                        <c:v>419.8</c:v>
                      </c:pt>
                      <c:pt idx="13">
                        <c:v>428.9</c:v>
                      </c:pt>
                      <c:pt idx="14">
                        <c:v>438.1</c:v>
                      </c:pt>
                      <c:pt idx="15">
                        <c:v>446.9</c:v>
                      </c:pt>
                      <c:pt idx="16">
                        <c:v>455.4</c:v>
                      </c:pt>
                      <c:pt idx="17">
                        <c:v>463.7</c:v>
                      </c:pt>
                      <c:pt idx="18">
                        <c:v>471.7</c:v>
                      </c:pt>
                      <c:pt idx="19">
                        <c:v>479.4</c:v>
                      </c:pt>
                      <c:pt idx="20">
                        <c:v>486.8</c:v>
                      </c:pt>
                      <c:pt idx="21">
                        <c:v>493.8</c:v>
                      </c:pt>
                      <c:pt idx="22">
                        <c:v>500</c:v>
                      </c:pt>
                      <c:pt idx="23">
                        <c:v>505.7</c:v>
                      </c:pt>
                      <c:pt idx="24">
                        <c:v>511.2</c:v>
                      </c:pt>
                      <c:pt idx="25">
                        <c:v>516.6</c:v>
                      </c:pt>
                      <c:pt idx="26">
                        <c:v>521.6</c:v>
                      </c:pt>
                      <c:pt idx="27">
                        <c:v>526.1</c:v>
                      </c:pt>
                      <c:pt idx="28">
                        <c:v>530.20000000000005</c:v>
                      </c:pt>
                      <c:pt idx="29">
                        <c:v>534</c:v>
                      </c:pt>
                      <c:pt idx="30">
                        <c:v>537.6</c:v>
                      </c:pt>
                      <c:pt idx="31">
                        <c:v>541</c:v>
                      </c:pt>
                      <c:pt idx="32">
                        <c:v>544.20000000000005</c:v>
                      </c:pt>
                      <c:pt idx="33">
                        <c:v>547.4</c:v>
                      </c:pt>
                      <c:pt idx="34">
                        <c:v>550.5</c:v>
                      </c:pt>
                      <c:pt idx="35">
                        <c:v>553.5</c:v>
                      </c:pt>
                      <c:pt idx="36">
                        <c:v>556.29999999999995</c:v>
                      </c:pt>
                      <c:pt idx="37">
                        <c:v>559</c:v>
                      </c:pt>
                      <c:pt idx="38">
                        <c:v>561.5</c:v>
                      </c:pt>
                      <c:pt idx="39">
                        <c:v>564</c:v>
                      </c:pt>
                      <c:pt idx="40">
                        <c:v>566.4</c:v>
                      </c:pt>
                      <c:pt idx="41">
                        <c:v>568.6</c:v>
                      </c:pt>
                      <c:pt idx="42">
                        <c:v>570.79999999999995</c:v>
                      </c:pt>
                      <c:pt idx="43">
                        <c:v>572.9</c:v>
                      </c:pt>
                      <c:pt idx="44">
                        <c:v>575</c:v>
                      </c:pt>
                      <c:pt idx="45">
                        <c:v>577.20000000000005</c:v>
                      </c:pt>
                      <c:pt idx="46">
                        <c:v>579.4</c:v>
                      </c:pt>
                      <c:pt idx="47">
                        <c:v>581.6</c:v>
                      </c:pt>
                      <c:pt idx="48">
                        <c:v>583.79999999999995</c:v>
                      </c:pt>
                      <c:pt idx="49">
                        <c:v>585.9</c:v>
                      </c:pt>
                      <c:pt idx="50">
                        <c:v>588</c:v>
                      </c:pt>
                      <c:pt idx="51">
                        <c:v>590.1</c:v>
                      </c:pt>
                      <c:pt idx="52">
                        <c:v>592.29999999999995</c:v>
                      </c:pt>
                      <c:pt idx="53">
                        <c:v>594.29999999999995</c:v>
                      </c:pt>
                      <c:pt idx="54">
                        <c:v>596.4</c:v>
                      </c:pt>
                      <c:pt idx="55">
                        <c:v>598.5</c:v>
                      </c:pt>
                      <c:pt idx="56">
                        <c:v>600.6</c:v>
                      </c:pt>
                      <c:pt idx="57">
                        <c:v>602.79999999999995</c:v>
                      </c:pt>
                      <c:pt idx="58">
                        <c:v>605</c:v>
                      </c:pt>
                      <c:pt idx="59">
                        <c:v>607.29999999999995</c:v>
                      </c:pt>
                      <c:pt idx="60">
                        <c:v>609.5</c:v>
                      </c:pt>
                      <c:pt idx="61">
                        <c:v>611.70000000000005</c:v>
                      </c:pt>
                      <c:pt idx="62">
                        <c:v>613.9</c:v>
                      </c:pt>
                      <c:pt idx="63">
                        <c:v>616.20000000000005</c:v>
                      </c:pt>
                      <c:pt idx="64">
                        <c:v>618.6</c:v>
                      </c:pt>
                      <c:pt idx="65">
                        <c:v>621</c:v>
                      </c:pt>
                      <c:pt idx="66">
                        <c:v>623.4</c:v>
                      </c:pt>
                      <c:pt idx="67">
                        <c:v>625.70000000000005</c:v>
                      </c:pt>
                      <c:pt idx="68">
                        <c:v>628</c:v>
                      </c:pt>
                      <c:pt idx="69">
                        <c:v>630.29999999999995</c:v>
                      </c:pt>
                      <c:pt idx="70">
                        <c:v>632.6</c:v>
                      </c:pt>
                      <c:pt idx="71">
                        <c:v>634.9</c:v>
                      </c:pt>
                      <c:pt idx="72">
                        <c:v>637.4</c:v>
                      </c:pt>
                      <c:pt idx="73">
                        <c:v>639.9</c:v>
                      </c:pt>
                      <c:pt idx="74">
                        <c:v>642.4</c:v>
                      </c:pt>
                      <c:pt idx="75">
                        <c:v>645.1</c:v>
                      </c:pt>
                      <c:pt idx="76">
                        <c:v>647.79999999999995</c:v>
                      </c:pt>
                      <c:pt idx="77">
                        <c:v>650.29999999999995</c:v>
                      </c:pt>
                      <c:pt idx="78">
                        <c:v>652.9</c:v>
                      </c:pt>
                      <c:pt idx="79">
                        <c:v>655.29999999999995</c:v>
                      </c:pt>
                      <c:pt idx="80">
                        <c:v>657.8</c:v>
                      </c:pt>
                      <c:pt idx="81">
                        <c:v>661</c:v>
                      </c:pt>
                      <c:pt idx="82">
                        <c:v>664.3</c:v>
                      </c:pt>
                      <c:pt idx="83">
                        <c:v>667.7</c:v>
                      </c:pt>
                      <c:pt idx="84">
                        <c:v>671</c:v>
                      </c:pt>
                      <c:pt idx="85">
                        <c:v>674</c:v>
                      </c:pt>
                      <c:pt idx="86">
                        <c:v>677.6</c:v>
                      </c:pt>
                      <c:pt idx="87">
                        <c:v>681.5</c:v>
                      </c:pt>
                      <c:pt idx="88">
                        <c:v>684.9</c:v>
                      </c:pt>
                      <c:pt idx="89">
                        <c:v>688.4</c:v>
                      </c:pt>
                      <c:pt idx="90">
                        <c:v>691.8</c:v>
                      </c:pt>
                      <c:pt idx="91">
                        <c:v>694.7</c:v>
                      </c:pt>
                      <c:pt idx="92">
                        <c:v>698.8</c:v>
                      </c:pt>
                      <c:pt idx="93">
                        <c:v>702.4</c:v>
                      </c:pt>
                      <c:pt idx="94">
                        <c:v>706</c:v>
                      </c:pt>
                      <c:pt idx="95">
                        <c:v>710</c:v>
                      </c:pt>
                      <c:pt idx="96">
                        <c:v>714.3</c:v>
                      </c:pt>
                      <c:pt idx="97">
                        <c:v>718.8</c:v>
                      </c:pt>
                      <c:pt idx="98">
                        <c:v>723.7</c:v>
                      </c:pt>
                      <c:pt idx="99">
                        <c:v>729</c:v>
                      </c:pt>
                      <c:pt idx="100">
                        <c:v>731.8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E02A-48A8-B010-814E40297066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'!$V$220</c15:sqref>
                        </c15:formulaRef>
                      </c:ext>
                    </c:extLst>
                    <c:strCache>
                      <c:ptCount val="1"/>
                      <c:pt idx="0">
                        <c:v>13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'!$D$223:$D$323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'!$V$223:$V$295</c15:sqref>
                        </c15:formulaRef>
                      </c:ext>
                    </c:extLst>
                    <c:numCache>
                      <c:formatCode>General</c:formatCode>
                      <c:ptCount val="73"/>
                      <c:pt idx="0">
                        <c:v>124.1</c:v>
                      </c:pt>
                      <c:pt idx="1">
                        <c:v>166.3</c:v>
                      </c:pt>
                      <c:pt idx="2">
                        <c:v>213.1</c:v>
                      </c:pt>
                      <c:pt idx="3">
                        <c:v>244.5</c:v>
                      </c:pt>
                      <c:pt idx="4">
                        <c:v>270</c:v>
                      </c:pt>
                      <c:pt idx="5">
                        <c:v>293.3</c:v>
                      </c:pt>
                      <c:pt idx="6">
                        <c:v>313</c:v>
                      </c:pt>
                      <c:pt idx="7">
                        <c:v>330.4</c:v>
                      </c:pt>
                      <c:pt idx="8">
                        <c:v>346.2</c:v>
                      </c:pt>
                      <c:pt idx="9">
                        <c:v>361.3</c:v>
                      </c:pt>
                      <c:pt idx="10">
                        <c:v>376</c:v>
                      </c:pt>
                      <c:pt idx="11">
                        <c:v>390.6</c:v>
                      </c:pt>
                      <c:pt idx="12">
                        <c:v>400.8</c:v>
                      </c:pt>
                      <c:pt idx="13">
                        <c:v>410.9</c:v>
                      </c:pt>
                      <c:pt idx="14">
                        <c:v>425.2</c:v>
                      </c:pt>
                      <c:pt idx="15">
                        <c:v>437</c:v>
                      </c:pt>
                      <c:pt idx="16">
                        <c:v>446.5</c:v>
                      </c:pt>
                      <c:pt idx="17">
                        <c:v>457.9</c:v>
                      </c:pt>
                      <c:pt idx="18">
                        <c:v>468.9</c:v>
                      </c:pt>
                      <c:pt idx="19">
                        <c:v>478.1</c:v>
                      </c:pt>
                      <c:pt idx="20">
                        <c:v>487.9</c:v>
                      </c:pt>
                      <c:pt idx="21">
                        <c:v>497.5</c:v>
                      </c:pt>
                      <c:pt idx="22">
                        <c:v>505.2</c:v>
                      </c:pt>
                      <c:pt idx="23">
                        <c:v>513</c:v>
                      </c:pt>
                      <c:pt idx="24">
                        <c:v>520.9</c:v>
                      </c:pt>
                      <c:pt idx="25">
                        <c:v>527.5</c:v>
                      </c:pt>
                      <c:pt idx="26">
                        <c:v>533.6</c:v>
                      </c:pt>
                      <c:pt idx="27">
                        <c:v>539.1</c:v>
                      </c:pt>
                      <c:pt idx="28">
                        <c:v>544.20000000000005</c:v>
                      </c:pt>
                      <c:pt idx="29">
                        <c:v>549.20000000000005</c:v>
                      </c:pt>
                      <c:pt idx="30">
                        <c:v>553.79999999999995</c:v>
                      </c:pt>
                      <c:pt idx="31">
                        <c:v>558.1</c:v>
                      </c:pt>
                      <c:pt idx="32">
                        <c:v>562</c:v>
                      </c:pt>
                      <c:pt idx="33">
                        <c:v>565.79999999999995</c:v>
                      </c:pt>
                      <c:pt idx="34">
                        <c:v>569.20000000000005</c:v>
                      </c:pt>
                      <c:pt idx="35">
                        <c:v>572.4</c:v>
                      </c:pt>
                      <c:pt idx="36">
                        <c:v>575.6</c:v>
                      </c:pt>
                      <c:pt idx="37">
                        <c:v>578.9</c:v>
                      </c:pt>
                      <c:pt idx="38">
                        <c:v>582.1</c:v>
                      </c:pt>
                      <c:pt idx="39">
                        <c:v>585.20000000000005</c:v>
                      </c:pt>
                      <c:pt idx="40">
                        <c:v>588.4</c:v>
                      </c:pt>
                      <c:pt idx="41">
                        <c:v>591.5</c:v>
                      </c:pt>
                      <c:pt idx="42">
                        <c:v>594.5</c:v>
                      </c:pt>
                      <c:pt idx="43">
                        <c:v>597.5</c:v>
                      </c:pt>
                      <c:pt idx="44">
                        <c:v>600.6</c:v>
                      </c:pt>
                      <c:pt idx="45">
                        <c:v>603.79999999999995</c:v>
                      </c:pt>
                      <c:pt idx="46">
                        <c:v>607</c:v>
                      </c:pt>
                      <c:pt idx="47">
                        <c:v>610.20000000000005</c:v>
                      </c:pt>
                      <c:pt idx="48">
                        <c:v>613.4</c:v>
                      </c:pt>
                      <c:pt idx="49">
                        <c:v>616.6</c:v>
                      </c:pt>
                      <c:pt idx="50">
                        <c:v>620.1</c:v>
                      </c:pt>
                      <c:pt idx="51">
                        <c:v>623.5</c:v>
                      </c:pt>
                      <c:pt idx="52">
                        <c:v>626.9</c:v>
                      </c:pt>
                      <c:pt idx="53">
                        <c:v>630.29999999999995</c:v>
                      </c:pt>
                      <c:pt idx="54">
                        <c:v>633.79999999999995</c:v>
                      </c:pt>
                      <c:pt idx="55">
                        <c:v>637.29999999999995</c:v>
                      </c:pt>
                      <c:pt idx="56">
                        <c:v>641.1</c:v>
                      </c:pt>
                      <c:pt idx="57">
                        <c:v>645</c:v>
                      </c:pt>
                      <c:pt idx="58">
                        <c:v>648.9</c:v>
                      </c:pt>
                      <c:pt idx="59">
                        <c:v>652.9</c:v>
                      </c:pt>
                      <c:pt idx="60">
                        <c:v>656.7</c:v>
                      </c:pt>
                      <c:pt idx="61">
                        <c:v>661.3</c:v>
                      </c:pt>
                      <c:pt idx="62">
                        <c:v>666.3</c:v>
                      </c:pt>
                      <c:pt idx="63">
                        <c:v>671.4</c:v>
                      </c:pt>
                      <c:pt idx="64">
                        <c:v>676.3</c:v>
                      </c:pt>
                      <c:pt idx="65">
                        <c:v>682.2</c:v>
                      </c:pt>
                      <c:pt idx="66">
                        <c:v>687.5</c:v>
                      </c:pt>
                      <c:pt idx="67">
                        <c:v>692.8</c:v>
                      </c:pt>
                      <c:pt idx="68">
                        <c:v>698.5</c:v>
                      </c:pt>
                      <c:pt idx="69">
                        <c:v>704.3</c:v>
                      </c:pt>
                      <c:pt idx="70">
                        <c:v>710.9</c:v>
                      </c:pt>
                      <c:pt idx="71">
                        <c:v>718.7</c:v>
                      </c:pt>
                      <c:pt idx="72">
                        <c:v>727.3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02A-48A8-B010-814E40297066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'!$H$8</c15:sqref>
                        </c15:formulaRef>
                      </c:ext>
                    </c:extLst>
                    <c:strCache>
                      <c:ptCount val="1"/>
                      <c:pt idx="0">
                        <c:v>LowSed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'!$H$10:$H$57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462.3</c:v>
                      </c:pt>
                      <c:pt idx="1">
                        <c:v>528.9</c:v>
                      </c:pt>
                      <c:pt idx="2">
                        <c:v>546.9</c:v>
                      </c:pt>
                      <c:pt idx="3">
                        <c:v>555.20000000000005</c:v>
                      </c:pt>
                      <c:pt idx="4">
                        <c:v>561</c:v>
                      </c:pt>
                      <c:pt idx="5">
                        <c:v>565.70000000000005</c:v>
                      </c:pt>
                      <c:pt idx="6">
                        <c:v>569.70000000000005</c:v>
                      </c:pt>
                      <c:pt idx="7">
                        <c:v>573.20000000000005</c:v>
                      </c:pt>
                      <c:pt idx="8">
                        <c:v>576.70000000000005</c:v>
                      </c:pt>
                      <c:pt idx="9">
                        <c:v>580.1</c:v>
                      </c:pt>
                      <c:pt idx="10">
                        <c:v>583.4</c:v>
                      </c:pt>
                      <c:pt idx="11">
                        <c:v>586.6</c:v>
                      </c:pt>
                      <c:pt idx="12">
                        <c:v>589.6</c:v>
                      </c:pt>
                      <c:pt idx="13">
                        <c:v>592.6</c:v>
                      </c:pt>
                      <c:pt idx="14">
                        <c:v>595.6</c:v>
                      </c:pt>
                      <c:pt idx="15">
                        <c:v>598.5</c:v>
                      </c:pt>
                      <c:pt idx="16">
                        <c:v>601.4</c:v>
                      </c:pt>
                      <c:pt idx="17">
                        <c:v>604.4</c:v>
                      </c:pt>
                      <c:pt idx="18">
                        <c:v>607.29999999999995</c:v>
                      </c:pt>
                      <c:pt idx="19">
                        <c:v>610.20000000000005</c:v>
                      </c:pt>
                      <c:pt idx="20">
                        <c:v>613.1</c:v>
                      </c:pt>
                      <c:pt idx="21">
                        <c:v>616.1</c:v>
                      </c:pt>
                      <c:pt idx="22">
                        <c:v>619.20000000000005</c:v>
                      </c:pt>
                      <c:pt idx="23">
                        <c:v>622.29999999999995</c:v>
                      </c:pt>
                      <c:pt idx="24">
                        <c:v>625.29999999999995</c:v>
                      </c:pt>
                      <c:pt idx="25">
                        <c:v>628.4</c:v>
                      </c:pt>
                      <c:pt idx="26">
                        <c:v>631.4</c:v>
                      </c:pt>
                      <c:pt idx="27">
                        <c:v>634.4</c:v>
                      </c:pt>
                      <c:pt idx="28">
                        <c:v>637.5</c:v>
                      </c:pt>
                      <c:pt idx="29">
                        <c:v>640.79999999999995</c:v>
                      </c:pt>
                      <c:pt idx="30">
                        <c:v>644.20000000000005</c:v>
                      </c:pt>
                      <c:pt idx="31">
                        <c:v>647.6</c:v>
                      </c:pt>
                      <c:pt idx="32">
                        <c:v>650.9</c:v>
                      </c:pt>
                      <c:pt idx="33">
                        <c:v>654.20000000000005</c:v>
                      </c:pt>
                      <c:pt idx="34">
                        <c:v>657.5</c:v>
                      </c:pt>
                      <c:pt idx="35">
                        <c:v>661.5</c:v>
                      </c:pt>
                      <c:pt idx="36">
                        <c:v>665.8</c:v>
                      </c:pt>
                      <c:pt idx="37">
                        <c:v>670.3</c:v>
                      </c:pt>
                      <c:pt idx="38">
                        <c:v>674.2</c:v>
                      </c:pt>
                      <c:pt idx="39">
                        <c:v>679.2</c:v>
                      </c:pt>
                      <c:pt idx="40">
                        <c:v>683.9</c:v>
                      </c:pt>
                      <c:pt idx="41">
                        <c:v>688.5</c:v>
                      </c:pt>
                      <c:pt idx="42">
                        <c:v>693</c:v>
                      </c:pt>
                      <c:pt idx="43">
                        <c:v>697.8</c:v>
                      </c:pt>
                      <c:pt idx="44">
                        <c:v>702.9</c:v>
                      </c:pt>
                      <c:pt idx="45">
                        <c:v>708.2</c:v>
                      </c:pt>
                      <c:pt idx="46">
                        <c:v>715.3</c:v>
                      </c:pt>
                      <c:pt idx="47">
                        <c:v>724.1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02A-48A8-B010-814E40297066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HPS 5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'!$N$10:$N$98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95.5</c:v>
                      </c:pt>
                      <c:pt idx="1">
                        <c:v>125.7</c:v>
                      </c:pt>
                      <c:pt idx="2">
                        <c:v>155.6</c:v>
                      </c:pt>
                      <c:pt idx="3">
                        <c:v>174.7</c:v>
                      </c:pt>
                      <c:pt idx="4">
                        <c:v>190.5</c:v>
                      </c:pt>
                      <c:pt idx="5">
                        <c:v>203.2</c:v>
                      </c:pt>
                      <c:pt idx="6">
                        <c:v>216</c:v>
                      </c:pt>
                      <c:pt idx="7">
                        <c:v>226</c:v>
                      </c:pt>
                      <c:pt idx="8">
                        <c:v>235.1</c:v>
                      </c:pt>
                      <c:pt idx="9">
                        <c:v>245.2</c:v>
                      </c:pt>
                      <c:pt idx="10">
                        <c:v>253.3</c:v>
                      </c:pt>
                      <c:pt idx="11">
                        <c:v>262.5</c:v>
                      </c:pt>
                      <c:pt idx="12">
                        <c:v>270.2</c:v>
                      </c:pt>
                      <c:pt idx="13">
                        <c:v>278.8</c:v>
                      </c:pt>
                      <c:pt idx="14">
                        <c:v>286.39999999999998</c:v>
                      </c:pt>
                      <c:pt idx="15">
                        <c:v>294.10000000000002</c:v>
                      </c:pt>
                      <c:pt idx="16">
                        <c:v>301</c:v>
                      </c:pt>
                      <c:pt idx="17">
                        <c:v>308</c:v>
                      </c:pt>
                      <c:pt idx="18">
                        <c:v>314.89999999999998</c:v>
                      </c:pt>
                      <c:pt idx="19">
                        <c:v>321.3</c:v>
                      </c:pt>
                      <c:pt idx="20">
                        <c:v>328.2</c:v>
                      </c:pt>
                      <c:pt idx="21">
                        <c:v>334.2</c:v>
                      </c:pt>
                      <c:pt idx="22">
                        <c:v>340.8</c:v>
                      </c:pt>
                      <c:pt idx="23">
                        <c:v>346.4</c:v>
                      </c:pt>
                      <c:pt idx="24">
                        <c:v>352.3</c:v>
                      </c:pt>
                      <c:pt idx="25">
                        <c:v>357.5</c:v>
                      </c:pt>
                      <c:pt idx="26">
                        <c:v>363.2</c:v>
                      </c:pt>
                      <c:pt idx="27">
                        <c:v>368.5</c:v>
                      </c:pt>
                      <c:pt idx="28">
                        <c:v>375.1</c:v>
                      </c:pt>
                      <c:pt idx="29">
                        <c:v>381.5</c:v>
                      </c:pt>
                      <c:pt idx="30">
                        <c:v>388.2</c:v>
                      </c:pt>
                      <c:pt idx="31">
                        <c:v>393.9</c:v>
                      </c:pt>
                      <c:pt idx="32">
                        <c:v>399.4</c:v>
                      </c:pt>
                      <c:pt idx="33">
                        <c:v>404.7</c:v>
                      </c:pt>
                      <c:pt idx="34">
                        <c:v>410</c:v>
                      </c:pt>
                      <c:pt idx="35">
                        <c:v>415.6</c:v>
                      </c:pt>
                      <c:pt idx="36">
                        <c:v>421</c:v>
                      </c:pt>
                      <c:pt idx="37">
                        <c:v>427</c:v>
                      </c:pt>
                      <c:pt idx="38">
                        <c:v>432.5</c:v>
                      </c:pt>
                      <c:pt idx="39">
                        <c:v>438.1</c:v>
                      </c:pt>
                      <c:pt idx="40">
                        <c:v>443.3</c:v>
                      </c:pt>
                      <c:pt idx="41">
                        <c:v>448.5</c:v>
                      </c:pt>
                      <c:pt idx="42">
                        <c:v>454.3</c:v>
                      </c:pt>
                      <c:pt idx="43">
                        <c:v>459.9</c:v>
                      </c:pt>
                      <c:pt idx="44">
                        <c:v>465.4</c:v>
                      </c:pt>
                      <c:pt idx="45">
                        <c:v>471</c:v>
                      </c:pt>
                      <c:pt idx="46">
                        <c:v>476.4</c:v>
                      </c:pt>
                      <c:pt idx="47">
                        <c:v>481.9</c:v>
                      </c:pt>
                      <c:pt idx="48">
                        <c:v>487.5</c:v>
                      </c:pt>
                      <c:pt idx="49">
                        <c:v>493.2</c:v>
                      </c:pt>
                      <c:pt idx="50">
                        <c:v>498.4</c:v>
                      </c:pt>
                      <c:pt idx="51">
                        <c:v>503.4</c:v>
                      </c:pt>
                      <c:pt idx="52">
                        <c:v>508.3</c:v>
                      </c:pt>
                      <c:pt idx="53">
                        <c:v>513.70000000000005</c:v>
                      </c:pt>
                      <c:pt idx="54">
                        <c:v>519.1</c:v>
                      </c:pt>
                      <c:pt idx="55">
                        <c:v>524.20000000000005</c:v>
                      </c:pt>
                      <c:pt idx="56">
                        <c:v>529.1</c:v>
                      </c:pt>
                      <c:pt idx="57">
                        <c:v>533.9</c:v>
                      </c:pt>
                      <c:pt idx="58">
                        <c:v>538.70000000000005</c:v>
                      </c:pt>
                      <c:pt idx="59">
                        <c:v>543.29999999999995</c:v>
                      </c:pt>
                      <c:pt idx="60">
                        <c:v>548.1</c:v>
                      </c:pt>
                      <c:pt idx="61">
                        <c:v>552.79999999999995</c:v>
                      </c:pt>
                      <c:pt idx="62">
                        <c:v>557.4</c:v>
                      </c:pt>
                      <c:pt idx="63">
                        <c:v>561.79999999999995</c:v>
                      </c:pt>
                      <c:pt idx="64">
                        <c:v>566.1</c:v>
                      </c:pt>
                      <c:pt idx="65">
                        <c:v>570.20000000000005</c:v>
                      </c:pt>
                      <c:pt idx="66">
                        <c:v>574.20000000000005</c:v>
                      </c:pt>
                      <c:pt idx="67">
                        <c:v>578.5</c:v>
                      </c:pt>
                      <c:pt idx="68">
                        <c:v>582.9</c:v>
                      </c:pt>
                      <c:pt idx="69">
                        <c:v>587.20000000000005</c:v>
                      </c:pt>
                      <c:pt idx="70">
                        <c:v>591.6</c:v>
                      </c:pt>
                      <c:pt idx="71">
                        <c:v>596</c:v>
                      </c:pt>
                      <c:pt idx="72">
                        <c:v>600.5</c:v>
                      </c:pt>
                      <c:pt idx="73">
                        <c:v>605.29999999999995</c:v>
                      </c:pt>
                      <c:pt idx="74">
                        <c:v>610.29999999999995</c:v>
                      </c:pt>
                      <c:pt idx="75">
                        <c:v>615.29999999999995</c:v>
                      </c:pt>
                      <c:pt idx="76">
                        <c:v>620.9</c:v>
                      </c:pt>
                      <c:pt idx="77">
                        <c:v>626.4</c:v>
                      </c:pt>
                      <c:pt idx="78">
                        <c:v>632.1</c:v>
                      </c:pt>
                      <c:pt idx="79">
                        <c:v>638</c:v>
                      </c:pt>
                      <c:pt idx="80">
                        <c:v>644.6</c:v>
                      </c:pt>
                      <c:pt idx="81">
                        <c:v>651.6</c:v>
                      </c:pt>
                      <c:pt idx="82">
                        <c:v>658.6</c:v>
                      </c:pt>
                      <c:pt idx="83">
                        <c:v>667.9</c:v>
                      </c:pt>
                      <c:pt idx="84">
                        <c:v>677.4</c:v>
                      </c:pt>
                      <c:pt idx="85">
                        <c:v>688.1</c:v>
                      </c:pt>
                      <c:pt idx="86">
                        <c:v>698.6</c:v>
                      </c:pt>
                      <c:pt idx="87">
                        <c:v>709.6</c:v>
                      </c:pt>
                      <c:pt idx="88">
                        <c:v>722.6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02A-48A8-B010-814E40297066}"/>
                  </c:ext>
                </c:extLst>
              </c15:ser>
            </c15:filteredScatterSeries>
          </c:ext>
        </c:extLst>
      </c:scatterChart>
      <c:valAx>
        <c:axId val="48001308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914192"/>
        <c:crosses val="autoZero"/>
        <c:crossBetween val="midCat"/>
      </c:valAx>
      <c:valAx>
        <c:axId val="190791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Boiling Point, degC</a:t>
                </a:r>
              </a:p>
            </c:rich>
          </c:tx>
          <c:layout>
            <c:manualLayout>
              <c:xMode val="edge"/>
              <c:yMode val="edge"/>
              <c:x val="1.2709496818456014E-2"/>
              <c:y val="0.27981355288179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01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57479650071859245"/>
          <c:y val="0.39178507287094483"/>
          <c:w val="0.17525006185177258"/>
          <c:h val="0.188722560295032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Cracking Conversion</a:t>
            </a:r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2"/>
          <c:order val="0"/>
          <c:tx>
            <c:strRef>
              <c:f>'Master Template'!$C$144</c:f>
              <c:strCache>
                <c:ptCount val="1"/>
                <c:pt idx="0">
                  <c:v>+5%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7"/>
            <c:spPr>
              <a:solidFill>
                <a:schemeClr val="accent3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Template'!$F$144:$U$144</c:f>
              <c:numCache>
                <c:formatCode>0.00</c:formatCode>
                <c:ptCount val="16"/>
                <c:pt idx="0">
                  <c:v>46.2</c:v>
                </c:pt>
                <c:pt idx="1">
                  <c:v>43.575000000000003</c:v>
                </c:pt>
                <c:pt idx="2">
                  <c:v>42.524999999999999</c:v>
                </c:pt>
                <c:pt idx="3">
                  <c:v>41.894999999999996</c:v>
                </c:pt>
                <c:pt idx="4">
                  <c:v>71.400000000000006</c:v>
                </c:pt>
                <c:pt idx="5">
                  <c:v>70.875</c:v>
                </c:pt>
                <c:pt idx="6">
                  <c:v>71.19</c:v>
                </c:pt>
                <c:pt idx="7">
                  <c:v>71.61</c:v>
                </c:pt>
                <c:pt idx="8">
                  <c:v>71.400000000000006</c:v>
                </c:pt>
                <c:pt idx="9">
                  <c:v>71.61</c:v>
                </c:pt>
                <c:pt idx="10">
                  <c:v>69.825000000000003</c:v>
                </c:pt>
                <c:pt idx="11">
                  <c:v>69.09</c:v>
                </c:pt>
                <c:pt idx="12">
                  <c:v>69.510000000000005</c:v>
                </c:pt>
                <c:pt idx="13">
                  <c:v>71.61</c:v>
                </c:pt>
                <c:pt idx="14">
                  <c:v>71.820000000000007</c:v>
                </c:pt>
                <c:pt idx="15">
                  <c:v>71.400000000000006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C3-4F2C-AAAD-DED3EF7217B8}"/>
            </c:ext>
          </c:extLst>
        </c:ser>
        <c:ser>
          <c:idx val="1"/>
          <c:order val="1"/>
          <c:tx>
            <c:v>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2.7051873991945923E-3"/>
                  <c:y val="-6.6900907639872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C4-4F69-B17C-B93109A61A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Template'!$F$142:$U$142</c:f>
              <c:numCache>
                <c:formatCode>0.00</c:formatCode>
                <c:ptCount val="16"/>
                <c:pt idx="0">
                  <c:v>44</c:v>
                </c:pt>
                <c:pt idx="1">
                  <c:v>41.5</c:v>
                </c:pt>
                <c:pt idx="2">
                  <c:v>40.5</c:v>
                </c:pt>
                <c:pt idx="3">
                  <c:v>39.9</c:v>
                </c:pt>
                <c:pt idx="4">
                  <c:v>68</c:v>
                </c:pt>
                <c:pt idx="5">
                  <c:v>67.5</c:v>
                </c:pt>
                <c:pt idx="6">
                  <c:v>67.8</c:v>
                </c:pt>
                <c:pt idx="7">
                  <c:v>68.2</c:v>
                </c:pt>
                <c:pt idx="8">
                  <c:v>68</c:v>
                </c:pt>
                <c:pt idx="9">
                  <c:v>68.2</c:v>
                </c:pt>
                <c:pt idx="10">
                  <c:v>66.5</c:v>
                </c:pt>
                <c:pt idx="11">
                  <c:v>65.8</c:v>
                </c:pt>
                <c:pt idx="12">
                  <c:v>66.2</c:v>
                </c:pt>
                <c:pt idx="13">
                  <c:v>68.2</c:v>
                </c:pt>
                <c:pt idx="14">
                  <c:v>68.400000000000006</c:v>
                </c:pt>
                <c:pt idx="15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C3-4F2C-AAAD-DED3EF7217B8}"/>
            </c:ext>
          </c:extLst>
        </c:ser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-2.4547579835204822E-2"/>
                  <c:y val="4.85950349977178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47-4142-99C5-AB7B89C13594}"/>
                </c:ext>
              </c:extLst>
            </c:dLbl>
            <c:dLbl>
              <c:idx val="9"/>
              <c:layout>
                <c:manualLayout>
                  <c:x val="-4.861588940515614E-2"/>
                  <c:y val="9.26288871876367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969096695220038E-2"/>
                      <c:h val="4.16266452586359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247-4142-99C5-AB7B89C13594}"/>
                </c:ext>
              </c:extLst>
            </c:dLbl>
            <c:dLbl>
              <c:idx val="14"/>
              <c:layout>
                <c:manualLayout>
                  <c:x val="-9.9189058796660062E-17"/>
                  <c:y val="5.0175680729904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C4-4F69-B17C-B93109A61A8E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2E-417D-B8D4-384DAFAEBD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Template'!$F$140:$V$140</c:f>
              <c:numCache>
                <c:formatCode>0.00</c:formatCode>
                <c:ptCount val="17"/>
                <c:pt idx="0">
                  <c:v>38.617032080432409</c:v>
                </c:pt>
                <c:pt idx="1">
                  <c:v>36.960459791175097</c:v>
                </c:pt>
                <c:pt idx="2">
                  <c:v>39.346283596715722</c:v>
                </c:pt>
                <c:pt idx="3">
                  <c:v>39.106101437805535</c:v>
                </c:pt>
                <c:pt idx="4">
                  <c:v>69.515548902270027</c:v>
                </c:pt>
                <c:pt idx="5">
                  <c:v>64.603212456070878</c:v>
                </c:pt>
                <c:pt idx="6">
                  <c:v>66.089600096537808</c:v>
                </c:pt>
                <c:pt idx="7">
                  <c:v>65.198799755569965</c:v>
                </c:pt>
                <c:pt idx="8">
                  <c:v>63.739784646471811</c:v>
                </c:pt>
                <c:pt idx="9">
                  <c:v>63.158939021148072</c:v>
                </c:pt>
                <c:pt idx="10">
                  <c:v>64.894359645947233</c:v>
                </c:pt>
                <c:pt idx="11">
                  <c:v>63.138261069506271</c:v>
                </c:pt>
                <c:pt idx="12">
                  <c:v>65.34042509661657</c:v>
                </c:pt>
                <c:pt idx="13">
                  <c:v>67.909430253472095</c:v>
                </c:pt>
                <c:pt idx="14">
                  <c:v>67.334069056274643</c:v>
                </c:pt>
                <c:pt idx="15">
                  <c:v>67.217660188327102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C3-4F2C-AAAD-DED3EF7217B8}"/>
            </c:ext>
          </c:extLst>
        </c:ser>
        <c:ser>
          <c:idx val="4"/>
          <c:order val="4"/>
          <c:tx>
            <c:strRef>
              <c:f>'Master Template'!$C$145</c:f>
              <c:strCache>
                <c:ptCount val="1"/>
                <c:pt idx="0">
                  <c:v>-5%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7"/>
            <c:spPr>
              <a:solidFill>
                <a:schemeClr val="accent5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Template'!$F$145:$U$145</c:f>
              <c:numCache>
                <c:formatCode>0.00</c:formatCode>
                <c:ptCount val="16"/>
                <c:pt idx="0">
                  <c:v>41.8</c:v>
                </c:pt>
                <c:pt idx="1">
                  <c:v>39.424999999999997</c:v>
                </c:pt>
                <c:pt idx="2">
                  <c:v>38.475000000000001</c:v>
                </c:pt>
                <c:pt idx="3">
                  <c:v>37.905000000000001</c:v>
                </c:pt>
                <c:pt idx="4">
                  <c:v>64.599999999999994</c:v>
                </c:pt>
                <c:pt idx="5">
                  <c:v>64.125</c:v>
                </c:pt>
                <c:pt idx="6">
                  <c:v>64.41</c:v>
                </c:pt>
                <c:pt idx="7">
                  <c:v>64.790000000000006</c:v>
                </c:pt>
                <c:pt idx="8">
                  <c:v>64.599999999999994</c:v>
                </c:pt>
                <c:pt idx="9">
                  <c:v>64.790000000000006</c:v>
                </c:pt>
                <c:pt idx="10">
                  <c:v>63.174999999999997</c:v>
                </c:pt>
                <c:pt idx="11">
                  <c:v>62.51</c:v>
                </c:pt>
                <c:pt idx="12">
                  <c:v>62.89</c:v>
                </c:pt>
                <c:pt idx="13">
                  <c:v>64.790000000000006</c:v>
                </c:pt>
                <c:pt idx="14">
                  <c:v>64.98</c:v>
                </c:pt>
                <c:pt idx="15">
                  <c:v>64.599999999999994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0A-4E06-B7F8-60C3D0E76273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5F1-4B01-9EF9-507185DD911A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5F1-4B01-9EF9-507185DD9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29C3-4F2C-AAAD-DED3EF7217B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 </a:t>
                </a:r>
                <a:r>
                  <a:rPr lang="en-US" sz="16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Conversion of </a:t>
                </a:r>
                <a:r>
                  <a:rPr lang="en-US" sz="1600" b="1" baseline="0"/>
                  <a:t> 560 degC plus 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3.3190274099124895E-2"/>
              <c:y val="0.255080188555025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950461317953121"/>
          <c:y val="0.47624473102505971"/>
          <c:w val="0.12501118995792143"/>
          <c:h val="0.18430009731929575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Sulfur</a:t>
            </a:r>
            <a:r>
              <a:rPr lang="en-US" b="1" baseline="0"/>
              <a:t> in HPS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5"/>
              <c:layout>
                <c:manualLayout>
                  <c:x val="-1.4934378533151113E-2"/>
                  <c:y val="-2.92134831460674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60A-4DF7-B636-167174EC738B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0A-4DF7-B636-167174EC73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Template'!$F$6:$W$6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Template'!$AP$26:$BF$26</c:f>
              <c:numCache>
                <c:formatCode>0.000</c:formatCode>
                <c:ptCount val="17"/>
                <c:pt idx="0">
                  <c:v>2.34</c:v>
                </c:pt>
                <c:pt idx="1">
                  <c:v>2.27</c:v>
                </c:pt>
                <c:pt idx="2">
                  <c:v>2.3340000000000001</c:v>
                </c:pt>
                <c:pt idx="3">
                  <c:v>2.3660000000000001</c:v>
                </c:pt>
                <c:pt idx="4">
                  <c:v>1.01</c:v>
                </c:pt>
                <c:pt idx="5">
                  <c:v>1.1919999999999999</c:v>
                </c:pt>
                <c:pt idx="6">
                  <c:v>1.45</c:v>
                </c:pt>
                <c:pt idx="7">
                  <c:v>1.4119999999999999</c:v>
                </c:pt>
                <c:pt idx="8">
                  <c:v>1.452</c:v>
                </c:pt>
                <c:pt idx="9">
                  <c:v>1.5389999999999999</c:v>
                </c:pt>
                <c:pt idx="10">
                  <c:v>1.4430000000000001</c:v>
                </c:pt>
                <c:pt idx="11">
                  <c:v>1.24</c:v>
                </c:pt>
                <c:pt idx="12">
                  <c:v>1.288</c:v>
                </c:pt>
                <c:pt idx="13">
                  <c:v>1.2649999999999999</c:v>
                </c:pt>
                <c:pt idx="14">
                  <c:v>1.302</c:v>
                </c:pt>
                <c:pt idx="15">
                  <c:v>1.363</c:v>
                </c:pt>
                <c:pt idx="16" formatCode="0.0000">
                  <c:v>1.3540000000000001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CDE-4375-A824-3D397EB046E7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CDE-4375-A824-3D397EB04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Template'!$F$6:$W$6</c15:sqref>
                        </c15:formulaRef>
                      </c:ext>
                    </c:extLst>
                    <c:strCach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16_2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Template'!$AP$27:$BE$27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2.15</c:v>
                      </c:pt>
                      <c:pt idx="1">
                        <c:v>2.2000000000000002</c:v>
                      </c:pt>
                      <c:pt idx="2">
                        <c:v>2.25</c:v>
                      </c:pt>
                      <c:pt idx="3">
                        <c:v>2.36</c:v>
                      </c:pt>
                      <c:pt idx="4">
                        <c:v>1.01</c:v>
                      </c:pt>
                      <c:pt idx="5">
                        <c:v>0.99</c:v>
                      </c:pt>
                      <c:pt idx="6">
                        <c:v>1.0900000000000001</c:v>
                      </c:pt>
                      <c:pt idx="7">
                        <c:v>1.1000000000000001</c:v>
                      </c:pt>
                      <c:pt idx="8">
                        <c:v>1.1200000000000001</c:v>
                      </c:pt>
                      <c:pt idx="9">
                        <c:v>1.1399999999999999</c:v>
                      </c:pt>
                      <c:pt idx="10">
                        <c:v>1.095</c:v>
                      </c:pt>
                      <c:pt idx="11">
                        <c:v>1</c:v>
                      </c:pt>
                      <c:pt idx="12">
                        <c:v>0.99</c:v>
                      </c:pt>
                      <c:pt idx="13">
                        <c:v>0.95</c:v>
                      </c:pt>
                      <c:pt idx="14">
                        <c:v>1</c:v>
                      </c:pt>
                      <c:pt idx="15">
                        <c:v>1.01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2.2356333875173225E-2"/>
              <c:y val="0.397782827097706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81721679552958626"/>
          <c:y val="0.34781235082465117"/>
          <c:w val="0.12532422660554138"/>
          <c:h val="9.4014162437299639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Nitrogen in HPS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B23-4E14-84BA-E508CE612CB5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23-4E14-84BA-E508CE612C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Template'!$F$6:$W$6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Template'!$AP$24:$BF$24</c:f>
              <c:numCache>
                <c:formatCode>0.00</c:formatCode>
                <c:ptCount val="17"/>
                <c:pt idx="0">
                  <c:v>0.37859999999999999</c:v>
                </c:pt>
                <c:pt idx="1">
                  <c:v>0.38369999999999999</c:v>
                </c:pt>
                <c:pt idx="2">
                  <c:v>0.35399999999999998</c:v>
                </c:pt>
                <c:pt idx="3">
                  <c:v>0.38159999999999999</c:v>
                </c:pt>
                <c:pt idx="4">
                  <c:v>0.30796200000000001</c:v>
                </c:pt>
                <c:pt idx="5">
                  <c:v>0.5151</c:v>
                </c:pt>
                <c:pt idx="6">
                  <c:v>0.54730000000000001</c:v>
                </c:pt>
                <c:pt idx="7">
                  <c:v>0.53578300000000001</c:v>
                </c:pt>
                <c:pt idx="8">
                  <c:v>0.57566499999999998</c:v>
                </c:pt>
                <c:pt idx="9">
                  <c:v>0.56129700000000005</c:v>
                </c:pt>
                <c:pt idx="10">
                  <c:v>0.57049399999999995</c:v>
                </c:pt>
                <c:pt idx="11">
                  <c:v>0.61370000000000002</c:v>
                </c:pt>
                <c:pt idx="12">
                  <c:v>0.66490000000000005</c:v>
                </c:pt>
                <c:pt idx="13">
                  <c:v>0.64762200000000003</c:v>
                </c:pt>
                <c:pt idx="14">
                  <c:v>0.64355899999999999</c:v>
                </c:pt>
                <c:pt idx="15">
                  <c:v>0.65059999999999996</c:v>
                </c:pt>
                <c:pt idx="16">
                  <c:v>0.64149999999999996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1079-47F7-9695-BA0B7BBE49E7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079-47F7-9695-BA0B7BBE4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strCach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16_2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Template'!$AP$25:$BE$25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0.34</c:v>
                      </c:pt>
                      <c:pt idx="1">
                        <c:v>0.35</c:v>
                      </c:pt>
                      <c:pt idx="2">
                        <c:v>0.36499999999999999</c:v>
                      </c:pt>
                      <c:pt idx="3">
                        <c:v>0.35599999999999998</c:v>
                      </c:pt>
                      <c:pt idx="4">
                        <c:v>0.32600000000000001</c:v>
                      </c:pt>
                      <c:pt idx="5">
                        <c:v>0.42</c:v>
                      </c:pt>
                      <c:pt idx="6">
                        <c:v>0.435</c:v>
                      </c:pt>
                      <c:pt idx="7">
                        <c:v>0.45</c:v>
                      </c:pt>
                      <c:pt idx="8">
                        <c:v>0.45100000000000001</c:v>
                      </c:pt>
                      <c:pt idx="9">
                        <c:v>0.4521</c:v>
                      </c:pt>
                      <c:pt idx="10">
                        <c:v>0.48499999999999999</c:v>
                      </c:pt>
                      <c:pt idx="11">
                        <c:v>0.51800000000000002</c:v>
                      </c:pt>
                      <c:pt idx="12">
                        <c:v>0.52</c:v>
                      </c:pt>
                      <c:pt idx="13">
                        <c:v>0.51249999999999996</c:v>
                      </c:pt>
                      <c:pt idx="14">
                        <c:v>0.52400000000000002</c:v>
                      </c:pt>
                      <c:pt idx="15">
                        <c:v>0.52480000000000004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3.0486811251183178E-2"/>
              <c:y val="0.38143479543081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  <c:majorUnit val="5.000000000000001E-2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81438851554983727"/>
          <c:y val="0.39041890358926939"/>
          <c:w val="0.12509686621863209"/>
          <c:h val="9.2357593814286723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Sulfur</a:t>
            </a:r>
            <a:r>
              <a:rPr lang="en-US" b="1" baseline="0"/>
              <a:t>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1"/>
          <c:order val="1"/>
          <c:tx>
            <c:v>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1.0007573190793025E-16"/>
                  <c:y val="-4.16528871409010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2A-43C6-8287-E6F029BB3A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Template'!$F$187:$U$187</c:f>
              <c:numCache>
                <c:formatCode>0.00</c:formatCode>
                <c:ptCount val="16"/>
                <c:pt idx="0">
                  <c:v>72</c:v>
                </c:pt>
                <c:pt idx="1">
                  <c:v>68</c:v>
                </c:pt>
                <c:pt idx="2">
                  <c:v>66</c:v>
                </c:pt>
                <c:pt idx="3">
                  <c:v>65.599999999999994</c:v>
                </c:pt>
                <c:pt idx="4">
                  <c:v>86</c:v>
                </c:pt>
                <c:pt idx="5">
                  <c:v>87</c:v>
                </c:pt>
                <c:pt idx="6">
                  <c:v>86</c:v>
                </c:pt>
                <c:pt idx="7">
                  <c:v>85.5</c:v>
                </c:pt>
                <c:pt idx="8">
                  <c:v>85</c:v>
                </c:pt>
                <c:pt idx="9">
                  <c:v>84.6</c:v>
                </c:pt>
                <c:pt idx="10">
                  <c:v>81</c:v>
                </c:pt>
                <c:pt idx="11">
                  <c:v>82</c:v>
                </c:pt>
                <c:pt idx="12">
                  <c:v>82.3</c:v>
                </c:pt>
                <c:pt idx="13">
                  <c:v>83</c:v>
                </c:pt>
                <c:pt idx="14">
                  <c:v>82.5</c:v>
                </c:pt>
                <c:pt idx="15">
                  <c:v>82.1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CE-46CE-B7D8-B44863D97188}"/>
            </c:ext>
          </c:extLst>
        </c:ser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1.0007573190793025E-16"/>
                  <c:y val="4.62809857121122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2A-43C6-8287-E6F029BB3A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Template'!$F$186:$V$186</c:f>
              <c:numCache>
                <c:formatCode>0.00</c:formatCode>
                <c:ptCount val="17"/>
                <c:pt idx="0">
                  <c:v>64.498987612700304</c:v>
                </c:pt>
                <c:pt idx="1">
                  <c:v>66.260538076075704</c:v>
                </c:pt>
                <c:pt idx="2">
                  <c:v>65.200068088983215</c:v>
                </c:pt>
                <c:pt idx="3">
                  <c:v>65.178077797459792</c:v>
                </c:pt>
                <c:pt idx="4">
                  <c:v>84.167966673459233</c:v>
                </c:pt>
                <c:pt idx="5">
                  <c:v>82.092170846131438</c:v>
                </c:pt>
                <c:pt idx="6">
                  <c:v>78.012112349376224</c:v>
                </c:pt>
                <c:pt idx="7">
                  <c:v>78.680928642779847</c:v>
                </c:pt>
                <c:pt idx="8">
                  <c:v>77.873998304433286</c:v>
                </c:pt>
                <c:pt idx="9">
                  <c:v>77.130923025345879</c:v>
                </c:pt>
                <c:pt idx="10">
                  <c:v>77.172629470171387</c:v>
                </c:pt>
                <c:pt idx="11">
                  <c:v>80.116179498733715</c:v>
                </c:pt>
                <c:pt idx="12">
                  <c:v>79.164795006328703</c:v>
                </c:pt>
                <c:pt idx="13">
                  <c:v>79.882526565786861</c:v>
                </c:pt>
                <c:pt idx="14">
                  <c:v>78.602035800582811</c:v>
                </c:pt>
                <c:pt idx="15">
                  <c:v>81.366708634844798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CDE-4375-A824-3D397EB046E7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CDE-4375-A824-3D397EB04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2.4966121107489019E-2"/>
              <c:y val="0.47081058126161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4950461317953121"/>
          <c:y val="0.47624473102505971"/>
          <c:w val="0.12532422660554138"/>
          <c:h val="9.4014162437299639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Nitrogen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1"/>
          <c:order val="1"/>
          <c:tx>
            <c:v>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1.3646848362453415E-3"/>
                  <c:y val="3.7110671253876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AEB-4720-B811-C1DC621B93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Template'!$F$190:$U$190</c:f>
              <c:numCache>
                <c:formatCode>0.00</c:formatCode>
                <c:ptCount val="16"/>
                <c:pt idx="0">
                  <c:v>38</c:v>
                </c:pt>
                <c:pt idx="1">
                  <c:v>31.5</c:v>
                </c:pt>
                <c:pt idx="2">
                  <c:v>27.5</c:v>
                </c:pt>
                <c:pt idx="3">
                  <c:v>28.4</c:v>
                </c:pt>
                <c:pt idx="4">
                  <c:v>55.5</c:v>
                </c:pt>
                <c:pt idx="5">
                  <c:v>45</c:v>
                </c:pt>
                <c:pt idx="6">
                  <c:v>43</c:v>
                </c:pt>
                <c:pt idx="7">
                  <c:v>42.5</c:v>
                </c:pt>
                <c:pt idx="8">
                  <c:v>41.5</c:v>
                </c:pt>
                <c:pt idx="9">
                  <c:v>40.700000000000003</c:v>
                </c:pt>
                <c:pt idx="10">
                  <c:v>39</c:v>
                </c:pt>
                <c:pt idx="11">
                  <c:v>38</c:v>
                </c:pt>
                <c:pt idx="12">
                  <c:v>41.5</c:v>
                </c:pt>
                <c:pt idx="13">
                  <c:v>41</c:v>
                </c:pt>
                <c:pt idx="14">
                  <c:v>40.5</c:v>
                </c:pt>
                <c:pt idx="15">
                  <c:v>40.5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CE-46CE-B7D8-B44863D97188}"/>
            </c:ext>
          </c:extLst>
        </c:ser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EB-4720-B811-C1DC621B93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Template'!$F$189:$V$189</c:f>
              <c:numCache>
                <c:formatCode>0.00</c:formatCode>
                <c:ptCount val="17"/>
                <c:pt idx="0">
                  <c:v>38.689882177323334</c:v>
                </c:pt>
                <c:pt idx="1">
                  <c:v>39.321934701991587</c:v>
                </c:pt>
                <c:pt idx="2">
                  <c:v>43.4371551972229</c:v>
                </c:pt>
                <c:pt idx="3">
                  <c:v>39.672386452424909</c:v>
                </c:pt>
                <c:pt idx="4">
                  <c:v>63.187613904350457</c:v>
                </c:pt>
                <c:pt idx="5">
                  <c:v>41.204457959699141</c:v>
                </c:pt>
                <c:pt idx="6">
                  <c:v>36.193380883636706</c:v>
                </c:pt>
                <c:pt idx="7">
                  <c:v>37.596947448157117</c:v>
                </c:pt>
                <c:pt idx="8">
                  <c:v>32.016728421017319</c:v>
                </c:pt>
                <c:pt idx="9">
                  <c:v>35.294825697057583</c:v>
                </c:pt>
                <c:pt idx="10">
                  <c:v>39.416038812699064</c:v>
                </c:pt>
                <c:pt idx="11">
                  <c:v>34.961016617338515</c:v>
                </c:pt>
                <c:pt idx="12">
                  <c:v>28.597698662762067</c:v>
                </c:pt>
                <c:pt idx="13">
                  <c:v>31.424754290060097</c:v>
                </c:pt>
                <c:pt idx="14">
                  <c:v>29.141392273555301</c:v>
                </c:pt>
                <c:pt idx="15">
                  <c:v>40.305184807574364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1079-47F7-9695-BA0B7BBE49E7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079-47F7-9695-BA0B7BBE4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2.085402870650626E-2"/>
              <c:y val="0.478053131872029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4695723699986503"/>
          <c:y val="0.39720832501197983"/>
          <c:w val="0.12509686621863209"/>
          <c:h val="9.2357593814286723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MCRT </a:t>
            </a:r>
            <a:r>
              <a:rPr lang="en-US" b="1" baseline="0"/>
              <a:t>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1"/>
          <c:order val="1"/>
          <c:tx>
            <c:v>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F9-4D97-A929-8FA1C67C7B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Template'!$F$200:$U$200</c:f>
              <c:numCache>
                <c:formatCode>0.0</c:formatCode>
                <c:ptCount val="16"/>
                <c:pt idx="0">
                  <c:v>56</c:v>
                </c:pt>
                <c:pt idx="1">
                  <c:v>50</c:v>
                </c:pt>
                <c:pt idx="2">
                  <c:v>49</c:v>
                </c:pt>
                <c:pt idx="3">
                  <c:v>48</c:v>
                </c:pt>
                <c:pt idx="4">
                  <c:v>70</c:v>
                </c:pt>
                <c:pt idx="5">
                  <c:v>69</c:v>
                </c:pt>
                <c:pt idx="6">
                  <c:v>66</c:v>
                </c:pt>
                <c:pt idx="7">
                  <c:v>66.5</c:v>
                </c:pt>
                <c:pt idx="8">
                  <c:v>65.5</c:v>
                </c:pt>
                <c:pt idx="9">
                  <c:v>64.400000000000006</c:v>
                </c:pt>
                <c:pt idx="10">
                  <c:v>61.5</c:v>
                </c:pt>
                <c:pt idx="11">
                  <c:v>58.5</c:v>
                </c:pt>
                <c:pt idx="12">
                  <c:v>60.5</c:v>
                </c:pt>
                <c:pt idx="13">
                  <c:v>61.8</c:v>
                </c:pt>
                <c:pt idx="14">
                  <c:v>61</c:v>
                </c:pt>
                <c:pt idx="15">
                  <c:v>62.1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CE-46CE-B7D8-B44863D97188}"/>
            </c:ext>
          </c:extLst>
        </c:ser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F9-4D97-A929-8FA1C67C7B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Template'!$F$199:$V$199</c:f>
              <c:numCache>
                <c:formatCode>0.0</c:formatCode>
                <c:ptCount val="17"/>
                <c:pt idx="0">
                  <c:v>47.705682757165718</c:v>
                </c:pt>
                <c:pt idx="1">
                  <c:v>49.620880932128486</c:v>
                </c:pt>
                <c:pt idx="2">
                  <c:v>49.683197888870907</c:v>
                </c:pt>
                <c:pt idx="3">
                  <c:v>49.651261793146482</c:v>
                </c:pt>
                <c:pt idx="4">
                  <c:v>74.060109817661484</c:v>
                </c:pt>
                <c:pt idx="5">
                  <c:v>63.489252396222099</c:v>
                </c:pt>
                <c:pt idx="6">
                  <c:v>61.570482773284532</c:v>
                </c:pt>
                <c:pt idx="7">
                  <c:v>62.174573502884058</c:v>
                </c:pt>
                <c:pt idx="8">
                  <c:v>61.779317173880806</c:v>
                </c:pt>
                <c:pt idx="9">
                  <c:v>60.485350664392257</c:v>
                </c:pt>
                <c:pt idx="10">
                  <c:v>63.954286372434169</c:v>
                </c:pt>
                <c:pt idx="11">
                  <c:v>65.187542592992855</c:v>
                </c:pt>
                <c:pt idx="12">
                  <c:v>62.807563599609892</c:v>
                </c:pt>
                <c:pt idx="13">
                  <c:v>65.432369314502154</c:v>
                </c:pt>
                <c:pt idx="14">
                  <c:v>62.303547213487683</c:v>
                </c:pt>
                <c:pt idx="15">
                  <c:v>67.734154304201553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6C3-4833-BDB2-CDA33B8A8C63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6C3-4833-BDB2-CDA33B8A8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1.2615717065093162E-2"/>
              <c:y val="0.390215294034191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2768798292170886"/>
          <c:y val="0.3816501737958431"/>
          <c:w val="0.12518265999611622"/>
          <c:h val="9.2357593814286723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C7 Asphaltenes </a:t>
            </a:r>
            <a:r>
              <a:rPr lang="en-US" b="1" baseline="0"/>
              <a:t>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1"/>
          <c:order val="1"/>
          <c:tx>
            <c:v>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Template'!$F$206:$U$206</c:f>
              <c:numCache>
                <c:formatCode>0.00</c:formatCode>
                <c:ptCount val="16"/>
                <c:pt idx="0" formatCode="General">
                  <c:v>73.5</c:v>
                </c:pt>
                <c:pt idx="1">
                  <c:v>66.5</c:v>
                </c:pt>
                <c:pt idx="3">
                  <c:v>61.9</c:v>
                </c:pt>
                <c:pt idx="4">
                  <c:v>62.5</c:v>
                </c:pt>
                <c:pt idx="5">
                  <c:v>86.5</c:v>
                </c:pt>
                <c:pt idx="6">
                  <c:v>83</c:v>
                </c:pt>
                <c:pt idx="7">
                  <c:v>81.5</c:v>
                </c:pt>
                <c:pt idx="8">
                  <c:v>81</c:v>
                </c:pt>
                <c:pt idx="9">
                  <c:v>80.400000000000006</c:v>
                </c:pt>
                <c:pt idx="10">
                  <c:v>78</c:v>
                </c:pt>
                <c:pt idx="12">
                  <c:v>72.5</c:v>
                </c:pt>
                <c:pt idx="14">
                  <c:v>71.2</c:v>
                </c:pt>
                <c:pt idx="15">
                  <c:v>71.900000000000006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CE-46CE-B7D8-B44863D97188}"/>
            </c:ext>
          </c:extLst>
        </c:ser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Template'!$F$205:$V$205</c:f>
              <c:numCache>
                <c:formatCode>0.00</c:formatCode>
                <c:ptCount val="17"/>
                <c:pt idx="0">
                  <c:v>65.846695297983118</c:v>
                </c:pt>
                <c:pt idx="1">
                  <c:v>68.717064372849862</c:v>
                </c:pt>
                <c:pt idx="2">
                  <c:v>67.954365207166219</c:v>
                </c:pt>
                <c:pt idx="3">
                  <c:v>67.635476576008017</c:v>
                </c:pt>
                <c:pt idx="4">
                  <c:v>87.65580822508376</c:v>
                </c:pt>
                <c:pt idx="5">
                  <c:v>76.97582451062533</c:v>
                </c:pt>
                <c:pt idx="6">
                  <c:v>74.956075029685849</c:v>
                </c:pt>
                <c:pt idx="7">
                  <c:v>74.627145805179154</c:v>
                </c:pt>
                <c:pt idx="8">
                  <c:v>74.75669596005558</c:v>
                </c:pt>
                <c:pt idx="9">
                  <c:v>73.930525635501937</c:v>
                </c:pt>
                <c:pt idx="10">
                  <c:v>74.799549549549539</c:v>
                </c:pt>
                <c:pt idx="11">
                  <c:v>77.262740950194171</c:v>
                </c:pt>
                <c:pt idx="12">
                  <c:v>74.390259734232501</c:v>
                </c:pt>
                <c:pt idx="13">
                  <c:v>77.732857950130679</c:v>
                </c:pt>
                <c:pt idx="14">
                  <c:v>74.613897830288735</c:v>
                </c:pt>
                <c:pt idx="15">
                  <c:v>77.617921212842106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333-469C-9637-6E3FDE016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2.0862395766216055E-2"/>
              <c:y val="0.455080244182960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4950461317953121"/>
          <c:y val="0.47624473102505971"/>
          <c:w val="0.13982518427568777"/>
          <c:h val="0.18430009731929575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V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V 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9.9939346197630073E-17"/>
                  <c:y val="-2.78071693232183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8AF-4D1B-8CB8-3E3BDB58F6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Template'!$F$153:$U$153</c:f>
              <c:numCache>
                <c:formatCode>0.00</c:formatCode>
                <c:ptCount val="16"/>
                <c:pt idx="0">
                  <c:v>92</c:v>
                </c:pt>
                <c:pt idx="1">
                  <c:v>88.5</c:v>
                </c:pt>
                <c:pt idx="2">
                  <c:v>86.2</c:v>
                </c:pt>
                <c:pt idx="3">
                  <c:v>85.2</c:v>
                </c:pt>
                <c:pt idx="4">
                  <c:v>98.5</c:v>
                </c:pt>
                <c:pt idx="5">
                  <c:v>98.2</c:v>
                </c:pt>
                <c:pt idx="6">
                  <c:v>98</c:v>
                </c:pt>
                <c:pt idx="7">
                  <c:v>97.8</c:v>
                </c:pt>
                <c:pt idx="8">
                  <c:v>97.6</c:v>
                </c:pt>
                <c:pt idx="9">
                  <c:v>97.4</c:v>
                </c:pt>
                <c:pt idx="10">
                  <c:v>97</c:v>
                </c:pt>
                <c:pt idx="11">
                  <c:v>94.4</c:v>
                </c:pt>
                <c:pt idx="12">
                  <c:v>94</c:v>
                </c:pt>
                <c:pt idx="13">
                  <c:v>95</c:v>
                </c:pt>
                <c:pt idx="14">
                  <c:v>94.5</c:v>
                </c:pt>
                <c:pt idx="15">
                  <c:v>93.9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0B-495E-9371-4F111AFEE3B4}"/>
            </c:ext>
          </c:extLst>
        </c:ser>
        <c:ser>
          <c:idx val="6"/>
          <c:order val="6"/>
          <c:tx>
            <c:v>V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9.9939346197630073E-17"/>
                  <c:y val="-2.78071693232183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AF-4D1B-8CB8-3E3BDB58F6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Template'!$F$152:$V$152</c:f>
              <c:numCache>
                <c:formatCode>0.00</c:formatCode>
                <c:ptCount val="17"/>
                <c:pt idx="0">
                  <c:v>82.393196663352413</c:v>
                </c:pt>
                <c:pt idx="1">
                  <c:v>83.745417317250343</c:v>
                </c:pt>
                <c:pt idx="2">
                  <c:v>83.673356241923699</c:v>
                </c:pt>
                <c:pt idx="3">
                  <c:v>84.120775648935904</c:v>
                </c:pt>
                <c:pt idx="4">
                  <c:v>96.437785995494835</c:v>
                </c:pt>
                <c:pt idx="5">
                  <c:v>95.098931432876725</c:v>
                </c:pt>
                <c:pt idx="6">
                  <c:v>93.544451041530891</c:v>
                </c:pt>
                <c:pt idx="7">
                  <c:v>94.195798984056921</c:v>
                </c:pt>
                <c:pt idx="8">
                  <c:v>92.583861588607917</c:v>
                </c:pt>
                <c:pt idx="9">
                  <c:v>92.564441410955297</c:v>
                </c:pt>
                <c:pt idx="10">
                  <c:v>96.170295347279151</c:v>
                </c:pt>
                <c:pt idx="11">
                  <c:v>94.569944887125672</c:v>
                </c:pt>
                <c:pt idx="12">
                  <c:v>91.338075818996401</c:v>
                </c:pt>
                <c:pt idx="13">
                  <c:v>93.785761888483108</c:v>
                </c:pt>
                <c:pt idx="14">
                  <c:v>88.734090659631264</c:v>
                </c:pt>
                <c:pt idx="15">
                  <c:v>91.726677632133274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0B-495E-9371-4F111AFEE3B4}"/>
            </c:ext>
          </c:extLst>
        </c:ser>
        <c:ser>
          <c:idx val="7"/>
          <c:order val="7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997-4E7C-9AC1-15361010EBF6}"/>
            </c:ext>
          </c:extLst>
        </c:ser>
        <c:ser>
          <c:idx val="8"/>
          <c:order val="8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997-4E7C-9AC1-15361010E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Ni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strCach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16_2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Template'!$F$149:$U$149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Ni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strCach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16_2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Template'!$F$148:$U$148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63.483696206104412</c:v>
                      </c:pt>
                      <c:pt idx="1">
                        <c:v>66.921826335884944</c:v>
                      </c:pt>
                      <c:pt idx="2">
                        <c:v>68.105223112220841</c:v>
                      </c:pt>
                      <c:pt idx="3">
                        <c:v>68.779565541382766</c:v>
                      </c:pt>
                      <c:pt idx="4">
                        <c:v>88.242298247189183</c:v>
                      </c:pt>
                      <c:pt idx="5">
                        <c:v>85.395424396041761</c:v>
                      </c:pt>
                      <c:pt idx="6">
                        <c:v>82.969707944065775</c:v>
                      </c:pt>
                      <c:pt idx="7">
                        <c:v>83.743211773475849</c:v>
                      </c:pt>
                      <c:pt idx="8">
                        <c:v>80.826769181676411</c:v>
                      </c:pt>
                      <c:pt idx="9">
                        <c:v>81.67472007562202</c:v>
                      </c:pt>
                      <c:pt idx="10">
                        <c:v>88.155430386603769</c:v>
                      </c:pt>
                      <c:pt idx="11">
                        <c:v>85.25636919457601</c:v>
                      </c:pt>
                      <c:pt idx="12">
                        <c:v>79.947621851013636</c:v>
                      </c:pt>
                      <c:pt idx="13">
                        <c:v>83.308083302829374</c:v>
                      </c:pt>
                      <c:pt idx="14">
                        <c:v>76.034078623455301</c:v>
                      </c:pt>
                      <c:pt idx="15">
                        <c:v>82.094639950265218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3.3190291488504907E-2"/>
              <c:y val="0.479799345306555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3994949799334451"/>
          <c:y val="0.37621020374482383"/>
          <c:w val="0.13443231847252121"/>
          <c:h val="9.6169727142456155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1"/>
          <c:order val="1"/>
          <c:tx>
            <c:v>Ni 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9.9939356922028111E-17"/>
                  <c:y val="3.47107456086806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BC-4253-BB91-7A9A491264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Template'!$F$149:$U$149</c:f>
              <c:numCache>
                <c:formatCode>0.00</c:formatCode>
                <c:ptCount val="16"/>
                <c:pt idx="0">
                  <c:v>77</c:v>
                </c:pt>
                <c:pt idx="1">
                  <c:v>71.2</c:v>
                </c:pt>
                <c:pt idx="2">
                  <c:v>69.099999999999994</c:v>
                </c:pt>
                <c:pt idx="3">
                  <c:v>67.7</c:v>
                </c:pt>
                <c:pt idx="4">
                  <c:v>94</c:v>
                </c:pt>
                <c:pt idx="5">
                  <c:v>90.5</c:v>
                </c:pt>
                <c:pt idx="6">
                  <c:v>89.8</c:v>
                </c:pt>
                <c:pt idx="7">
                  <c:v>89</c:v>
                </c:pt>
                <c:pt idx="8">
                  <c:v>88.2</c:v>
                </c:pt>
                <c:pt idx="9">
                  <c:v>87.1</c:v>
                </c:pt>
                <c:pt idx="10">
                  <c:v>88.5</c:v>
                </c:pt>
                <c:pt idx="11">
                  <c:v>83.2</c:v>
                </c:pt>
                <c:pt idx="12">
                  <c:v>83</c:v>
                </c:pt>
                <c:pt idx="13">
                  <c:v>84.1</c:v>
                </c:pt>
                <c:pt idx="14">
                  <c:v>83</c:v>
                </c:pt>
                <c:pt idx="15">
                  <c:v>82.9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CE-46CE-B7D8-B44863D97188}"/>
            </c:ext>
          </c:extLst>
        </c:ser>
        <c:ser>
          <c:idx val="0"/>
          <c:order val="2"/>
          <c:tx>
            <c:v>Ni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BC-4253-BB91-7A9A491264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Template'!$F$148:$V$148</c:f>
              <c:numCache>
                <c:formatCode>0.00</c:formatCode>
                <c:ptCount val="17"/>
                <c:pt idx="0">
                  <c:v>63.483696206104412</c:v>
                </c:pt>
                <c:pt idx="1">
                  <c:v>66.921826335884944</c:v>
                </c:pt>
                <c:pt idx="2">
                  <c:v>68.105223112220841</c:v>
                </c:pt>
                <c:pt idx="3">
                  <c:v>68.779565541382766</c:v>
                </c:pt>
                <c:pt idx="4">
                  <c:v>88.242298247189183</c:v>
                </c:pt>
                <c:pt idx="5">
                  <c:v>85.395424396041761</c:v>
                </c:pt>
                <c:pt idx="6">
                  <c:v>82.969707944065775</c:v>
                </c:pt>
                <c:pt idx="7">
                  <c:v>83.743211773475849</c:v>
                </c:pt>
                <c:pt idx="8">
                  <c:v>80.826769181676411</c:v>
                </c:pt>
                <c:pt idx="9">
                  <c:v>81.67472007562202</c:v>
                </c:pt>
                <c:pt idx="10">
                  <c:v>88.155430386603769</c:v>
                </c:pt>
                <c:pt idx="11">
                  <c:v>85.25636919457601</c:v>
                </c:pt>
                <c:pt idx="12">
                  <c:v>79.947621851013636</c:v>
                </c:pt>
                <c:pt idx="13">
                  <c:v>83.308083302829374</c:v>
                </c:pt>
                <c:pt idx="14">
                  <c:v>76.034078623455301</c:v>
                </c:pt>
                <c:pt idx="15">
                  <c:v>82.094639950265218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7"/>
          <c:order val="7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4D1D-4F7C-9E0E-9C60B0C5BD48}"/>
            </c:ext>
          </c:extLst>
        </c:ser>
        <c:ser>
          <c:idx val="8"/>
          <c:order val="8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D1D-4F7C-9E0E-9C60B0C5B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V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strCach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16_2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Template'!$F$153:$U$153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F0B-495E-9371-4F111AFEE3B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V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strCach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16_2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Template'!$F$152:$U$152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82.393196663352413</c:v>
                      </c:pt>
                      <c:pt idx="1">
                        <c:v>83.745417317250343</c:v>
                      </c:pt>
                      <c:pt idx="2">
                        <c:v>83.673356241923699</c:v>
                      </c:pt>
                      <c:pt idx="3">
                        <c:v>84.120775648935904</c:v>
                      </c:pt>
                      <c:pt idx="4">
                        <c:v>96.437785995494835</c:v>
                      </c:pt>
                      <c:pt idx="5">
                        <c:v>95.098931432876725</c:v>
                      </c:pt>
                      <c:pt idx="6">
                        <c:v>93.544451041530891</c:v>
                      </c:pt>
                      <c:pt idx="7">
                        <c:v>94.195798984056921</c:v>
                      </c:pt>
                      <c:pt idx="8">
                        <c:v>92.583861588607917</c:v>
                      </c:pt>
                      <c:pt idx="9">
                        <c:v>92.564441410955297</c:v>
                      </c:pt>
                      <c:pt idx="10">
                        <c:v>96.170295347279151</c:v>
                      </c:pt>
                      <c:pt idx="11">
                        <c:v>94.569944887125672</c:v>
                      </c:pt>
                      <c:pt idx="12">
                        <c:v>91.338075818996401</c:v>
                      </c:pt>
                      <c:pt idx="13">
                        <c:v>93.785761888483108</c:v>
                      </c:pt>
                      <c:pt idx="14">
                        <c:v>88.734090659631264</c:v>
                      </c:pt>
                      <c:pt idx="15">
                        <c:v>91.726677632133274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F0B-495E-9371-4F111AFEE3B4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3.3190291488504907E-2"/>
              <c:y val="0.479799345306555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3454978782819866"/>
          <c:y val="0.40013656013777366"/>
          <c:w val="0.14005017828445213"/>
          <c:h val="9.6034594036401189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C7 Asphaltenes </a:t>
            </a:r>
            <a:r>
              <a:rPr lang="en-US" b="1" baseline="0"/>
              <a:t>in HPS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1"/>
          <c:order val="1"/>
          <c:tx>
            <c:v>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Template'!$AP$31:$BE$31</c:f>
              <c:numCache>
                <c:formatCode>0.00</c:formatCode>
                <c:ptCount val="16"/>
                <c:pt idx="0">
                  <c:v>5.0999999999999996</c:v>
                </c:pt>
                <c:pt idx="1">
                  <c:v>5.9</c:v>
                </c:pt>
                <c:pt idx="3">
                  <c:v>6.47</c:v>
                </c:pt>
                <c:pt idx="5">
                  <c:v>4.2</c:v>
                </c:pt>
                <c:pt idx="7">
                  <c:v>4.4000000000000004</c:v>
                </c:pt>
                <c:pt idx="8">
                  <c:v>5</c:v>
                </c:pt>
                <c:pt idx="9">
                  <c:v>5.09</c:v>
                </c:pt>
                <c:pt idx="10">
                  <c:v>5.7</c:v>
                </c:pt>
                <c:pt idx="12">
                  <c:v>6.1</c:v>
                </c:pt>
                <c:pt idx="14">
                  <c:v>7.5</c:v>
                </c:pt>
                <c:pt idx="15">
                  <c:v>7.49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CE-46CE-B7D8-B44863D97188}"/>
            </c:ext>
          </c:extLst>
        </c:ser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5"/>
              <c:layout>
                <c:manualLayout>
                  <c:x val="-9.9493833477819547E-17"/>
                  <c:y val="2.47191011235955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E2-4A27-9A98-D183C81885AB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E2-4A27-9A98-D183C81885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Template'!$F$6:$W$6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Template'!$AP$30:$BF$30</c:f>
              <c:numCache>
                <c:formatCode>0.00</c:formatCode>
                <c:ptCount val="17"/>
                <c:pt idx="0">
                  <c:v>4.5999999999999996</c:v>
                </c:pt>
                <c:pt idx="1">
                  <c:v>4.3</c:v>
                </c:pt>
                <c:pt idx="2">
                  <c:v>4.4000000000000004</c:v>
                </c:pt>
                <c:pt idx="3">
                  <c:v>4.5</c:v>
                </c:pt>
                <c:pt idx="4">
                  <c:v>3</c:v>
                </c:pt>
                <c:pt idx="5">
                  <c:v>5.7</c:v>
                </c:pt>
                <c:pt idx="6">
                  <c:v>6.1</c:v>
                </c:pt>
                <c:pt idx="7">
                  <c:v>6.2</c:v>
                </c:pt>
                <c:pt idx="8">
                  <c:v>6.1</c:v>
                </c:pt>
                <c:pt idx="9">
                  <c:v>6.46</c:v>
                </c:pt>
                <c:pt idx="10">
                  <c:v>6.7</c:v>
                </c:pt>
                <c:pt idx="11">
                  <c:v>6</c:v>
                </c:pt>
                <c:pt idx="12">
                  <c:v>6.7</c:v>
                </c:pt>
                <c:pt idx="13">
                  <c:v>5.9</c:v>
                </c:pt>
                <c:pt idx="14">
                  <c:v>6.5</c:v>
                </c:pt>
                <c:pt idx="15">
                  <c:v>6.9</c:v>
                </c:pt>
                <c:pt idx="1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333-469C-9637-6E3FDE016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1.6753119652413485E-2"/>
              <c:y val="0.51126001946385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4950461317953121"/>
          <c:y val="0.47624473102505971"/>
          <c:w val="0.12303933974049223"/>
          <c:h val="9.6034594036401189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 and V in HPS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Ni TOP MEBU</c:v>
          </c:tx>
          <c:spPr>
            <a:ln w="635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89-4918-80B0-2C57CFE27E7B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89-4918-80B0-2C57CFE27E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Template'!$F$6:$W$6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Template'!$AP$18:$BF$18</c:f>
              <c:numCache>
                <c:formatCode>0.00</c:formatCode>
                <c:ptCount val="17"/>
                <c:pt idx="0">
                  <c:v>23.22</c:v>
                </c:pt>
                <c:pt idx="1">
                  <c:v>21.56</c:v>
                </c:pt>
                <c:pt idx="2">
                  <c:v>20.83</c:v>
                </c:pt>
                <c:pt idx="3">
                  <c:v>20.440000000000001</c:v>
                </c:pt>
                <c:pt idx="4">
                  <c:v>15.95</c:v>
                </c:pt>
                <c:pt idx="5">
                  <c:v>19.940000000000001</c:v>
                </c:pt>
                <c:pt idx="6">
                  <c:v>22.84</c:v>
                </c:pt>
                <c:pt idx="7">
                  <c:v>21.74</c:v>
                </c:pt>
                <c:pt idx="8">
                  <c:v>25.13</c:v>
                </c:pt>
                <c:pt idx="9">
                  <c:v>24.63</c:v>
                </c:pt>
                <c:pt idx="10">
                  <c:v>24.52</c:v>
                </c:pt>
                <c:pt idx="11">
                  <c:v>30.84</c:v>
                </c:pt>
                <c:pt idx="12">
                  <c:v>41.32</c:v>
                </c:pt>
                <c:pt idx="13">
                  <c:v>34.82</c:v>
                </c:pt>
                <c:pt idx="14">
                  <c:v>47.78</c:v>
                </c:pt>
                <c:pt idx="15">
                  <c:v>42.98</c:v>
                </c:pt>
                <c:pt idx="16" formatCode="General">
                  <c:v>48.83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6"/>
          <c:order val="6"/>
          <c:tx>
            <c:v>V TOP MEBU</c:v>
          </c:tx>
          <c:spPr>
            <a:ln w="635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dLbls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89-4918-80B0-2C57CFE27E7B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89-4918-80B0-2C57CFE27E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Template'!$F$6:$W$6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Template'!$AP$20:$BF$20</c:f>
              <c:numCache>
                <c:formatCode>0.00</c:formatCode>
                <c:ptCount val="17"/>
                <c:pt idx="0">
                  <c:v>37.799999999999997</c:v>
                </c:pt>
                <c:pt idx="1">
                  <c:v>35.770000000000003</c:v>
                </c:pt>
                <c:pt idx="2">
                  <c:v>36</c:v>
                </c:pt>
                <c:pt idx="3">
                  <c:v>35.1</c:v>
                </c:pt>
                <c:pt idx="4">
                  <c:v>12.19</c:v>
                </c:pt>
                <c:pt idx="5">
                  <c:v>16.88</c:v>
                </c:pt>
                <c:pt idx="6">
                  <c:v>21.84</c:v>
                </c:pt>
                <c:pt idx="7">
                  <c:v>19.579999999999998</c:v>
                </c:pt>
                <c:pt idx="8">
                  <c:v>24.52</c:v>
                </c:pt>
                <c:pt idx="9">
                  <c:v>25.21</c:v>
                </c:pt>
                <c:pt idx="10">
                  <c:v>22.28</c:v>
                </c:pt>
                <c:pt idx="11">
                  <c:v>31.92</c:v>
                </c:pt>
                <c:pt idx="12">
                  <c:v>50.16</c:v>
                </c:pt>
                <c:pt idx="13">
                  <c:v>36.43</c:v>
                </c:pt>
                <c:pt idx="14">
                  <c:v>63.12</c:v>
                </c:pt>
                <c:pt idx="15">
                  <c:v>55.81</c:v>
                </c:pt>
                <c:pt idx="16" formatCode="General">
                  <c:v>73.86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0B-495E-9371-4F111AFEE3B4}"/>
            </c:ext>
          </c:extLst>
        </c:ser>
        <c:ser>
          <c:idx val="7"/>
          <c:order val="7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E5FB-46F9-8AAA-C458FBD04638}"/>
            </c:ext>
          </c:extLst>
        </c:ser>
        <c:ser>
          <c:idx val="8"/>
          <c:order val="8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5FB-46F9-8AAA-C458FBD04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Ni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strCach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16_2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Template'!$AP$19:$BE$19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19</c:v>
                      </c:pt>
                      <c:pt idx="1">
                        <c:v>20.5</c:v>
                      </c:pt>
                      <c:pt idx="2">
                        <c:v>21.5</c:v>
                      </c:pt>
                      <c:pt idx="3">
                        <c:v>21.9</c:v>
                      </c:pt>
                      <c:pt idx="4">
                        <c:v>8</c:v>
                      </c:pt>
                      <c:pt idx="5">
                        <c:v>12</c:v>
                      </c:pt>
                      <c:pt idx="6">
                        <c:v>13</c:v>
                      </c:pt>
                      <c:pt idx="7">
                        <c:v>14.1</c:v>
                      </c:pt>
                      <c:pt idx="8">
                        <c:v>15.2</c:v>
                      </c:pt>
                      <c:pt idx="9">
                        <c:v>16.2</c:v>
                      </c:pt>
                      <c:pt idx="10">
                        <c:v>20.5</c:v>
                      </c:pt>
                      <c:pt idx="11">
                        <c:v>30</c:v>
                      </c:pt>
                      <c:pt idx="12">
                        <c:v>30.8</c:v>
                      </c:pt>
                      <c:pt idx="13">
                        <c:v>28</c:v>
                      </c:pt>
                      <c:pt idx="14">
                        <c:v>30</c:v>
                      </c:pt>
                      <c:pt idx="15">
                        <c:v>30.7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V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strCach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16_2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Template'!$AP$21:$BE$21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24.5</c:v>
                      </c:pt>
                      <c:pt idx="1">
                        <c:v>29</c:v>
                      </c:pt>
                      <c:pt idx="2">
                        <c:v>32.5</c:v>
                      </c:pt>
                      <c:pt idx="3">
                        <c:v>34.1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6.5</c:v>
                      </c:pt>
                      <c:pt idx="8">
                        <c:v>7.5</c:v>
                      </c:pt>
                      <c:pt idx="9">
                        <c:v>8.8000000000000007</c:v>
                      </c:pt>
                      <c:pt idx="10">
                        <c:v>13</c:v>
                      </c:pt>
                      <c:pt idx="11">
                        <c:v>25</c:v>
                      </c:pt>
                      <c:pt idx="12">
                        <c:v>27</c:v>
                      </c:pt>
                      <c:pt idx="13">
                        <c:v>23</c:v>
                      </c:pt>
                      <c:pt idx="14">
                        <c:v>24</c:v>
                      </c:pt>
                      <c:pt idx="15">
                        <c:v>27.4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F0B-495E-9371-4F111AFEE3B4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ppm</a:t>
                </a:r>
              </a:p>
            </c:rich>
          </c:tx>
          <c:layout>
            <c:manualLayout>
              <c:xMode val="edge"/>
              <c:yMode val="edge"/>
              <c:x val="3.3190291488504907E-2"/>
              <c:y val="0.479799345306555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3741144358457975"/>
          <c:y val="0.37159601571003403"/>
          <c:w val="0.14263817765273243"/>
          <c:h val="0.18430009731929575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Breakdown</a:t>
            </a:r>
            <a:r>
              <a:rPr lang="en-US" b="1" baseline="0"/>
              <a:t> Yield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1"/>
          <c:order val="1"/>
          <c:tx>
            <c:v>IBP-160 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Template'!$F$254:$U$254</c:f>
              <c:numCache>
                <c:formatCode>0.00</c:formatCode>
                <c:ptCount val="16"/>
                <c:pt idx="0" formatCode="General">
                  <c:v>2.2000000000000002</c:v>
                </c:pt>
                <c:pt idx="1">
                  <c:v>2</c:v>
                </c:pt>
                <c:pt idx="2">
                  <c:v>1.7</c:v>
                </c:pt>
                <c:pt idx="3">
                  <c:v>1.7</c:v>
                </c:pt>
                <c:pt idx="4">
                  <c:v>4.9000000000000004</c:v>
                </c:pt>
                <c:pt idx="5">
                  <c:v>5.0999999999999996</c:v>
                </c:pt>
                <c:pt idx="6">
                  <c:v>5.6</c:v>
                </c:pt>
                <c:pt idx="7">
                  <c:v>5.8</c:v>
                </c:pt>
                <c:pt idx="8">
                  <c:v>5.9</c:v>
                </c:pt>
                <c:pt idx="9">
                  <c:v>5.8</c:v>
                </c:pt>
                <c:pt idx="10">
                  <c:v>5.7</c:v>
                </c:pt>
                <c:pt idx="11">
                  <c:v>5.5</c:v>
                </c:pt>
                <c:pt idx="12">
                  <c:v>5.7</c:v>
                </c:pt>
                <c:pt idx="13">
                  <c:v>5.9</c:v>
                </c:pt>
                <c:pt idx="14">
                  <c:v>6</c:v>
                </c:pt>
                <c:pt idx="15">
                  <c:v>6.1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2CE-46CE-B7D8-B44863D97188}"/>
            </c:ext>
          </c:extLst>
        </c:ser>
        <c:ser>
          <c:idx val="0"/>
          <c:order val="2"/>
          <c:tx>
            <c:v>IBP-160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Template'!$F$253:$U$253</c:f>
              <c:numCache>
                <c:formatCode>0.00</c:formatCode>
                <c:ptCount val="16"/>
                <c:pt idx="0">
                  <c:v>2.5968810886214557</c:v>
                </c:pt>
                <c:pt idx="1">
                  <c:v>3.2606596959412277</c:v>
                </c:pt>
                <c:pt idx="2">
                  <c:v>3.2016331425853761</c:v>
                </c:pt>
                <c:pt idx="3">
                  <c:v>2.0171338085176176</c:v>
                </c:pt>
                <c:pt idx="4">
                  <c:v>5.2672949833553293</c:v>
                </c:pt>
                <c:pt idx="5" formatCode="0">
                  <c:v>3.9626486227727034</c:v>
                </c:pt>
                <c:pt idx="6">
                  <c:v>3.996775867293616</c:v>
                </c:pt>
                <c:pt idx="7">
                  <c:v>3.9844214083957294</c:v>
                </c:pt>
                <c:pt idx="8">
                  <c:v>3.4367920850049569</c:v>
                </c:pt>
                <c:pt idx="9">
                  <c:v>3.4615297465687429</c:v>
                </c:pt>
                <c:pt idx="10">
                  <c:v>4.6586744214554336</c:v>
                </c:pt>
                <c:pt idx="11">
                  <c:v>4.8207816823665048</c:v>
                </c:pt>
                <c:pt idx="12">
                  <c:v>3.9777284993659281</c:v>
                </c:pt>
                <c:pt idx="13">
                  <c:v>4.7904010542234978</c:v>
                </c:pt>
                <c:pt idx="14">
                  <c:v>4.3962036535575333</c:v>
                </c:pt>
                <c:pt idx="15">
                  <c:v>5.30037584942139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7"/>
          <c:order val="5"/>
          <c:tx>
            <c:v>160-360 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Template'!$F$257:$U$257</c:f>
              <c:numCache>
                <c:formatCode>0.00</c:formatCode>
                <c:ptCount val="16"/>
                <c:pt idx="0">
                  <c:v>11.2</c:v>
                </c:pt>
                <c:pt idx="1">
                  <c:v>11.2</c:v>
                </c:pt>
                <c:pt idx="2">
                  <c:v>10.6</c:v>
                </c:pt>
                <c:pt idx="3">
                  <c:v>10.5</c:v>
                </c:pt>
                <c:pt idx="4">
                  <c:v>22.5</c:v>
                </c:pt>
                <c:pt idx="5">
                  <c:v>22.2</c:v>
                </c:pt>
                <c:pt idx="6">
                  <c:v>22.1</c:v>
                </c:pt>
                <c:pt idx="7">
                  <c:v>22.9</c:v>
                </c:pt>
                <c:pt idx="8">
                  <c:v>22.8</c:v>
                </c:pt>
                <c:pt idx="9">
                  <c:v>22.9</c:v>
                </c:pt>
                <c:pt idx="10">
                  <c:v>22.8</c:v>
                </c:pt>
                <c:pt idx="11">
                  <c:v>22.1</c:v>
                </c:pt>
                <c:pt idx="12">
                  <c:v>22.8</c:v>
                </c:pt>
                <c:pt idx="13">
                  <c:v>23.9</c:v>
                </c:pt>
                <c:pt idx="14">
                  <c:v>24</c:v>
                </c:pt>
                <c:pt idx="15">
                  <c:v>23.8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3CCA-4091-8916-DD1DB6FA1247}"/>
            </c:ext>
          </c:extLst>
        </c:ser>
        <c:ser>
          <c:idx val="8"/>
          <c:order val="6"/>
          <c:tx>
            <c:v>160-360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C00000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Template'!$F$256:$U$256</c:f>
              <c:numCache>
                <c:formatCode>0.00</c:formatCode>
                <c:ptCount val="16"/>
                <c:pt idx="0">
                  <c:v>9.1078166179909221</c:v>
                </c:pt>
                <c:pt idx="1">
                  <c:v>9.2432289798269416</c:v>
                </c:pt>
                <c:pt idx="2">
                  <c:v>11.24758190929732</c:v>
                </c:pt>
                <c:pt idx="3">
                  <c:v>10.484340233588583</c:v>
                </c:pt>
                <c:pt idx="4">
                  <c:v>27.257483787944039</c:v>
                </c:pt>
                <c:pt idx="5">
                  <c:v>21.10325390871137</c:v>
                </c:pt>
                <c:pt idx="6">
                  <c:v>22.592844413846635</c:v>
                </c:pt>
                <c:pt idx="7">
                  <c:v>21.793632037229354</c:v>
                </c:pt>
                <c:pt idx="8">
                  <c:v>21.860955424079823</c:v>
                </c:pt>
                <c:pt idx="9">
                  <c:v>21.048322112435873</c:v>
                </c:pt>
                <c:pt idx="10">
                  <c:v>23.170598444730718</c:v>
                </c:pt>
                <c:pt idx="11">
                  <c:v>22.112488807980359</c:v>
                </c:pt>
                <c:pt idx="12">
                  <c:v>23.557206765036682</c:v>
                </c:pt>
                <c:pt idx="13">
                  <c:v>24.541844018372192</c:v>
                </c:pt>
                <c:pt idx="14">
                  <c:v>24.992841627237286</c:v>
                </c:pt>
                <c:pt idx="15">
                  <c:v>22.490791950312349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CCA-4091-8916-DD1DB6FA1247}"/>
            </c:ext>
          </c:extLst>
        </c:ser>
        <c:ser>
          <c:idx val="5"/>
          <c:order val="7"/>
          <c:tx>
            <c:v>360-560 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Template'!$F$260:$U$260</c:f>
              <c:numCache>
                <c:formatCode>0.00</c:formatCode>
                <c:ptCount val="16"/>
                <c:pt idx="0">
                  <c:v>28.6</c:v>
                </c:pt>
                <c:pt idx="1">
                  <c:v>28.7</c:v>
                </c:pt>
                <c:pt idx="2">
                  <c:v>28.9</c:v>
                </c:pt>
                <c:pt idx="3">
                  <c:v>28.7</c:v>
                </c:pt>
                <c:pt idx="4">
                  <c:v>34.200000000000003</c:v>
                </c:pt>
                <c:pt idx="5">
                  <c:v>33.700000000000003</c:v>
                </c:pt>
                <c:pt idx="6">
                  <c:v>33</c:v>
                </c:pt>
                <c:pt idx="7">
                  <c:v>33.9</c:v>
                </c:pt>
                <c:pt idx="8">
                  <c:v>33</c:v>
                </c:pt>
                <c:pt idx="9">
                  <c:v>33.5</c:v>
                </c:pt>
                <c:pt idx="10">
                  <c:v>33</c:v>
                </c:pt>
                <c:pt idx="11">
                  <c:v>33</c:v>
                </c:pt>
                <c:pt idx="12">
                  <c:v>33.299999999999997</c:v>
                </c:pt>
                <c:pt idx="13">
                  <c:v>33.9</c:v>
                </c:pt>
                <c:pt idx="14">
                  <c:v>33.799999999999997</c:v>
                </c:pt>
                <c:pt idx="15">
                  <c:v>33.299999999999997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5096-4E7C-BE9D-C18130F30D2D}"/>
            </c:ext>
          </c:extLst>
        </c:ser>
        <c:ser>
          <c:idx val="6"/>
          <c:order val="8"/>
          <c:tx>
            <c:v>360-560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00B050"/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Template'!$F$259:$U$259</c:f>
              <c:numCache>
                <c:formatCode>0.00</c:formatCode>
                <c:ptCount val="16"/>
                <c:pt idx="0">
                  <c:v>27.861717401079048</c:v>
                </c:pt>
                <c:pt idx="1">
                  <c:v>26.590853070175427</c:v>
                </c:pt>
                <c:pt idx="2">
                  <c:v>26.709643108472942</c:v>
                </c:pt>
                <c:pt idx="3">
                  <c:v>28.462723047627456</c:v>
                </c:pt>
                <c:pt idx="4">
                  <c:v>31.653230900491149</c:v>
                </c:pt>
                <c:pt idx="5">
                  <c:v>32.016206061900093</c:v>
                </c:pt>
                <c:pt idx="6">
                  <c:v>33.52558957598287</c:v>
                </c:pt>
                <c:pt idx="7">
                  <c:v>33.251005323768339</c:v>
                </c:pt>
                <c:pt idx="8">
                  <c:v>32.524569310682892</c:v>
                </c:pt>
                <c:pt idx="9">
                  <c:v>31.891354199092344</c:v>
                </c:pt>
                <c:pt idx="10">
                  <c:v>30.921782239547735</c:v>
                </c:pt>
                <c:pt idx="11">
                  <c:v>29.732082874472358</c:v>
                </c:pt>
                <c:pt idx="12">
                  <c:v>32.285279531046221</c:v>
                </c:pt>
                <c:pt idx="13">
                  <c:v>32.398611062463821</c:v>
                </c:pt>
                <c:pt idx="14">
                  <c:v>33.325964690743525</c:v>
                </c:pt>
                <c:pt idx="15">
                  <c:v>32.89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096-4E7C-BE9D-C18130F30D2D}"/>
            </c:ext>
          </c:extLst>
        </c:ser>
        <c:ser>
          <c:idx val="9"/>
          <c:order val="9"/>
          <c:tx>
            <c:v>560+ 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1.000757426616191E-16"/>
                  <c:y val="-4.62809941449076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24-486C-B236-993DFDF2A2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Template'!$F$262:$U$262</c:f>
              <c:numCache>
                <c:formatCode>0.00</c:formatCode>
                <c:ptCount val="16"/>
                <c:pt idx="0">
                  <c:v>53</c:v>
                </c:pt>
                <c:pt idx="1">
                  <c:v>53</c:v>
                </c:pt>
                <c:pt idx="2">
                  <c:v>53.8</c:v>
                </c:pt>
                <c:pt idx="3">
                  <c:v>54.4</c:v>
                </c:pt>
                <c:pt idx="4">
                  <c:v>31</c:v>
                </c:pt>
                <c:pt idx="5">
                  <c:v>31.3</c:v>
                </c:pt>
                <c:pt idx="6">
                  <c:v>31.3</c:v>
                </c:pt>
                <c:pt idx="7">
                  <c:v>30</c:v>
                </c:pt>
                <c:pt idx="8">
                  <c:v>30.9</c:v>
                </c:pt>
                <c:pt idx="9">
                  <c:v>30</c:v>
                </c:pt>
                <c:pt idx="10">
                  <c:v>32</c:v>
                </c:pt>
                <c:pt idx="11">
                  <c:v>33.200000000000003</c:v>
                </c:pt>
                <c:pt idx="12">
                  <c:v>32</c:v>
                </c:pt>
                <c:pt idx="13">
                  <c:v>29.9</c:v>
                </c:pt>
                <c:pt idx="14">
                  <c:v>29</c:v>
                </c:pt>
                <c:pt idx="15">
                  <c:v>30.4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CA-4091-8916-DD1DB6FA1247}"/>
            </c:ext>
          </c:extLst>
        </c:ser>
        <c:ser>
          <c:idx val="10"/>
          <c:order val="10"/>
          <c:tx>
            <c:v>560+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2.7293699657763943E-3"/>
                  <c:y val="-4.16528947304168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24-486C-B236-993DFDF2A2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Template'!$F$261:$U$261</c:f>
              <c:numCache>
                <c:formatCode>0.00</c:formatCode>
                <c:ptCount val="16"/>
                <c:pt idx="0">
                  <c:v>55.28708346724823</c:v>
                </c:pt>
                <c:pt idx="1">
                  <c:v>56.080988569254188</c:v>
                </c:pt>
                <c:pt idx="2">
                  <c:v>54.08</c:v>
                </c:pt>
                <c:pt idx="3">
                  <c:v>54.46</c:v>
                </c:pt>
                <c:pt idx="4">
                  <c:v>29.809768156785545</c:v>
                </c:pt>
                <c:pt idx="5">
                  <c:v>34.53699005418877</c:v>
                </c:pt>
                <c:pt idx="6">
                  <c:v>32.998872240148316</c:v>
                </c:pt>
                <c:pt idx="7">
                  <c:v>33.713477471374041</c:v>
                </c:pt>
                <c:pt idx="8">
                  <c:v>34.879426352865842</c:v>
                </c:pt>
                <c:pt idx="9">
                  <c:v>35.438153376777251</c:v>
                </c:pt>
                <c:pt idx="10">
                  <c:v>32.892229729729735</c:v>
                </c:pt>
                <c:pt idx="11">
                  <c:v>34.983457866386033</c:v>
                </c:pt>
                <c:pt idx="12">
                  <c:v>32.818146561966294</c:v>
                </c:pt>
                <c:pt idx="13">
                  <c:v>30.44121037296037</c:v>
                </c:pt>
                <c:pt idx="14">
                  <c:v>30.606343997723478</c:v>
                </c:pt>
                <c:pt idx="15">
                  <c:v>30.715413286546923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CA-4091-8916-DD1DB6FA1247}"/>
            </c:ext>
          </c:extLst>
        </c:ser>
        <c:ser>
          <c:idx val="11"/>
          <c:order val="11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3CCA-4091-8916-DD1DB6FA1247}"/>
            </c:ext>
          </c:extLst>
        </c:ser>
        <c:ser>
          <c:idx val="12"/>
          <c:order val="12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3CCA-4091-8916-DD1DB6FA1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1.9622768013096585E-2"/>
              <c:y val="0.45058586216048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81230574058498994"/>
          <c:y val="0.16384802050357367"/>
          <c:w val="0.18311169047363102"/>
          <c:h val="0.36860019463859151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Sulfur</a:t>
            </a:r>
            <a:r>
              <a:rPr lang="en-US" b="1" baseline="0"/>
              <a:t> in LTO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C27-4543-AAB6-715342AF25EA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27-4543-AAB6-715342AF25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Template'!$F$6:$W$6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Template'!$BH$26:$BX$26</c:f>
              <c:numCache>
                <c:formatCode>0.000</c:formatCode>
                <c:ptCount val="17"/>
                <c:pt idx="0">
                  <c:v>0.10199999999999999</c:v>
                </c:pt>
                <c:pt idx="1">
                  <c:v>0.13600000000000001</c:v>
                </c:pt>
                <c:pt idx="2">
                  <c:v>0.14269999999999999</c:v>
                </c:pt>
                <c:pt idx="3">
                  <c:v>0.15322</c:v>
                </c:pt>
                <c:pt idx="4">
                  <c:v>0.14549999999999999</c:v>
                </c:pt>
                <c:pt idx="5">
                  <c:v>7.2599999999999998E-2</c:v>
                </c:pt>
                <c:pt idx="6">
                  <c:v>9.01E-2</c:v>
                </c:pt>
                <c:pt idx="7">
                  <c:v>7.51E-2</c:v>
                </c:pt>
                <c:pt idx="8">
                  <c:v>8.3299999999999999E-2</c:v>
                </c:pt>
                <c:pt idx="9">
                  <c:v>7.8789999999999999E-2</c:v>
                </c:pt>
                <c:pt idx="10">
                  <c:v>8.3099999999999993E-2</c:v>
                </c:pt>
                <c:pt idx="11">
                  <c:v>8.7900000000000006E-2</c:v>
                </c:pt>
                <c:pt idx="12">
                  <c:v>9.6710000000000004E-2</c:v>
                </c:pt>
                <c:pt idx="13">
                  <c:v>8.8999999999999996E-2</c:v>
                </c:pt>
                <c:pt idx="14">
                  <c:v>8.7290000000000006E-2</c:v>
                </c:pt>
                <c:pt idx="15">
                  <c:v>7.8899999999999998E-2</c:v>
                </c:pt>
                <c:pt idx="16" formatCode="General">
                  <c:v>9.74E-2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'!$AE$9:$AE$10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513-4494-A24D-41821E124782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513-4494-A24D-41821E124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strCach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16_2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Template'!$BH$27:$BW$27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0.12</c:v>
                      </c:pt>
                      <c:pt idx="1">
                        <c:v>0.14000000000000001</c:v>
                      </c:pt>
                      <c:pt idx="2">
                        <c:v>0.155</c:v>
                      </c:pt>
                      <c:pt idx="3">
                        <c:v>0.1661</c:v>
                      </c:pt>
                      <c:pt idx="4">
                        <c:v>0.11899999999999999</c:v>
                      </c:pt>
                      <c:pt idx="5">
                        <c:v>8.1000000000000003E-2</c:v>
                      </c:pt>
                      <c:pt idx="6">
                        <c:v>8.4000000000000005E-2</c:v>
                      </c:pt>
                      <c:pt idx="7">
                        <c:v>8.3000000000000004E-2</c:v>
                      </c:pt>
                      <c:pt idx="8">
                        <c:v>8.4000000000000005E-2</c:v>
                      </c:pt>
                      <c:pt idx="9">
                        <c:v>8.5000000000000006E-2</c:v>
                      </c:pt>
                      <c:pt idx="10">
                        <c:v>8.5999999999999993E-2</c:v>
                      </c:pt>
                      <c:pt idx="11">
                        <c:v>8.5500000000000007E-2</c:v>
                      </c:pt>
                      <c:pt idx="12">
                        <c:v>8.5000000000000006E-2</c:v>
                      </c:pt>
                      <c:pt idx="13">
                        <c:v>8.6499999999999994E-2</c:v>
                      </c:pt>
                      <c:pt idx="14">
                        <c:v>8.6999999999999994E-2</c:v>
                      </c:pt>
                      <c:pt idx="15">
                        <c:v>8.6400000000000005E-2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2.5064822448976981E-2"/>
              <c:y val="0.38351255755628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80232010837366574"/>
          <c:y val="0.37635288990749238"/>
          <c:w val="0.12532422660554138"/>
          <c:h val="9.4014179409077553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API of HPS and LTO Product</a:t>
            </a:r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1"/>
          <c:order val="1"/>
          <c:tx>
            <c:v>LTO 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'HPS LTO DAILY '!$AC$11:$AC$26</c:f>
              <c:numCache>
                <c:formatCode>General</c:formatCode>
                <c:ptCount val="16"/>
                <c:pt idx="0">
                  <c:v>41.2</c:v>
                </c:pt>
                <c:pt idx="1">
                  <c:v>41.6</c:v>
                </c:pt>
                <c:pt idx="2">
                  <c:v>42</c:v>
                </c:pt>
                <c:pt idx="3">
                  <c:v>42.5</c:v>
                </c:pt>
                <c:pt idx="4">
                  <c:v>43</c:v>
                </c:pt>
                <c:pt idx="5">
                  <c:v>44.6</c:v>
                </c:pt>
                <c:pt idx="6">
                  <c:v>44.8</c:v>
                </c:pt>
                <c:pt idx="7">
                  <c:v>44.5</c:v>
                </c:pt>
                <c:pt idx="8">
                  <c:v>45</c:v>
                </c:pt>
                <c:pt idx="9">
                  <c:v>44.6</c:v>
                </c:pt>
                <c:pt idx="10">
                  <c:v>45</c:v>
                </c:pt>
                <c:pt idx="11">
                  <c:v>45</c:v>
                </c:pt>
                <c:pt idx="12">
                  <c:v>45.2</c:v>
                </c:pt>
                <c:pt idx="13">
                  <c:v>45.4</c:v>
                </c:pt>
                <c:pt idx="14">
                  <c:v>45.5</c:v>
                </c:pt>
                <c:pt idx="15">
                  <c:v>45.5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CE-46CE-B7D8-B44863D97188}"/>
            </c:ext>
          </c:extLst>
        </c:ser>
        <c:ser>
          <c:idx val="0"/>
          <c:order val="2"/>
          <c:tx>
            <c:v>LTO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FB-4410-91C8-D9DA6DEEFB53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FB-4410-91C8-D9DA6DEEFB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Template'!$F$6:$W$6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'LTO DAILY'!$H$9:$X$9</c:f>
              <c:numCache>
                <c:formatCode>0.00</c:formatCode>
                <c:ptCount val="17"/>
                <c:pt idx="0">
                  <c:v>44</c:v>
                </c:pt>
                <c:pt idx="1">
                  <c:v>43.8</c:v>
                </c:pt>
                <c:pt idx="2">
                  <c:v>45.66</c:v>
                </c:pt>
                <c:pt idx="3">
                  <c:v>44.2</c:v>
                </c:pt>
                <c:pt idx="4">
                  <c:v>43.75</c:v>
                </c:pt>
                <c:pt idx="5">
                  <c:v>43.8</c:v>
                </c:pt>
                <c:pt idx="6">
                  <c:v>45.4</c:v>
                </c:pt>
                <c:pt idx="7">
                  <c:v>45.62</c:v>
                </c:pt>
                <c:pt idx="8">
                  <c:v>45.25</c:v>
                </c:pt>
                <c:pt idx="9">
                  <c:v>45.86</c:v>
                </c:pt>
                <c:pt idx="10">
                  <c:v>47.55</c:v>
                </c:pt>
                <c:pt idx="11">
                  <c:v>45.6</c:v>
                </c:pt>
                <c:pt idx="12">
                  <c:v>44.61</c:v>
                </c:pt>
                <c:pt idx="13">
                  <c:v>45.7</c:v>
                </c:pt>
                <c:pt idx="14">
                  <c:v>46.37</c:v>
                </c:pt>
                <c:pt idx="15">
                  <c:v>47.2</c:v>
                </c:pt>
                <c:pt idx="16">
                  <c:v>43.4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5"/>
          <c:order val="5"/>
          <c:tx>
            <c:v>HPS 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LTO DAILY '!$AD$11:$AD$26</c:f>
              <c:numCache>
                <c:formatCode>General</c:formatCode>
                <c:ptCount val="16"/>
                <c:pt idx="0">
                  <c:v>12.4</c:v>
                </c:pt>
                <c:pt idx="1">
                  <c:v>12.2</c:v>
                </c:pt>
                <c:pt idx="2">
                  <c:v>11.5</c:v>
                </c:pt>
                <c:pt idx="3">
                  <c:v>11.3</c:v>
                </c:pt>
                <c:pt idx="4">
                  <c:v>16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15.7</c:v>
                </c:pt>
                <c:pt idx="9">
                  <c:v>15.7</c:v>
                </c:pt>
                <c:pt idx="10">
                  <c:v>15.6</c:v>
                </c:pt>
                <c:pt idx="11">
                  <c:v>15</c:v>
                </c:pt>
                <c:pt idx="12">
                  <c:v>15.6</c:v>
                </c:pt>
                <c:pt idx="13">
                  <c:v>15.6</c:v>
                </c:pt>
                <c:pt idx="14">
                  <c:v>15</c:v>
                </c:pt>
                <c:pt idx="15">
                  <c:v>15.1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96-4E7C-BE9D-C18130F30D2D}"/>
            </c:ext>
          </c:extLst>
        </c:ser>
        <c:ser>
          <c:idx val="6"/>
          <c:order val="6"/>
          <c:tx>
            <c:v>HPS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'HPS DAILY'!$J$10:$Z$10</c:f>
              <c:numCache>
                <c:formatCode>0.00</c:formatCode>
                <c:ptCount val="17"/>
                <c:pt idx="0">
                  <c:v>11.8</c:v>
                </c:pt>
                <c:pt idx="1">
                  <c:v>11.9</c:v>
                </c:pt>
                <c:pt idx="2">
                  <c:v>11.91</c:v>
                </c:pt>
                <c:pt idx="3">
                  <c:v>11.86</c:v>
                </c:pt>
                <c:pt idx="4">
                  <c:v>17.899999999999999</c:v>
                </c:pt>
                <c:pt idx="5">
                  <c:v>15.7</c:v>
                </c:pt>
                <c:pt idx="6">
                  <c:v>14.6</c:v>
                </c:pt>
                <c:pt idx="7">
                  <c:v>14.98</c:v>
                </c:pt>
                <c:pt idx="8">
                  <c:v>14.76</c:v>
                </c:pt>
                <c:pt idx="9">
                  <c:v>14.4</c:v>
                </c:pt>
                <c:pt idx="10">
                  <c:v>15.12</c:v>
                </c:pt>
                <c:pt idx="11">
                  <c:v>15.88</c:v>
                </c:pt>
                <c:pt idx="12">
                  <c:v>15.45</c:v>
                </c:pt>
                <c:pt idx="13">
                  <c:v>16.07</c:v>
                </c:pt>
                <c:pt idx="14">
                  <c:v>15.69</c:v>
                </c:pt>
                <c:pt idx="15" formatCode="General">
                  <c:v>15.1</c:v>
                </c:pt>
                <c:pt idx="16" formatCode="General">
                  <c:v>15.6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96-4E7C-BE9D-C18130F30D2D}"/>
            </c:ext>
          </c:extLst>
        </c:ser>
        <c:ser>
          <c:idx val="7"/>
          <c:order val="7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A71-484D-B724-5AC352117DB0}"/>
            </c:ext>
          </c:extLst>
        </c:ser>
        <c:ser>
          <c:idx val="8"/>
          <c:order val="8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A71-484D-B724-5AC352117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API</a:t>
                </a:r>
              </a:p>
            </c:rich>
          </c:tx>
          <c:layout>
            <c:manualLayout>
              <c:xMode val="edge"/>
              <c:yMode val="edge"/>
              <c:x val="1.9622768013096585E-2"/>
              <c:y val="0.45058586216048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9062553020089033"/>
          <c:y val="0.29197505087145004"/>
          <c:w val="0.15661621636556652"/>
          <c:h val="0.18430009731929575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MCRT </a:t>
            </a:r>
            <a:r>
              <a:rPr lang="en-US" b="1" baseline="0"/>
              <a:t>in HPS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01D-4413-AA36-43ED67F17560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1D-4413-AA36-43ED67F175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Template'!$F$6:$W$6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Template'!$AP$33:$BF$33</c:f>
              <c:numCache>
                <c:formatCode>0.00</c:formatCode>
                <c:ptCount val="17"/>
                <c:pt idx="0">
                  <c:v>14.8</c:v>
                </c:pt>
                <c:pt idx="1">
                  <c:v>14.57</c:v>
                </c:pt>
                <c:pt idx="2">
                  <c:v>14.55</c:v>
                </c:pt>
                <c:pt idx="3">
                  <c:v>14.7</c:v>
                </c:pt>
                <c:pt idx="4">
                  <c:v>9.61</c:v>
                </c:pt>
                <c:pt idx="5">
                  <c:v>13.7</c:v>
                </c:pt>
                <c:pt idx="6">
                  <c:v>14.2</c:v>
                </c:pt>
                <c:pt idx="7">
                  <c:v>14</c:v>
                </c:pt>
                <c:pt idx="8">
                  <c:v>13.96</c:v>
                </c:pt>
                <c:pt idx="9">
                  <c:v>14.8</c:v>
                </c:pt>
                <c:pt idx="10">
                  <c:v>13.97</c:v>
                </c:pt>
                <c:pt idx="11">
                  <c:v>13.44</c:v>
                </c:pt>
                <c:pt idx="12">
                  <c:v>14.2</c:v>
                </c:pt>
                <c:pt idx="13">
                  <c:v>13.5</c:v>
                </c:pt>
                <c:pt idx="14">
                  <c:v>14.07</c:v>
                </c:pt>
                <c:pt idx="15">
                  <c:v>14.5</c:v>
                </c:pt>
                <c:pt idx="16">
                  <c:v>14.2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6C3-4833-BDB2-CDA33B8A8C63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6C3-4833-BDB2-CDA33B8A8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strCach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16_2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Template'!$AP$34:$BE$34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14.2</c:v>
                      </c:pt>
                      <c:pt idx="1">
                        <c:v>14.5</c:v>
                      </c:pt>
                      <c:pt idx="2">
                        <c:v>15</c:v>
                      </c:pt>
                      <c:pt idx="3">
                        <c:v>15.23</c:v>
                      </c:pt>
                      <c:pt idx="4">
                        <c:v>10</c:v>
                      </c:pt>
                      <c:pt idx="5">
                        <c:v>10.5</c:v>
                      </c:pt>
                      <c:pt idx="6">
                        <c:v>11.6</c:v>
                      </c:pt>
                      <c:pt idx="7">
                        <c:v>11.6</c:v>
                      </c:pt>
                      <c:pt idx="8">
                        <c:v>12</c:v>
                      </c:pt>
                      <c:pt idx="9">
                        <c:v>12.27</c:v>
                      </c:pt>
                      <c:pt idx="10">
                        <c:v>13.2</c:v>
                      </c:pt>
                      <c:pt idx="11">
                        <c:v>12.5</c:v>
                      </c:pt>
                      <c:pt idx="12">
                        <c:v>12.6</c:v>
                      </c:pt>
                      <c:pt idx="13">
                        <c:v>12.8</c:v>
                      </c:pt>
                      <c:pt idx="14">
                        <c:v>13</c:v>
                      </c:pt>
                      <c:pt idx="15">
                        <c:v>12.43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3.3190274099124895E-2"/>
              <c:y val="0.255080188555025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4950461317953121"/>
          <c:y val="0.47624473102505971"/>
          <c:w val="0.12518265999611622"/>
          <c:h val="9.2357593814286723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Nitrogen in LTO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17-410B-A205-1B2050D97641}"/>
                </c:ext>
              </c:extLst>
            </c:dLbl>
            <c:dLbl>
              <c:idx val="16"/>
              <c:layout>
                <c:manualLayout>
                  <c:x val="-2.4421495787772814E-2"/>
                  <c:y val="-3.82022471910111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17-410B-A205-1B2050D976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Template'!$F$6:$W$6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Template'!$BH$24:$BX$24</c:f>
              <c:numCache>
                <c:formatCode>0.000</c:formatCode>
                <c:ptCount val="17"/>
                <c:pt idx="0">
                  <c:v>2.6800000000000001E-2</c:v>
                </c:pt>
                <c:pt idx="1">
                  <c:v>5.1670000000000008E-2</c:v>
                </c:pt>
                <c:pt idx="2">
                  <c:v>5.4229999999999993E-2</c:v>
                </c:pt>
                <c:pt idx="3">
                  <c:v>7.6810000000000003E-2</c:v>
                </c:pt>
                <c:pt idx="4">
                  <c:v>7.1683999999999998E-2</c:v>
                </c:pt>
                <c:pt idx="5">
                  <c:v>8.0299999999999996E-2</c:v>
                </c:pt>
                <c:pt idx="6">
                  <c:v>9.172000000000001E-2</c:v>
                </c:pt>
                <c:pt idx="7">
                  <c:v>9.5200000000000007E-2</c:v>
                </c:pt>
                <c:pt idx="8">
                  <c:v>9.7807000000000005E-2</c:v>
                </c:pt>
                <c:pt idx="9">
                  <c:v>9.7447000000000006E-2</c:v>
                </c:pt>
                <c:pt idx="10">
                  <c:v>9.1545000000000001E-2</c:v>
                </c:pt>
                <c:pt idx="11">
                  <c:v>0.1012</c:v>
                </c:pt>
                <c:pt idx="12">
                  <c:v>9.552999999999999E-2</c:v>
                </c:pt>
                <c:pt idx="13">
                  <c:v>9.2148000000000008E-2</c:v>
                </c:pt>
                <c:pt idx="14">
                  <c:v>8.6819000000000007E-2</c:v>
                </c:pt>
                <c:pt idx="15">
                  <c:v>7.7759999999999996E-2</c:v>
                </c:pt>
                <c:pt idx="16" formatCode="General">
                  <c:v>9.8000000000000004E-2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D5-4C94-A750-A9BE749E366F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257-46F8-AAEC-9F00BE4A5DD2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257-46F8-AAEC-9F00BE4A5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3FD5-4C94-A750-A9BE749E366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strCach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16_2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Template'!$BH$25:$BW$25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4.4999999999999998E-2</c:v>
                      </c:pt>
                      <c:pt idx="1">
                        <c:v>0.05</c:v>
                      </c:pt>
                      <c:pt idx="2">
                        <c:v>5.5E-2</c:v>
                      </c:pt>
                      <c:pt idx="3">
                        <c:v>0.06</c:v>
                      </c:pt>
                      <c:pt idx="4">
                        <c:v>5.5E-2</c:v>
                      </c:pt>
                      <c:pt idx="5">
                        <c:v>6.2E-2</c:v>
                      </c:pt>
                      <c:pt idx="6">
                        <c:v>7.1999999999999995E-2</c:v>
                      </c:pt>
                      <c:pt idx="7">
                        <c:v>7.4999999999999997E-2</c:v>
                      </c:pt>
                      <c:pt idx="8">
                        <c:v>7.8E-2</c:v>
                      </c:pt>
                      <c:pt idx="9">
                        <c:v>7.7700000000000005E-2</c:v>
                      </c:pt>
                      <c:pt idx="10">
                        <c:v>7.7700000000000005E-2</c:v>
                      </c:pt>
                      <c:pt idx="11">
                        <c:v>8.7999999999999995E-2</c:v>
                      </c:pt>
                      <c:pt idx="12">
                        <c:v>8.8999999999999996E-2</c:v>
                      </c:pt>
                      <c:pt idx="13">
                        <c:v>8.8999999999999996E-2</c:v>
                      </c:pt>
                      <c:pt idx="14">
                        <c:v>8.8999999999999996E-2</c:v>
                      </c:pt>
                      <c:pt idx="15">
                        <c:v>8.8499999999999995E-2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FD5-4C94-A750-A9BE749E366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FD5-4C94-A750-A9BE749E366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FD5-4C94-A750-A9BE749E366F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2.5079819649156489E-2"/>
              <c:y val="0.407296340125319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  <c:majorUnit val="5.000000000000001E-2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83331298615693072"/>
          <c:y val="0.37635288990749238"/>
          <c:w val="0.12509686621863209"/>
          <c:h val="9.2150048659647876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H/C </a:t>
            </a:r>
            <a:r>
              <a:rPr lang="en-US" b="1" baseline="0"/>
              <a:t>Ratio in Feed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1"/>
          <c:order val="1"/>
          <c:tx>
            <c:v>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9.9242900901601819E-17"/>
                  <c:y val="2.37837825690343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AB-4CA3-B80A-6DBA274DF3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Template'!$F$104:$U$104</c:f>
              <c:numCache>
                <c:formatCode>0.000</c:formatCode>
                <c:ptCount val="16"/>
                <c:pt idx="0">
                  <c:v>0.113</c:v>
                </c:pt>
                <c:pt idx="1">
                  <c:v>0.113</c:v>
                </c:pt>
                <c:pt idx="2">
                  <c:v>0.113</c:v>
                </c:pt>
                <c:pt idx="3">
                  <c:v>0.113</c:v>
                </c:pt>
                <c:pt idx="4">
                  <c:v>0.113</c:v>
                </c:pt>
                <c:pt idx="5">
                  <c:v>0.113</c:v>
                </c:pt>
                <c:pt idx="6">
                  <c:v>0.113</c:v>
                </c:pt>
                <c:pt idx="7">
                  <c:v>0.113</c:v>
                </c:pt>
                <c:pt idx="8">
                  <c:v>0.113</c:v>
                </c:pt>
                <c:pt idx="9">
                  <c:v>0.113</c:v>
                </c:pt>
                <c:pt idx="10">
                  <c:v>0.11600000000000001</c:v>
                </c:pt>
                <c:pt idx="11">
                  <c:v>0.11600000000000001</c:v>
                </c:pt>
                <c:pt idx="12">
                  <c:v>0.11600000000000001</c:v>
                </c:pt>
                <c:pt idx="13">
                  <c:v>0.11600000000000001</c:v>
                </c:pt>
                <c:pt idx="14">
                  <c:v>0.11600000000000001</c:v>
                </c:pt>
                <c:pt idx="15">
                  <c:v>0.11600000000000001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CE-46CE-B7D8-B44863D97188}"/>
            </c:ext>
          </c:extLst>
        </c:ser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4.059983755802527E-3"/>
                  <c:y val="-1.9027026055227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AB-4CA3-B80A-6DBA274DF3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Template'!$F$103:$V$103</c:f>
              <c:numCache>
                <c:formatCode>0.000</c:formatCode>
                <c:ptCount val="17"/>
                <c:pt idx="0">
                  <c:v>0.11602419641798126</c:v>
                </c:pt>
                <c:pt idx="1">
                  <c:v>0.11602419641798124</c:v>
                </c:pt>
                <c:pt idx="2">
                  <c:v>0.11602419641798124</c:v>
                </c:pt>
                <c:pt idx="3">
                  <c:v>0.11602419641798124</c:v>
                </c:pt>
                <c:pt idx="4">
                  <c:v>0.11516954193932183</c:v>
                </c:pt>
                <c:pt idx="5">
                  <c:v>0.11516954193932183</c:v>
                </c:pt>
                <c:pt idx="6">
                  <c:v>0.11516954193932183</c:v>
                </c:pt>
                <c:pt idx="7">
                  <c:v>0.11516954193932184</c:v>
                </c:pt>
                <c:pt idx="8">
                  <c:v>0.11516954193932183</c:v>
                </c:pt>
                <c:pt idx="9">
                  <c:v>0.11516954193932182</c:v>
                </c:pt>
                <c:pt idx="10">
                  <c:v>0.11563902669501537</c:v>
                </c:pt>
                <c:pt idx="11">
                  <c:v>0.11563902669501537</c:v>
                </c:pt>
                <c:pt idx="12">
                  <c:v>0.11563902669501537</c:v>
                </c:pt>
                <c:pt idx="13">
                  <c:v>0.11563902669501534</c:v>
                </c:pt>
                <c:pt idx="14">
                  <c:v>0.11563902669501536</c:v>
                </c:pt>
                <c:pt idx="15">
                  <c:v>0.11563902669501537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333-469C-9637-6E3FDE016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1717104594345813"/>
          <c:y val="0.46910964192672611"/>
          <c:w val="0.12303933974049223"/>
          <c:h val="9.6034594036401189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H/C </a:t>
            </a:r>
            <a:r>
              <a:rPr lang="en-US" b="1" baseline="0"/>
              <a:t>Ratio in HPS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1"/>
          <c:order val="1"/>
          <c:tx>
            <c:v>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5.4064690956967375E-3"/>
                  <c:y val="4.51891868811651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AA-489D-B982-0E8D694FFA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Template'!$AP$104:$BE$104</c:f>
              <c:numCache>
                <c:formatCode>0.000</c:formatCode>
                <c:ptCount val="16"/>
                <c:pt idx="0">
                  <c:v>0.125</c:v>
                </c:pt>
                <c:pt idx="1">
                  <c:v>0.123</c:v>
                </c:pt>
                <c:pt idx="2">
                  <c:v>0.122</c:v>
                </c:pt>
                <c:pt idx="3">
                  <c:v>0.121</c:v>
                </c:pt>
                <c:pt idx="4">
                  <c:v>0.1275</c:v>
                </c:pt>
                <c:pt idx="5">
                  <c:v>0.122</c:v>
                </c:pt>
                <c:pt idx="6">
                  <c:v>0.128</c:v>
                </c:pt>
                <c:pt idx="7">
                  <c:v>0.125</c:v>
                </c:pt>
                <c:pt idx="8">
                  <c:v>0.127</c:v>
                </c:pt>
                <c:pt idx="9">
                  <c:v>0.123</c:v>
                </c:pt>
                <c:pt idx="10">
                  <c:v>0.121</c:v>
                </c:pt>
                <c:pt idx="11">
                  <c:v>0.123</c:v>
                </c:pt>
                <c:pt idx="12">
                  <c:v>0.126</c:v>
                </c:pt>
                <c:pt idx="13">
                  <c:v>0.123</c:v>
                </c:pt>
                <c:pt idx="14">
                  <c:v>0.124</c:v>
                </c:pt>
                <c:pt idx="15">
                  <c:v>0.123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CE-46CE-B7D8-B44863D97188}"/>
            </c:ext>
          </c:extLst>
        </c:ser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2.7032345478483688E-3"/>
                  <c:y val="-4.51891868811652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AA-489D-B982-0E8D694FFA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Template'!$AP$103:$BF$103</c:f>
              <c:numCache>
                <c:formatCode>0.000</c:formatCode>
                <c:ptCount val="17"/>
                <c:pt idx="0">
                  <c:v>0.12715712988192554</c:v>
                </c:pt>
                <c:pt idx="1">
                  <c:v>0.12005457025920874</c:v>
                </c:pt>
                <c:pt idx="2">
                  <c:v>0.12501423203916659</c:v>
                </c:pt>
                <c:pt idx="3">
                  <c:v>0.13065326633165825</c:v>
                </c:pt>
                <c:pt idx="4">
                  <c:v>0.13101574000679425</c:v>
                </c:pt>
                <c:pt idx="5">
                  <c:v>0.12775130474245522</c:v>
                </c:pt>
                <c:pt idx="6">
                  <c:v>0.1304397098821396</c:v>
                </c:pt>
                <c:pt idx="7">
                  <c:v>0.12934253706008825</c:v>
                </c:pt>
                <c:pt idx="8">
                  <c:v>0.12932398824327376</c:v>
                </c:pt>
                <c:pt idx="9">
                  <c:v>0.12752055874732454</c:v>
                </c:pt>
                <c:pt idx="10">
                  <c:v>0.12840423137519694</c:v>
                </c:pt>
                <c:pt idx="11">
                  <c:v>0.1304642494069807</c:v>
                </c:pt>
                <c:pt idx="12">
                  <c:v>0.13138603811886773</c:v>
                </c:pt>
                <c:pt idx="13">
                  <c:v>0.13314415437003407</c:v>
                </c:pt>
                <c:pt idx="14">
                  <c:v>0.13296430185268868</c:v>
                </c:pt>
                <c:pt idx="15">
                  <c:v>0.13073005093378606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333-469C-9637-6E3FDE016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4950461317953121"/>
          <c:y val="0.47624473102505971"/>
          <c:w val="0.12303933974049223"/>
          <c:h val="9.6034594036401189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H/C </a:t>
            </a:r>
            <a:r>
              <a:rPr lang="en-US" b="1" baseline="0"/>
              <a:t>Ratio in LTO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1"/>
          <c:order val="1"/>
          <c:tx>
            <c:v>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9.9890724000401412E-17"/>
                  <c:y val="3.04449648711943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7F-4CF6-A7F9-AC926988C5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Template'!$BH$104:$BW$104</c:f>
              <c:numCache>
                <c:formatCode>0.000</c:formatCode>
                <c:ptCount val="16"/>
                <c:pt idx="0">
                  <c:v>0.155</c:v>
                </c:pt>
                <c:pt idx="1">
                  <c:v>0.155</c:v>
                </c:pt>
                <c:pt idx="2">
                  <c:v>0.156</c:v>
                </c:pt>
                <c:pt idx="3">
                  <c:v>0.157</c:v>
                </c:pt>
                <c:pt idx="4">
                  <c:v>0.156</c:v>
                </c:pt>
                <c:pt idx="5">
                  <c:v>0.157</c:v>
                </c:pt>
                <c:pt idx="6">
                  <c:v>0.1565</c:v>
                </c:pt>
                <c:pt idx="7">
                  <c:v>0.156</c:v>
                </c:pt>
                <c:pt idx="8">
                  <c:v>0.155</c:v>
                </c:pt>
                <c:pt idx="9">
                  <c:v>0.159</c:v>
                </c:pt>
                <c:pt idx="10">
                  <c:v>0.156</c:v>
                </c:pt>
                <c:pt idx="11">
                  <c:v>0.1555</c:v>
                </c:pt>
                <c:pt idx="12">
                  <c:v>0.158</c:v>
                </c:pt>
                <c:pt idx="13">
                  <c:v>0.158</c:v>
                </c:pt>
                <c:pt idx="14">
                  <c:v>0.156</c:v>
                </c:pt>
                <c:pt idx="15">
                  <c:v>0.157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CE-46CE-B7D8-B44863D97188}"/>
            </c:ext>
          </c:extLst>
        </c:ser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9.9890724000401412E-17"/>
                  <c:y val="-2.3419203747072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7F-4CF6-A7F9-AC926988C5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'Master Template'!$BH$103:$BX$103</c:f>
              <c:numCache>
                <c:formatCode>0.000</c:formatCode>
                <c:ptCount val="17"/>
                <c:pt idx="0">
                  <c:v>0.15105184503965974</c:v>
                </c:pt>
                <c:pt idx="1">
                  <c:v>0.14212903973126376</c:v>
                </c:pt>
                <c:pt idx="2">
                  <c:v>0.15913284132841329</c:v>
                </c:pt>
                <c:pt idx="3">
                  <c:v>0.16261398176291791</c:v>
                </c:pt>
                <c:pt idx="4">
                  <c:v>0.15460943809853467</c:v>
                </c:pt>
                <c:pt idx="5">
                  <c:v>0.15445729641313238</c:v>
                </c:pt>
                <c:pt idx="6">
                  <c:v>0.16061517113783536</c:v>
                </c:pt>
                <c:pt idx="7">
                  <c:v>0.16107151069211312</c:v>
                </c:pt>
                <c:pt idx="8">
                  <c:v>0.16254952225588443</c:v>
                </c:pt>
                <c:pt idx="9">
                  <c:v>0.16005616005616005</c:v>
                </c:pt>
                <c:pt idx="10">
                  <c:v>0.16226806499942378</c:v>
                </c:pt>
                <c:pt idx="11">
                  <c:v>0.1593818475377696</c:v>
                </c:pt>
                <c:pt idx="12">
                  <c:v>0.15860184447227596</c:v>
                </c:pt>
                <c:pt idx="13">
                  <c:v>0.16047238624522406</c:v>
                </c:pt>
                <c:pt idx="14">
                  <c:v>0.16097278517660685</c:v>
                </c:pt>
                <c:pt idx="15">
                  <c:v>0.16219020172910661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333-469C-9637-6E3FDE016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4950461317953121"/>
          <c:y val="0.47624473102505971"/>
          <c:w val="0.12303933974049223"/>
          <c:h val="9.6034594036401189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Sedimentation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Template'!$F$6:$W$6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'HPS DAILY'!$J$90:$Z$90</c:f>
              <c:numCache>
                <c:formatCode>0.0</c:formatCode>
                <c:ptCount val="17"/>
                <c:pt idx="0">
                  <c:v>153.31</c:v>
                </c:pt>
                <c:pt idx="1">
                  <c:v>250.3</c:v>
                </c:pt>
                <c:pt idx="2">
                  <c:v>50</c:v>
                </c:pt>
                <c:pt idx="3">
                  <c:v>224.78</c:v>
                </c:pt>
                <c:pt idx="4">
                  <c:v>428.74</c:v>
                </c:pt>
                <c:pt idx="5">
                  <c:v>1832.7</c:v>
                </c:pt>
                <c:pt idx="6">
                  <c:v>2657.3</c:v>
                </c:pt>
                <c:pt idx="7">
                  <c:v>3072</c:v>
                </c:pt>
                <c:pt idx="8">
                  <c:v>4183.8</c:v>
                </c:pt>
                <c:pt idx="9">
                  <c:v>4329.1000000000004</c:v>
                </c:pt>
                <c:pt idx="10">
                  <c:v>5116.2</c:v>
                </c:pt>
                <c:pt idx="11">
                  <c:v>9382.7999999999993</c:v>
                </c:pt>
                <c:pt idx="12">
                  <c:v>11823</c:v>
                </c:pt>
                <c:pt idx="13">
                  <c:v>12960</c:v>
                </c:pt>
                <c:pt idx="14">
                  <c:v>18485</c:v>
                </c:pt>
                <c:pt idx="15">
                  <c:v>16439</c:v>
                </c:pt>
                <c:pt idx="16">
                  <c:v>19799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333-469C-9637-6E3FDE0162E6}"/>
            </c:ext>
          </c:extLst>
        </c:ser>
        <c:ser>
          <c:idx val="7"/>
          <c:order val="7"/>
          <c:tx>
            <c:v>Acceptable Value</c:v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16</c:v>
              </c:pt>
            </c:numLit>
          </c:xVal>
          <c:yVal>
            <c:numLit>
              <c:formatCode>General</c:formatCode>
              <c:ptCount val="2"/>
              <c:pt idx="0">
                <c:v>2000</c:v>
              </c:pt>
              <c:pt idx="1">
                <c:v>2000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DFFA-468D-A221-CB7E854815C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strCach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16_2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Template'!$BH$104:$BW$104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0.155</c:v>
                      </c:pt>
                      <c:pt idx="1">
                        <c:v>0.155</c:v>
                      </c:pt>
                      <c:pt idx="2">
                        <c:v>0.156</c:v>
                      </c:pt>
                      <c:pt idx="3">
                        <c:v>0.157</c:v>
                      </c:pt>
                      <c:pt idx="4">
                        <c:v>0.156</c:v>
                      </c:pt>
                      <c:pt idx="5">
                        <c:v>0.157</c:v>
                      </c:pt>
                      <c:pt idx="6">
                        <c:v>0.1565</c:v>
                      </c:pt>
                      <c:pt idx="7">
                        <c:v>0.156</c:v>
                      </c:pt>
                      <c:pt idx="8">
                        <c:v>0.155</c:v>
                      </c:pt>
                      <c:pt idx="9">
                        <c:v>0.159</c:v>
                      </c:pt>
                      <c:pt idx="10">
                        <c:v>0.156</c:v>
                      </c:pt>
                      <c:pt idx="11">
                        <c:v>0.1555</c:v>
                      </c:pt>
                      <c:pt idx="12">
                        <c:v>0.158</c:v>
                      </c:pt>
                      <c:pt idx="13">
                        <c:v>0.158</c:v>
                      </c:pt>
                      <c:pt idx="14">
                        <c:v>0.156</c:v>
                      </c:pt>
                      <c:pt idx="15">
                        <c:v>0.157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2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ppmw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4950461317953121"/>
          <c:y val="0.47624473102505971"/>
          <c:w val="0.17029660927395684"/>
          <c:h val="9.2150048659647876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82527623242367"/>
          <c:y val="0.24064390134804364"/>
          <c:w val="0.74536569479944392"/>
          <c:h val="0.62945638667984671"/>
        </c:manualLayout>
      </c:layout>
      <c:scatterChart>
        <c:scatterStyle val="lineMarker"/>
        <c:varyColors val="0"/>
        <c:ser>
          <c:idx val="8"/>
          <c:order val="0"/>
          <c:tx>
            <c:v>HDM(Ni+V)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10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5.7565033530045592E-3"/>
                  <c:y val="-2.62070575694472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C34-4E70-8E94-2E14C3FDBE38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285-430C-8658-FA32CFBFC7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  <c:extLst xmlns:c15="http://schemas.microsoft.com/office/drawing/2012/chart"/>
            </c:numRef>
          </c:xVal>
          <c:yVal>
            <c:numRef>
              <c:f>'Master Template'!$F$163:$U$163</c:f>
              <c:numCache>
                <c:formatCode>0.00</c:formatCode>
                <c:ptCount val="16"/>
                <c:pt idx="0">
                  <c:v>78.072269550409914</c:v>
                </c:pt>
                <c:pt idx="1">
                  <c:v>79.901132240931815</c:v>
                </c:pt>
                <c:pt idx="2">
                  <c:v>80.115950339524659</c:v>
                </c:pt>
                <c:pt idx="3">
                  <c:v>80.61522293225029</c:v>
                </c:pt>
                <c:pt idx="4">
                  <c:v>94.111229621789718</c:v>
                </c:pt>
                <c:pt idx="5">
                  <c:v>92.344274622059316</c:v>
                </c:pt>
                <c:pt idx="6">
                  <c:v>90.542465472241489</c:v>
                </c:pt>
                <c:pt idx="7">
                  <c:v>91.228491345592857</c:v>
                </c:pt>
                <c:pt idx="8">
                  <c:v>89.246227622741543</c:v>
                </c:pt>
                <c:pt idx="9">
                  <c:v>89.473039000423952</c:v>
                </c:pt>
                <c:pt idx="10">
                  <c:v>94.066807730052702</c:v>
                </c:pt>
                <c:pt idx="11">
                  <c:v>92.125612856891621</c:v>
                </c:pt>
                <c:pt idx="12">
                  <c:v>88.348670633282524</c:v>
                </c:pt>
                <c:pt idx="13">
                  <c:v>91.035913042577661</c:v>
                </c:pt>
                <c:pt idx="14">
                  <c:v>85.400994196023262</c:v>
                </c:pt>
                <c:pt idx="15">
                  <c:v>89.198765796827644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C34-4E70-8E94-2E14C3FDBE38}"/>
            </c:ext>
          </c:extLst>
        </c:ser>
        <c:ser>
          <c:idx val="0"/>
          <c:order val="1"/>
          <c:tx>
            <c:v>S Conversion 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triangle"/>
              <c:size val="10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B-2C34-4E70-8E94-2E14C3FDBE38}"/>
              </c:ext>
            </c:extLst>
          </c:dPt>
          <c:dLbls>
            <c:dLbl>
              <c:idx val="5"/>
              <c:layout>
                <c:manualLayout>
                  <c:x val="-8.4602482855579219E-17"/>
                  <c:y val="-5.58576576816964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C34-4E70-8E94-2E14C3FDBE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Template'!$F$187:$U$187</c:f>
              <c:numCache>
                <c:formatCode>0.00</c:formatCode>
                <c:ptCount val="16"/>
                <c:pt idx="0">
                  <c:v>72</c:v>
                </c:pt>
                <c:pt idx="1">
                  <c:v>68</c:v>
                </c:pt>
                <c:pt idx="2">
                  <c:v>66</c:v>
                </c:pt>
                <c:pt idx="3">
                  <c:v>65.599999999999994</c:v>
                </c:pt>
                <c:pt idx="4">
                  <c:v>86</c:v>
                </c:pt>
                <c:pt idx="5">
                  <c:v>87</c:v>
                </c:pt>
                <c:pt idx="6">
                  <c:v>86</c:v>
                </c:pt>
                <c:pt idx="7">
                  <c:v>85.5</c:v>
                </c:pt>
                <c:pt idx="8">
                  <c:v>85</c:v>
                </c:pt>
                <c:pt idx="9">
                  <c:v>84.6</c:v>
                </c:pt>
                <c:pt idx="10">
                  <c:v>81</c:v>
                </c:pt>
                <c:pt idx="11">
                  <c:v>82</c:v>
                </c:pt>
                <c:pt idx="12">
                  <c:v>82.3</c:v>
                </c:pt>
                <c:pt idx="13">
                  <c:v>83</c:v>
                </c:pt>
                <c:pt idx="14">
                  <c:v>82.5</c:v>
                </c:pt>
                <c:pt idx="15">
                  <c:v>82.1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2C34-4E70-8E94-2E14C3FDBE38}"/>
            </c:ext>
          </c:extLst>
        </c:ser>
        <c:ser>
          <c:idx val="1"/>
          <c:order val="2"/>
          <c:tx>
            <c:v>S Conversion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1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5"/>
              <c:layout>
                <c:manualLayout>
                  <c:x val="9.9477202077705058E-7"/>
                  <c:y val="1.35343477101169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C34-4E70-8E94-2E14C3FDBE38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85-430C-8658-FA32CFBFC7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Template'!$F$186:$U$186</c:f>
              <c:numCache>
                <c:formatCode>0.00</c:formatCode>
                <c:ptCount val="16"/>
                <c:pt idx="0">
                  <c:v>64.498987612700304</c:v>
                </c:pt>
                <c:pt idx="1">
                  <c:v>66.260538076075704</c:v>
                </c:pt>
                <c:pt idx="2">
                  <c:v>65.200068088983215</c:v>
                </c:pt>
                <c:pt idx="3">
                  <c:v>65.178077797459792</c:v>
                </c:pt>
                <c:pt idx="4">
                  <c:v>84.167966673459233</c:v>
                </c:pt>
                <c:pt idx="5">
                  <c:v>82.092170846131438</c:v>
                </c:pt>
                <c:pt idx="6">
                  <c:v>78.012112349376224</c:v>
                </c:pt>
                <c:pt idx="7">
                  <c:v>78.680928642779847</c:v>
                </c:pt>
                <c:pt idx="8">
                  <c:v>77.873998304433286</c:v>
                </c:pt>
                <c:pt idx="9">
                  <c:v>77.130923025345879</c:v>
                </c:pt>
                <c:pt idx="10">
                  <c:v>77.172629470171387</c:v>
                </c:pt>
                <c:pt idx="11">
                  <c:v>80.116179498733715</c:v>
                </c:pt>
                <c:pt idx="12">
                  <c:v>79.164795006328703</c:v>
                </c:pt>
                <c:pt idx="13">
                  <c:v>79.882526565786861</c:v>
                </c:pt>
                <c:pt idx="14">
                  <c:v>78.602035800582811</c:v>
                </c:pt>
                <c:pt idx="15">
                  <c:v>81.366708634844798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C34-4E70-8E94-2E14C3FDBE38}"/>
            </c:ext>
          </c:extLst>
        </c:ser>
        <c:ser>
          <c:idx val="6"/>
          <c:order val="3"/>
          <c:tx>
            <c:v>Asphaltene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5"/>
              <c:layout>
                <c:manualLayout>
                  <c:x val="-1.6079133209921312E-2"/>
                  <c:y val="1.81245746255098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B57-4C5E-A880-50842F34CC8A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85-430C-8658-FA32CFBFC7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Template'!$F$205:$U$205</c:f>
              <c:numCache>
                <c:formatCode>0.00</c:formatCode>
                <c:ptCount val="16"/>
                <c:pt idx="0">
                  <c:v>65.846695297983118</c:v>
                </c:pt>
                <c:pt idx="1">
                  <c:v>68.717064372849862</c:v>
                </c:pt>
                <c:pt idx="2">
                  <c:v>67.954365207166219</c:v>
                </c:pt>
                <c:pt idx="3">
                  <c:v>67.635476576008017</c:v>
                </c:pt>
                <c:pt idx="4">
                  <c:v>87.65580822508376</c:v>
                </c:pt>
                <c:pt idx="5">
                  <c:v>76.97582451062533</c:v>
                </c:pt>
                <c:pt idx="6">
                  <c:v>74.956075029685849</c:v>
                </c:pt>
                <c:pt idx="7">
                  <c:v>74.627145805179154</c:v>
                </c:pt>
                <c:pt idx="8">
                  <c:v>74.75669596005558</c:v>
                </c:pt>
                <c:pt idx="9">
                  <c:v>73.930525635501937</c:v>
                </c:pt>
                <c:pt idx="10">
                  <c:v>74.799549549549539</c:v>
                </c:pt>
                <c:pt idx="11">
                  <c:v>77.262740950194171</c:v>
                </c:pt>
                <c:pt idx="12">
                  <c:v>74.390259734232501</c:v>
                </c:pt>
                <c:pt idx="13">
                  <c:v>77.732857950130679</c:v>
                </c:pt>
                <c:pt idx="14">
                  <c:v>74.613897830288735</c:v>
                </c:pt>
                <c:pt idx="15">
                  <c:v>77.617921212842106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57-4C5E-A880-50842F34CC8A}"/>
            </c:ext>
          </c:extLst>
        </c:ser>
        <c:ser>
          <c:idx val="9"/>
          <c:order val="4"/>
          <c:tx>
            <c:v>HDM(Ni+V) ART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11"/>
            <c:spPr>
              <a:solidFill>
                <a:schemeClr val="accent2"/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1.1512991743763026E-3"/>
                  <c:y val="-4.61816477744751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34-4E70-8E94-2E14C3FDBE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  <c:extLst xmlns:c15="http://schemas.microsoft.com/office/drawing/2012/chart"/>
            </c:numRef>
          </c:xVal>
          <c:yVal>
            <c:numRef>
              <c:f>'Master Template'!$F$179:$U$179</c:f>
              <c:numCache>
                <c:formatCode>0.00</c:formatCode>
                <c:ptCount val="16"/>
                <c:pt idx="0">
                  <c:v>88</c:v>
                </c:pt>
                <c:pt idx="1">
                  <c:v>84.3</c:v>
                </c:pt>
                <c:pt idx="2">
                  <c:v>82.5</c:v>
                </c:pt>
                <c:pt idx="3">
                  <c:v>81.2</c:v>
                </c:pt>
                <c:pt idx="4">
                  <c:v>97.6</c:v>
                </c:pt>
                <c:pt idx="5">
                  <c:v>97</c:v>
                </c:pt>
                <c:pt idx="6">
                  <c:v>96</c:v>
                </c:pt>
                <c:pt idx="7">
                  <c:v>95.5</c:v>
                </c:pt>
                <c:pt idx="8">
                  <c:v>95</c:v>
                </c:pt>
                <c:pt idx="9">
                  <c:v>94.6</c:v>
                </c:pt>
                <c:pt idx="10">
                  <c:v>94.6</c:v>
                </c:pt>
                <c:pt idx="11">
                  <c:v>91</c:v>
                </c:pt>
                <c:pt idx="12">
                  <c:v>90.5</c:v>
                </c:pt>
                <c:pt idx="13">
                  <c:v>92</c:v>
                </c:pt>
                <c:pt idx="14">
                  <c:v>91.5</c:v>
                </c:pt>
                <c:pt idx="15">
                  <c:v>90.7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2C34-4E70-8E94-2E14C3FDBE38}"/>
            </c:ext>
          </c:extLst>
        </c:ser>
        <c:ser>
          <c:idx val="4"/>
          <c:order val="7"/>
          <c:tx>
            <c:v>MCR Conversion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0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8.4543945320146127E-17"/>
                  <c:y val="-7.43807727459477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2B-4E3C-996C-E7CC9178A6C1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85-430C-8658-FA32CFBFC7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  <c:extLst xmlns:c15="http://schemas.microsoft.com/office/drawing/2012/chart"/>
            </c:numRef>
          </c:xVal>
          <c:yVal>
            <c:numRef>
              <c:f>'Master Template'!$F$199:$U$199</c:f>
              <c:numCache>
                <c:formatCode>0.0</c:formatCode>
                <c:ptCount val="16"/>
                <c:pt idx="0">
                  <c:v>47.705682757165718</c:v>
                </c:pt>
                <c:pt idx="1">
                  <c:v>49.620880932128486</c:v>
                </c:pt>
                <c:pt idx="2">
                  <c:v>49.683197888870907</c:v>
                </c:pt>
                <c:pt idx="3">
                  <c:v>49.651261793146482</c:v>
                </c:pt>
                <c:pt idx="4">
                  <c:v>74.060109817661484</c:v>
                </c:pt>
                <c:pt idx="5">
                  <c:v>63.489252396222099</c:v>
                </c:pt>
                <c:pt idx="6">
                  <c:v>61.570482773284532</c:v>
                </c:pt>
                <c:pt idx="7">
                  <c:v>62.174573502884058</c:v>
                </c:pt>
                <c:pt idx="8">
                  <c:v>61.779317173880806</c:v>
                </c:pt>
                <c:pt idx="9">
                  <c:v>60.485350664392257</c:v>
                </c:pt>
                <c:pt idx="10">
                  <c:v>63.954286372434169</c:v>
                </c:pt>
                <c:pt idx="11">
                  <c:v>65.187542592992855</c:v>
                </c:pt>
                <c:pt idx="12">
                  <c:v>62.807563599609892</c:v>
                </c:pt>
                <c:pt idx="13">
                  <c:v>65.432369314502154</c:v>
                </c:pt>
                <c:pt idx="14">
                  <c:v>62.303547213487683</c:v>
                </c:pt>
                <c:pt idx="15">
                  <c:v>67.734154304201553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E59-4DB4-B39E-29DDF96B74AB}"/>
            </c:ext>
          </c:extLst>
        </c:ser>
        <c:ser>
          <c:idx val="5"/>
          <c:order val="8"/>
          <c:tx>
            <c:v>N Conversion 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5"/>
              <c:layout>
                <c:manualLayout>
                  <c:x val="-6.8910570899662774E-3"/>
                  <c:y val="-1.4499659700407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57-4C5E-A880-50842F34CC8A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285-430C-8658-FA32CFBFC7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Template'!$F$190:$U$190</c:f>
              <c:numCache>
                <c:formatCode>0.00</c:formatCode>
                <c:ptCount val="16"/>
                <c:pt idx="0">
                  <c:v>38</c:v>
                </c:pt>
                <c:pt idx="1">
                  <c:v>31.5</c:v>
                </c:pt>
                <c:pt idx="2">
                  <c:v>27.5</c:v>
                </c:pt>
                <c:pt idx="3">
                  <c:v>28.4</c:v>
                </c:pt>
                <c:pt idx="4">
                  <c:v>55.5</c:v>
                </c:pt>
                <c:pt idx="5">
                  <c:v>45</c:v>
                </c:pt>
                <c:pt idx="6">
                  <c:v>43</c:v>
                </c:pt>
                <c:pt idx="7">
                  <c:v>42.5</c:v>
                </c:pt>
                <c:pt idx="8">
                  <c:v>41.5</c:v>
                </c:pt>
                <c:pt idx="9">
                  <c:v>40.700000000000003</c:v>
                </c:pt>
                <c:pt idx="10">
                  <c:v>39</c:v>
                </c:pt>
                <c:pt idx="11">
                  <c:v>38</c:v>
                </c:pt>
                <c:pt idx="12">
                  <c:v>41.5</c:v>
                </c:pt>
                <c:pt idx="13">
                  <c:v>41</c:v>
                </c:pt>
                <c:pt idx="14">
                  <c:v>40.5</c:v>
                </c:pt>
                <c:pt idx="15">
                  <c:v>40.5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40-4D36-9F82-41BCEF31B544}"/>
            </c:ext>
          </c:extLst>
        </c:ser>
        <c:ser>
          <c:idx val="10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CatConv!$G$53:$G$54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CatConv!$H$53:$H$54</c:f>
              <c:numCache>
                <c:formatCode>General</c:formatCode>
                <c:ptCount val="2"/>
                <c:pt idx="0">
                  <c:v>-2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40-4D36-9F82-41BCEF31B544}"/>
            </c:ext>
          </c:extLst>
        </c:ser>
        <c:ser>
          <c:idx val="2"/>
          <c:order val="10"/>
          <c:tx>
            <c:v>N conversion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2.5276524013344456E-2"/>
                  <c:y val="4.64064748401646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C34-4E70-8E94-2E14C3FDBE38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285-430C-8658-FA32CFBFC7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Template'!$F$189:$U$189</c:f>
              <c:numCache>
                <c:formatCode>0.00</c:formatCode>
                <c:ptCount val="16"/>
                <c:pt idx="0">
                  <c:v>38.689882177323334</c:v>
                </c:pt>
                <c:pt idx="1">
                  <c:v>39.321934701991587</c:v>
                </c:pt>
                <c:pt idx="2">
                  <c:v>43.4371551972229</c:v>
                </c:pt>
                <c:pt idx="3">
                  <c:v>39.672386452424909</c:v>
                </c:pt>
                <c:pt idx="4">
                  <c:v>63.187613904350457</c:v>
                </c:pt>
                <c:pt idx="5">
                  <c:v>41.204457959699141</c:v>
                </c:pt>
                <c:pt idx="6">
                  <c:v>36.193380883636706</c:v>
                </c:pt>
                <c:pt idx="7">
                  <c:v>37.596947448157117</c:v>
                </c:pt>
                <c:pt idx="8">
                  <c:v>32.016728421017319</c:v>
                </c:pt>
                <c:pt idx="9">
                  <c:v>35.294825697057583</c:v>
                </c:pt>
                <c:pt idx="10">
                  <c:v>39.416038812699064</c:v>
                </c:pt>
                <c:pt idx="11">
                  <c:v>34.961016617338515</c:v>
                </c:pt>
                <c:pt idx="12">
                  <c:v>28.597698662762067</c:v>
                </c:pt>
                <c:pt idx="13">
                  <c:v>31.424754290060097</c:v>
                </c:pt>
                <c:pt idx="14">
                  <c:v>29.141392273555301</c:v>
                </c:pt>
                <c:pt idx="15">
                  <c:v>40.305184807574364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C34-4E70-8E94-2E14C3FDBE38}"/>
            </c:ext>
          </c:extLst>
        </c:ser>
        <c:ser>
          <c:idx val="11"/>
          <c:order val="11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CatConv!$G$56:$G$57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CatConv!$H$56:$H$57</c:f>
              <c:numCache>
                <c:formatCode>General</c:formatCode>
                <c:ptCount val="2"/>
                <c:pt idx="0">
                  <c:v>-2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40-4D36-9F82-41BCEF31B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5"/>
                <c:tx>
                  <c:v>MCR Conv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0"/>
                        <c:y val="1.142223459381139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0-2C34-4E70-8E94-2E14C3FDBE3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Template'!$F$200:$U$200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56</c:v>
                      </c:pt>
                      <c:pt idx="1">
                        <c:v>50</c:v>
                      </c:pt>
                      <c:pt idx="2">
                        <c:v>49</c:v>
                      </c:pt>
                      <c:pt idx="3">
                        <c:v>48</c:v>
                      </c:pt>
                      <c:pt idx="4">
                        <c:v>70</c:v>
                      </c:pt>
                      <c:pt idx="5">
                        <c:v>69</c:v>
                      </c:pt>
                      <c:pt idx="6">
                        <c:v>66</c:v>
                      </c:pt>
                      <c:pt idx="7">
                        <c:v>66.5</c:v>
                      </c:pt>
                      <c:pt idx="8">
                        <c:v>65.5</c:v>
                      </c:pt>
                      <c:pt idx="9">
                        <c:v>64.400000000000006</c:v>
                      </c:pt>
                      <c:pt idx="10">
                        <c:v>61.5</c:v>
                      </c:pt>
                      <c:pt idx="11">
                        <c:v>58.5</c:v>
                      </c:pt>
                      <c:pt idx="12">
                        <c:v>60.5</c:v>
                      </c:pt>
                      <c:pt idx="13">
                        <c:v>61.8</c:v>
                      </c:pt>
                      <c:pt idx="14">
                        <c:v>61</c:v>
                      </c:pt>
                      <c:pt idx="15">
                        <c:v>62.1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1-2C34-4E70-8E94-2E14C3FDBE38}"/>
                  </c:ext>
                </c:extLst>
              </c15:ser>
            </c15:filteredScatterSeries>
            <c15:filteredScatterSeries>
              <c15:ser>
                <c:idx val="3"/>
                <c:order val="6"/>
                <c:tx>
                  <c:v>Asphaltene_ART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Template'!$F$206:$U$206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  <c:pt idx="10">
                        <c:v>78</c:v>
                      </c:pt>
                      <c:pt idx="12">
                        <c:v>72.5</c:v>
                      </c:pt>
                      <c:pt idx="14">
                        <c:v>71.2</c:v>
                      </c:pt>
                      <c:pt idx="15">
                        <c:v>71.900000000000006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59-4DB4-B39E-29DDF96B74AB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Asphaltene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Template'!$F$206:$U$206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  <c:pt idx="10">
                        <c:v>78</c:v>
                      </c:pt>
                      <c:pt idx="12">
                        <c:v>72.5</c:v>
                      </c:pt>
                      <c:pt idx="14">
                        <c:v>71.2</c:v>
                      </c:pt>
                      <c:pt idx="15">
                        <c:v>71.900000000000006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57-4C5E-A880-50842F34CC8A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1562560656094"/>
              <c:y val="0.93093812237819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wt Conversion</a:t>
                </a:r>
              </a:p>
            </c:rich>
          </c:tx>
          <c:layout>
            <c:manualLayout>
              <c:xMode val="edge"/>
              <c:yMode val="edge"/>
              <c:x val="1.4226001258321287E-2"/>
              <c:y val="0.426051788589193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87913346102800993"/>
          <c:y val="0.31671315577450038"/>
          <c:w val="0.1200666301685971"/>
          <c:h val="0.226098591708279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35529981864439"/>
          <c:y val="0.2421351232251211"/>
          <c:w val="0.69377810405459839"/>
          <c:h val="0.62945638667984671"/>
        </c:manualLayout>
      </c:layout>
      <c:scatterChart>
        <c:scatterStyle val="lineMarker"/>
        <c:varyColors val="0"/>
        <c:ser>
          <c:idx val="9"/>
          <c:order val="0"/>
          <c:tx>
            <c:v>HDM(Ni+V) ART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1.1512991743763026E-3"/>
                  <c:y val="-4.61816477744751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85-43D2-80F4-3C3E5CFAA9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1"/>
              <c:pt idx="0">
                <c:v>3</c:v>
              </c:pt>
              <c:pt idx="1">
                <c:v>4</c:v>
              </c:pt>
              <c:pt idx="2">
                <c:v>6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</c:numLit>
          </c:xVal>
          <c:yVal>
            <c:numRef>
              <c:f>('Master Template'!$H$179,'Master Template'!$I$179,'Master Template'!$K$179,'Master Template'!$M$179,'Master Template'!$N$179,'Master Template'!$O$179,'Master Template'!$Q$179,'Master Template'!$R$179,'Master Template'!$S$179,'Master Template'!$T$179)</c:f>
              <c:numCache>
                <c:formatCode>0.00</c:formatCode>
                <c:ptCount val="10"/>
                <c:pt idx="0">
                  <c:v>82.5</c:v>
                </c:pt>
                <c:pt idx="1">
                  <c:v>81.2</c:v>
                </c:pt>
                <c:pt idx="2">
                  <c:v>97</c:v>
                </c:pt>
                <c:pt idx="3">
                  <c:v>95.5</c:v>
                </c:pt>
                <c:pt idx="4">
                  <c:v>95</c:v>
                </c:pt>
                <c:pt idx="5">
                  <c:v>94.6</c:v>
                </c:pt>
                <c:pt idx="6">
                  <c:v>91</c:v>
                </c:pt>
                <c:pt idx="7">
                  <c:v>90.5</c:v>
                </c:pt>
                <c:pt idx="8">
                  <c:v>92</c:v>
                </c:pt>
                <c:pt idx="9">
                  <c:v>91.5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A454-4B92-8C1D-9CEB9625D109}"/>
            </c:ext>
          </c:extLst>
        </c:ser>
        <c:ser>
          <c:idx val="8"/>
          <c:order val="1"/>
          <c:tx>
            <c:v>HDM(Ni+V)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5.7565033530045592E-3"/>
                  <c:y val="-2.62070575694472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54-4B92-8C1D-9CEB9625D109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54-4B92-8C1D-9CEB9625D1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  <c:extLst xmlns:c15="http://schemas.microsoft.com/office/drawing/2012/chart"/>
            </c:numRef>
          </c:xVal>
          <c:yVal>
            <c:numRef>
              <c:f>'Master Template'!$F$163:$U$163</c:f>
              <c:numCache>
                <c:formatCode>0.00</c:formatCode>
                <c:ptCount val="16"/>
                <c:pt idx="0">
                  <c:v>78.072269550409914</c:v>
                </c:pt>
                <c:pt idx="1">
                  <c:v>79.901132240931815</c:v>
                </c:pt>
                <c:pt idx="2">
                  <c:v>80.115950339524659</c:v>
                </c:pt>
                <c:pt idx="3">
                  <c:v>80.61522293225029</c:v>
                </c:pt>
                <c:pt idx="4">
                  <c:v>94.111229621789718</c:v>
                </c:pt>
                <c:pt idx="5">
                  <c:v>92.344274622059316</c:v>
                </c:pt>
                <c:pt idx="6">
                  <c:v>90.542465472241489</c:v>
                </c:pt>
                <c:pt idx="7">
                  <c:v>91.228491345592857</c:v>
                </c:pt>
                <c:pt idx="8">
                  <c:v>89.246227622741543</c:v>
                </c:pt>
                <c:pt idx="9">
                  <c:v>89.473039000423952</c:v>
                </c:pt>
                <c:pt idx="10">
                  <c:v>94.066807730052702</c:v>
                </c:pt>
                <c:pt idx="11">
                  <c:v>92.125612856891621</c:v>
                </c:pt>
                <c:pt idx="12">
                  <c:v>88.348670633282524</c:v>
                </c:pt>
                <c:pt idx="13">
                  <c:v>91.035913042577661</c:v>
                </c:pt>
                <c:pt idx="14">
                  <c:v>85.400994196023262</c:v>
                </c:pt>
                <c:pt idx="15">
                  <c:v>89.198765796827644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A454-4B92-8C1D-9CEB9625D109}"/>
            </c:ext>
          </c:extLst>
        </c:ser>
        <c:ser>
          <c:idx val="0"/>
          <c:order val="2"/>
          <c:tx>
            <c:v>S Conversion 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8.4602482855579219E-17"/>
                  <c:y val="-5.58576576816964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85-43D2-80F4-3C3E5CFAA9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0"/>
              <c:pt idx="0">
                <c:v>3</c:v>
              </c:pt>
              <c:pt idx="1">
                <c:v>4</c:v>
              </c:pt>
              <c:pt idx="2">
                <c:v>6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</c:numLit>
          </c:xVal>
          <c:yVal>
            <c:numRef>
              <c:f>('Master Template'!$H$187,'Master Template'!$I$187,'Master Template'!$K$187,'Master Template'!$M$187,'Master Template'!$N$187,'Master Template'!$O$187,'Master Template'!$Q$187,'Master Template'!$R$187,'Master Template'!$S$187,'Master Template'!$T$187)</c:f>
              <c:numCache>
                <c:formatCode>0.00</c:formatCode>
                <c:ptCount val="10"/>
                <c:pt idx="0">
                  <c:v>66</c:v>
                </c:pt>
                <c:pt idx="1">
                  <c:v>65.599999999999994</c:v>
                </c:pt>
                <c:pt idx="2">
                  <c:v>87</c:v>
                </c:pt>
                <c:pt idx="3">
                  <c:v>85.5</c:v>
                </c:pt>
                <c:pt idx="4">
                  <c:v>85</c:v>
                </c:pt>
                <c:pt idx="5">
                  <c:v>84.6</c:v>
                </c:pt>
                <c:pt idx="6">
                  <c:v>82</c:v>
                </c:pt>
                <c:pt idx="7">
                  <c:v>82.3</c:v>
                </c:pt>
                <c:pt idx="8">
                  <c:v>83</c:v>
                </c:pt>
                <c:pt idx="9">
                  <c:v>82.5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A454-4B92-8C1D-9CEB9625D109}"/>
            </c:ext>
          </c:extLst>
        </c:ser>
        <c:ser>
          <c:idx val="1"/>
          <c:order val="3"/>
          <c:tx>
            <c:v>S Conversion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6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Lbls>
            <c:dLbl>
              <c:idx val="5"/>
              <c:layout>
                <c:manualLayout>
                  <c:x val="9.9477202077705058E-7"/>
                  <c:y val="1.35343477101169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54-4B92-8C1D-9CEB9625D109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454-4B92-8C1D-9CEB9625D1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Template'!$F$186:$U$186</c:f>
              <c:numCache>
                <c:formatCode>0.00</c:formatCode>
                <c:ptCount val="16"/>
                <c:pt idx="0">
                  <c:v>64.498987612700304</c:v>
                </c:pt>
                <c:pt idx="1">
                  <c:v>66.260538076075704</c:v>
                </c:pt>
                <c:pt idx="2">
                  <c:v>65.200068088983215</c:v>
                </c:pt>
                <c:pt idx="3">
                  <c:v>65.178077797459792</c:v>
                </c:pt>
                <c:pt idx="4">
                  <c:v>84.167966673459233</c:v>
                </c:pt>
                <c:pt idx="5">
                  <c:v>82.092170846131438</c:v>
                </c:pt>
                <c:pt idx="6">
                  <c:v>78.012112349376224</c:v>
                </c:pt>
                <c:pt idx="7">
                  <c:v>78.680928642779847</c:v>
                </c:pt>
                <c:pt idx="8">
                  <c:v>77.873998304433286</c:v>
                </c:pt>
                <c:pt idx="9">
                  <c:v>77.130923025345879</c:v>
                </c:pt>
                <c:pt idx="10">
                  <c:v>77.172629470171387</c:v>
                </c:pt>
                <c:pt idx="11">
                  <c:v>80.116179498733715</c:v>
                </c:pt>
                <c:pt idx="12">
                  <c:v>79.164795006328703</c:v>
                </c:pt>
                <c:pt idx="13">
                  <c:v>79.882526565786861</c:v>
                </c:pt>
                <c:pt idx="14">
                  <c:v>78.602035800582811</c:v>
                </c:pt>
                <c:pt idx="15">
                  <c:v>81.366708634844798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454-4B92-8C1D-9CEB9625D109}"/>
            </c:ext>
          </c:extLst>
        </c:ser>
        <c:ser>
          <c:idx val="7"/>
          <c:order val="6"/>
          <c:tx>
            <c:v>MCR Conv ART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3</c:v>
              </c:pt>
              <c:pt idx="1">
                <c:v>4</c:v>
              </c:pt>
              <c:pt idx="2">
                <c:v>6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</c:numLit>
          </c:xVal>
          <c:yVal>
            <c:numRef>
              <c:f>('Master Template'!$H$200,'Master Template'!$I$200,'Master Template'!$K$200,'Master Template'!$M$200,'Master Template'!$N$200,'Master Template'!$O$200,'Master Template'!$Q$200,'Master Template'!$R$200,'Master Template'!$S$200,'Master Template'!$T$200,'Master Template'!$U$200)</c:f>
              <c:numCache>
                <c:formatCode>0.0</c:formatCode>
                <c:ptCount val="11"/>
                <c:pt idx="0">
                  <c:v>49</c:v>
                </c:pt>
                <c:pt idx="1">
                  <c:v>48</c:v>
                </c:pt>
                <c:pt idx="2">
                  <c:v>69</c:v>
                </c:pt>
                <c:pt idx="3">
                  <c:v>66.5</c:v>
                </c:pt>
                <c:pt idx="4">
                  <c:v>65.5</c:v>
                </c:pt>
                <c:pt idx="5">
                  <c:v>64.400000000000006</c:v>
                </c:pt>
                <c:pt idx="6">
                  <c:v>58.5</c:v>
                </c:pt>
                <c:pt idx="7">
                  <c:v>60.5</c:v>
                </c:pt>
                <c:pt idx="8">
                  <c:v>61.8</c:v>
                </c:pt>
                <c:pt idx="9">
                  <c:v>61</c:v>
                </c:pt>
                <c:pt idx="10">
                  <c:v>62.1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A454-4B92-8C1D-9CEB9625D109}"/>
            </c:ext>
          </c:extLst>
        </c:ser>
        <c:ser>
          <c:idx val="4"/>
          <c:order val="7"/>
          <c:tx>
            <c:v>MCR Conversion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2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8.4543945320146127E-17"/>
                  <c:y val="-7.43807727459477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454-4B92-8C1D-9CEB9625D109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454-4B92-8C1D-9CEB9625D1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  <c:extLst xmlns:c15="http://schemas.microsoft.com/office/drawing/2012/chart"/>
            </c:numRef>
          </c:xVal>
          <c:yVal>
            <c:numRef>
              <c:f>'Master Template'!$F$199:$U$199</c:f>
              <c:numCache>
                <c:formatCode>0.0</c:formatCode>
                <c:ptCount val="16"/>
                <c:pt idx="0">
                  <c:v>47.705682757165718</c:v>
                </c:pt>
                <c:pt idx="1">
                  <c:v>49.620880932128486</c:v>
                </c:pt>
                <c:pt idx="2">
                  <c:v>49.683197888870907</c:v>
                </c:pt>
                <c:pt idx="3">
                  <c:v>49.651261793146482</c:v>
                </c:pt>
                <c:pt idx="4">
                  <c:v>74.060109817661484</c:v>
                </c:pt>
                <c:pt idx="5">
                  <c:v>63.489252396222099</c:v>
                </c:pt>
                <c:pt idx="6">
                  <c:v>61.570482773284532</c:v>
                </c:pt>
                <c:pt idx="7">
                  <c:v>62.174573502884058</c:v>
                </c:pt>
                <c:pt idx="8">
                  <c:v>61.779317173880806</c:v>
                </c:pt>
                <c:pt idx="9">
                  <c:v>60.485350664392257</c:v>
                </c:pt>
                <c:pt idx="10">
                  <c:v>63.954286372434169</c:v>
                </c:pt>
                <c:pt idx="11">
                  <c:v>65.187542592992855</c:v>
                </c:pt>
                <c:pt idx="12">
                  <c:v>62.807563599609892</c:v>
                </c:pt>
                <c:pt idx="13">
                  <c:v>65.432369314502154</c:v>
                </c:pt>
                <c:pt idx="14">
                  <c:v>62.303547213487683</c:v>
                </c:pt>
                <c:pt idx="15">
                  <c:v>67.734154304201553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A454-4B92-8C1D-9CEB9625D109}"/>
            </c:ext>
          </c:extLst>
        </c:ser>
        <c:ser>
          <c:idx val="5"/>
          <c:order val="8"/>
          <c:tx>
            <c:v>N Conversion 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6.8910570899662774E-3"/>
                  <c:y val="-1.4499659700407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438-4D64-8D14-B1CD8CE526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6</c:v>
              </c:pt>
              <c:pt idx="5">
                <c:v>8</c:v>
              </c:pt>
              <c:pt idx="6">
                <c:v>10</c:v>
              </c:pt>
              <c:pt idx="7">
                <c:v>12</c:v>
              </c:pt>
              <c:pt idx="8">
                <c:v>14</c:v>
              </c:pt>
              <c:pt idx="9">
                <c:v>15</c:v>
              </c:pt>
            </c:numLit>
          </c:xVal>
          <c:yVal>
            <c:numRef>
              <c:f>'Master Template'!$F$190:$U$190</c:f>
              <c:numCache>
                <c:formatCode>0.00</c:formatCode>
                <c:ptCount val="16"/>
                <c:pt idx="0">
                  <c:v>38</c:v>
                </c:pt>
                <c:pt idx="1">
                  <c:v>31.5</c:v>
                </c:pt>
                <c:pt idx="2">
                  <c:v>27.5</c:v>
                </c:pt>
                <c:pt idx="3">
                  <c:v>28.4</c:v>
                </c:pt>
                <c:pt idx="4">
                  <c:v>55.5</c:v>
                </c:pt>
                <c:pt idx="5">
                  <c:v>45</c:v>
                </c:pt>
                <c:pt idx="6">
                  <c:v>43</c:v>
                </c:pt>
                <c:pt idx="7">
                  <c:v>42.5</c:v>
                </c:pt>
                <c:pt idx="8">
                  <c:v>41.5</c:v>
                </c:pt>
                <c:pt idx="9">
                  <c:v>40.700000000000003</c:v>
                </c:pt>
                <c:pt idx="10">
                  <c:v>39</c:v>
                </c:pt>
                <c:pt idx="11">
                  <c:v>38</c:v>
                </c:pt>
                <c:pt idx="12">
                  <c:v>41.5</c:v>
                </c:pt>
                <c:pt idx="13">
                  <c:v>41</c:v>
                </c:pt>
                <c:pt idx="14">
                  <c:v>40.5</c:v>
                </c:pt>
                <c:pt idx="15">
                  <c:v>40.5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A454-4B92-8C1D-9CEB9625D109}"/>
            </c:ext>
          </c:extLst>
        </c:ser>
        <c:ser>
          <c:idx val="10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CatConv!$G$53:$G$54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CatConv!$H$53:$H$54</c:f>
              <c:numCache>
                <c:formatCode>General</c:formatCode>
                <c:ptCount val="2"/>
                <c:pt idx="0">
                  <c:v>-2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454-4B92-8C1D-9CEB9625D109}"/>
            </c:ext>
          </c:extLst>
        </c:ser>
        <c:ser>
          <c:idx val="2"/>
          <c:order val="10"/>
          <c:tx>
            <c:v>N conversion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4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2.5276524013344456E-2"/>
                  <c:y val="4.64064748401646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454-4B92-8C1D-9CEB9625D109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454-4B92-8C1D-9CEB9625D1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  <c:extLst xmlns:c15="http://schemas.microsoft.com/office/drawing/2012/chart"/>
            </c:numRef>
          </c:xVal>
          <c:yVal>
            <c:numRef>
              <c:f>'Master Template'!$F$189:$U$189</c:f>
              <c:numCache>
                <c:formatCode>0.00</c:formatCode>
                <c:ptCount val="16"/>
                <c:pt idx="0">
                  <c:v>38.689882177323334</c:v>
                </c:pt>
                <c:pt idx="1">
                  <c:v>39.321934701991587</c:v>
                </c:pt>
                <c:pt idx="2">
                  <c:v>43.4371551972229</c:v>
                </c:pt>
                <c:pt idx="3">
                  <c:v>39.672386452424909</c:v>
                </c:pt>
                <c:pt idx="4">
                  <c:v>63.187613904350457</c:v>
                </c:pt>
                <c:pt idx="5">
                  <c:v>41.204457959699141</c:v>
                </c:pt>
                <c:pt idx="6">
                  <c:v>36.193380883636706</c:v>
                </c:pt>
                <c:pt idx="7">
                  <c:v>37.596947448157117</c:v>
                </c:pt>
                <c:pt idx="8">
                  <c:v>32.016728421017319</c:v>
                </c:pt>
                <c:pt idx="9">
                  <c:v>35.294825697057583</c:v>
                </c:pt>
                <c:pt idx="10">
                  <c:v>39.416038812699064</c:v>
                </c:pt>
                <c:pt idx="11">
                  <c:v>34.961016617338515</c:v>
                </c:pt>
                <c:pt idx="12">
                  <c:v>28.597698662762067</c:v>
                </c:pt>
                <c:pt idx="13">
                  <c:v>31.424754290060097</c:v>
                </c:pt>
                <c:pt idx="14">
                  <c:v>29.141392273555301</c:v>
                </c:pt>
                <c:pt idx="15">
                  <c:v>40.305184807574364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A454-4B92-8C1D-9CEB9625D109}"/>
            </c:ext>
          </c:extLst>
        </c:ser>
        <c:ser>
          <c:idx val="11"/>
          <c:order val="11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CatConv!$G$56:$G$57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CatConv!$H$56:$H$57</c:f>
              <c:numCache>
                <c:formatCode>General</c:formatCode>
                <c:ptCount val="2"/>
                <c:pt idx="0">
                  <c:v>-2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454-4B92-8C1D-9CEB9625D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4"/>
                <c:tx>
                  <c:v>Asphaltene_ART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2"/>
                    </a:solidFill>
                    <a:ln w="25400">
                      <a:solidFill>
                        <a:schemeClr val="tx1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4"/>
                    <c:pt idx="0">
                      <c:v>6</c:v>
                    </c:pt>
                    <c:pt idx="1">
                      <c:v>8</c:v>
                    </c:pt>
                    <c:pt idx="2">
                      <c:v>12</c:v>
                    </c:pt>
                    <c:pt idx="3">
                      <c:v>14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('Master Template'!$K$206,'Master Template'!$M$206)</c15:sqref>
                        </c15:formulaRef>
                      </c:ext>
                    </c:extLst>
                    <c:numCache>
                      <c:formatCode>0.00</c:formatCode>
                      <c:ptCount val="2"/>
                      <c:pt idx="0">
                        <c:v>86.5</c:v>
                      </c:pt>
                      <c:pt idx="1">
                        <c:v>81.5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C-A454-4B92-8C1D-9CEB9625D109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Asphaltene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2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1.6079133209921312E-2"/>
                        <c:y val="1.812457462550989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A-A454-4B92-8C1D-9CEB9625D109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A454-4B92-8C1D-9CEB9625D1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Template'!$F$205:$U$205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65.846695297983118</c:v>
                      </c:pt>
                      <c:pt idx="1">
                        <c:v>68.717064372849862</c:v>
                      </c:pt>
                      <c:pt idx="2">
                        <c:v>67.954365207166219</c:v>
                      </c:pt>
                      <c:pt idx="3">
                        <c:v>67.635476576008017</c:v>
                      </c:pt>
                      <c:pt idx="4">
                        <c:v>87.65580822508376</c:v>
                      </c:pt>
                      <c:pt idx="5">
                        <c:v>76.97582451062533</c:v>
                      </c:pt>
                      <c:pt idx="6">
                        <c:v>74.956075029685849</c:v>
                      </c:pt>
                      <c:pt idx="7">
                        <c:v>74.627145805179154</c:v>
                      </c:pt>
                      <c:pt idx="8">
                        <c:v>74.75669596005558</c:v>
                      </c:pt>
                      <c:pt idx="9">
                        <c:v>73.930525635501937</c:v>
                      </c:pt>
                      <c:pt idx="10">
                        <c:v>74.799549549549539</c:v>
                      </c:pt>
                      <c:pt idx="11">
                        <c:v>77.262740950194171</c:v>
                      </c:pt>
                      <c:pt idx="12">
                        <c:v>74.390259734232501</c:v>
                      </c:pt>
                      <c:pt idx="13">
                        <c:v>77.732857950130679</c:v>
                      </c:pt>
                      <c:pt idx="14">
                        <c:v>74.613897830288735</c:v>
                      </c:pt>
                      <c:pt idx="15">
                        <c:v>77.617921212842106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454-4B92-8C1D-9CEB9625D109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Asphaltene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Template'!$F$206:$U$206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  <c:pt idx="10">
                        <c:v>78</c:v>
                      </c:pt>
                      <c:pt idx="12">
                        <c:v>72.5</c:v>
                      </c:pt>
                      <c:pt idx="14">
                        <c:v>71.2</c:v>
                      </c:pt>
                      <c:pt idx="15">
                        <c:v>71.900000000000006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A454-4B92-8C1D-9CEB9625D109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HDM(Ni+V)_ART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7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0"/>
                        <c:y val="1.142223459381139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8269-47BC-8F44-058D79EE2E6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Template'!$K$200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A454-4B92-8C1D-9CEB9625D109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1562560656094"/>
              <c:y val="0.93093812237819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wt Conversion</a:t>
                </a:r>
              </a:p>
            </c:rich>
          </c:tx>
          <c:layout>
            <c:manualLayout>
              <c:xMode val="edge"/>
              <c:yMode val="edge"/>
              <c:x val="2.9021818926305398E-2"/>
              <c:y val="0.437868892004448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85870142116076231"/>
          <c:y val="0.30187480471884975"/>
          <c:w val="0.12019953996802785"/>
          <c:h val="0.34960861328234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8325210952363"/>
          <c:y val="0.25328466513760584"/>
          <c:w val="0.77418349832696154"/>
          <c:h val="0.58405914437029727"/>
        </c:manualLayout>
      </c:layout>
      <c:scatterChart>
        <c:scatterStyle val="lineMarker"/>
        <c:varyColors val="0"/>
        <c:ser>
          <c:idx val="5"/>
          <c:order val="2"/>
          <c:tx>
            <c:v>V_TOP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Template'!$F$152:$U$152</c:f>
              <c:numCache>
                <c:formatCode>0.00</c:formatCode>
                <c:ptCount val="16"/>
                <c:pt idx="0">
                  <c:v>82.393196663352413</c:v>
                </c:pt>
                <c:pt idx="1">
                  <c:v>83.745417317250343</c:v>
                </c:pt>
                <c:pt idx="2">
                  <c:v>83.673356241923699</c:v>
                </c:pt>
                <c:pt idx="3">
                  <c:v>84.120775648935904</c:v>
                </c:pt>
                <c:pt idx="4">
                  <c:v>96.437785995494835</c:v>
                </c:pt>
                <c:pt idx="5">
                  <c:v>95.098931432876725</c:v>
                </c:pt>
                <c:pt idx="6">
                  <c:v>93.544451041530891</c:v>
                </c:pt>
                <c:pt idx="7">
                  <c:v>94.195798984056921</c:v>
                </c:pt>
                <c:pt idx="8">
                  <c:v>92.583861588607917</c:v>
                </c:pt>
                <c:pt idx="9">
                  <c:v>92.564441410955297</c:v>
                </c:pt>
                <c:pt idx="10">
                  <c:v>96.170295347279151</c:v>
                </c:pt>
                <c:pt idx="11">
                  <c:v>94.569944887125672</c:v>
                </c:pt>
                <c:pt idx="12">
                  <c:v>91.338075818996401</c:v>
                </c:pt>
                <c:pt idx="13">
                  <c:v>93.785761888483108</c:v>
                </c:pt>
                <c:pt idx="14">
                  <c:v>88.734090659631264</c:v>
                </c:pt>
                <c:pt idx="15">
                  <c:v>91.726677632133274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0A-4EE7-9EDE-0DD5C7F7BBAC}"/>
            </c:ext>
          </c:extLst>
        </c:ser>
        <c:ser>
          <c:idx val="6"/>
          <c:order val="3"/>
          <c:tx>
            <c:v>V_ART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14</c:v>
              </c:pt>
            </c:numLit>
          </c:xVal>
          <c:yVal>
            <c:numRef>
              <c:f>('Master Template'!$K$153,'Master Template'!$M$153,'Master Template'!$Q$153,'Master Template'!$S$153)</c:f>
              <c:numCache>
                <c:formatCode>0.00</c:formatCode>
                <c:ptCount val="4"/>
                <c:pt idx="0">
                  <c:v>98.2</c:v>
                </c:pt>
                <c:pt idx="1">
                  <c:v>97.8</c:v>
                </c:pt>
                <c:pt idx="2">
                  <c:v>94.4</c:v>
                </c:pt>
                <c:pt idx="3">
                  <c:v>95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9B0A-4EE7-9EDE-0DD5C7F7BBAC}"/>
            </c:ext>
          </c:extLst>
        </c:ser>
        <c:ser>
          <c:idx val="3"/>
          <c:order val="4"/>
          <c:tx>
            <c:v>Ni_TOP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Template'!$F$148:$U$148</c:f>
              <c:numCache>
                <c:formatCode>0.00</c:formatCode>
                <c:ptCount val="16"/>
                <c:pt idx="0">
                  <c:v>63.483696206104412</c:v>
                </c:pt>
                <c:pt idx="1">
                  <c:v>66.921826335884944</c:v>
                </c:pt>
                <c:pt idx="2">
                  <c:v>68.105223112220841</c:v>
                </c:pt>
                <c:pt idx="3">
                  <c:v>68.779565541382766</c:v>
                </c:pt>
                <c:pt idx="4">
                  <c:v>88.242298247189183</c:v>
                </c:pt>
                <c:pt idx="5">
                  <c:v>85.395424396041761</c:v>
                </c:pt>
                <c:pt idx="6">
                  <c:v>82.969707944065775</c:v>
                </c:pt>
                <c:pt idx="7">
                  <c:v>83.743211773475849</c:v>
                </c:pt>
                <c:pt idx="8">
                  <c:v>80.826769181676411</c:v>
                </c:pt>
                <c:pt idx="9">
                  <c:v>81.67472007562202</c:v>
                </c:pt>
                <c:pt idx="10">
                  <c:v>88.155430386603769</c:v>
                </c:pt>
                <c:pt idx="11">
                  <c:v>85.25636919457601</c:v>
                </c:pt>
                <c:pt idx="12">
                  <c:v>79.947621851013636</c:v>
                </c:pt>
                <c:pt idx="13">
                  <c:v>83.308083302829374</c:v>
                </c:pt>
                <c:pt idx="14">
                  <c:v>76.034078623455301</c:v>
                </c:pt>
                <c:pt idx="15">
                  <c:v>82.094639950265218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0A-4EE7-9EDE-0DD5C7F7BBAC}"/>
            </c:ext>
          </c:extLst>
        </c:ser>
        <c:ser>
          <c:idx val="4"/>
          <c:order val="5"/>
          <c:tx>
            <c:v>Ni_ART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14</c:v>
              </c:pt>
            </c:numLit>
          </c:xVal>
          <c:yVal>
            <c:numRef>
              <c:f>('Master Template'!$K$149,'Master Template'!$M$149,'Master Template'!$Q$149,'Master Template'!$S$149)</c:f>
              <c:numCache>
                <c:formatCode>0.00</c:formatCode>
                <c:ptCount val="4"/>
                <c:pt idx="0">
                  <c:v>90.5</c:v>
                </c:pt>
                <c:pt idx="1">
                  <c:v>89</c:v>
                </c:pt>
                <c:pt idx="2">
                  <c:v>83.2</c:v>
                </c:pt>
                <c:pt idx="3">
                  <c:v>84.1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B0A-4EE7-9EDE-0DD5C7F7BBAC}"/>
            </c:ext>
          </c:extLst>
        </c:ser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MetConv_Ni_V!$G$47:$G$48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MetConv_Ni_V!$H$47:$H$48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BD-4E28-904C-72A52655BB3B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MetConv_Ni_V!$G$50:$G$51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MetConv_Ni_V!$H$50:$H$51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BD-4E28-904C-72A52655B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Template'!$F$163:$L$163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78.072269550409914</c:v>
                      </c:pt>
                      <c:pt idx="1">
                        <c:v>79.901132240931815</c:v>
                      </c:pt>
                      <c:pt idx="2">
                        <c:v>80.115950339524659</c:v>
                      </c:pt>
                      <c:pt idx="3">
                        <c:v>80.61522293225029</c:v>
                      </c:pt>
                      <c:pt idx="4">
                        <c:v>94.111229621789718</c:v>
                      </c:pt>
                      <c:pt idx="5">
                        <c:v>92.344274622059316</c:v>
                      </c:pt>
                      <c:pt idx="6">
                        <c:v>90.542465472241489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B0A-4EE7-9EDE-0DD5C7F7BBA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Template'!$F$179:$L$179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B0A-4EE7-9EDE-0DD5C7F7BBAC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7F2-450E-B1E4-6277627EF755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7F2-450E-B1E4-6277627EF755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3761128968496077"/>
              <c:y val="0.907502455267853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%wt Conversion</a:t>
                </a:r>
              </a:p>
            </c:rich>
          </c:tx>
          <c:layout>
            <c:manualLayout>
              <c:xMode val="edge"/>
              <c:yMode val="edge"/>
              <c:x val="5.0795376707640533E-2"/>
              <c:y val="0.39377485898808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90639329434467164"/>
          <c:y val="0.28662853049994375"/>
          <c:w val="8.3228971904184226E-2"/>
          <c:h val="0.14258925278539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8325210952363"/>
          <c:y val="0.25328466513760584"/>
          <c:w val="0.79598068672667277"/>
          <c:h val="0.62404708638353756"/>
        </c:manualLayout>
      </c:layout>
      <c:scatterChart>
        <c:scatterStyle val="lineMarker"/>
        <c:varyColors val="0"/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MetConv_Ni_V!$AA$47:$AA$48</c:f>
              <c:numCache>
                <c:formatCode>General</c:formatCode>
                <c:ptCount val="2"/>
                <c:pt idx="0">
                  <c:v>8.5</c:v>
                </c:pt>
                <c:pt idx="1">
                  <c:v>8.5</c:v>
                </c:pt>
              </c:numCache>
            </c:numRef>
          </c:xVal>
          <c:yVal>
            <c:numRef>
              <c:f>MetConv_Ni_V!$AB$47:$AB$48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6D-46E5-BCE6-72B1E6433D51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MetConv_Ni_V!$AA$50:$AA$51</c:f>
              <c:numCache>
                <c:formatCode>General</c:formatCode>
                <c:ptCount val="2"/>
                <c:pt idx="0">
                  <c:v>21</c:v>
                </c:pt>
                <c:pt idx="1">
                  <c:v>21</c:v>
                </c:pt>
              </c:numCache>
            </c:numRef>
          </c:xVal>
          <c:yVal>
            <c:numRef>
              <c:f>MetConv_Ni_V!$AB$50:$AB$51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6D-46E5-BCE6-72B1E6433D51}"/>
            </c:ext>
          </c:extLst>
        </c:ser>
        <c:ser>
          <c:idx val="13"/>
          <c:order val="10"/>
          <c:tx>
            <c:v>MoC and Metal(Ni+V) Conversion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Template'!$F$167:$U$167</c:f>
              <c:numCache>
                <c:formatCode>0.00</c:formatCode>
                <c:ptCount val="16"/>
                <c:pt idx="0">
                  <c:v>1.9631331071366735</c:v>
                </c:pt>
                <c:pt idx="1">
                  <c:v>3.9067301121866929</c:v>
                </c:pt>
                <c:pt idx="2">
                  <c:v>5.8223926970821314</c:v>
                </c:pt>
                <c:pt idx="3">
                  <c:v>7.7513623917964143</c:v>
                </c:pt>
                <c:pt idx="4">
                  <c:v>9.5300846750521782</c:v>
                </c:pt>
                <c:pt idx="5">
                  <c:v>11.484772640364838</c:v>
                </c:pt>
                <c:pt idx="6">
                  <c:v>13.572821101275562</c:v>
                </c:pt>
                <c:pt idx="7">
                  <c:v>15.525316117765145</c:v>
                </c:pt>
                <c:pt idx="8">
                  <c:v>17.42262812778306</c:v>
                </c:pt>
                <c:pt idx="9">
                  <c:v>19.350343039072719</c:v>
                </c:pt>
                <c:pt idx="10">
                  <c:v>22.690498554791116</c:v>
                </c:pt>
                <c:pt idx="11">
                  <c:v>25.977870192608897</c:v>
                </c:pt>
                <c:pt idx="12">
                  <c:v>29.287507031319798</c:v>
                </c:pt>
                <c:pt idx="13">
                  <c:v>32.546630111991512</c:v>
                </c:pt>
                <c:pt idx="14">
                  <c:v>35.511461666014348</c:v>
                </c:pt>
                <c:pt idx="15">
                  <c:v>38.674810235310133</c:v>
                </c:pt>
              </c:numCache>
            </c:numRef>
          </c:xVal>
          <c:yVal>
            <c:numRef>
              <c:f>'Master Template'!$F$163:$U$163</c:f>
              <c:numCache>
                <c:formatCode>0.00</c:formatCode>
                <c:ptCount val="16"/>
                <c:pt idx="0">
                  <c:v>78.072269550409914</c:v>
                </c:pt>
                <c:pt idx="1">
                  <c:v>79.901132240931815</c:v>
                </c:pt>
                <c:pt idx="2">
                  <c:v>80.115950339524659</c:v>
                </c:pt>
                <c:pt idx="3">
                  <c:v>80.61522293225029</c:v>
                </c:pt>
                <c:pt idx="4">
                  <c:v>94.111229621789718</c:v>
                </c:pt>
                <c:pt idx="5">
                  <c:v>92.344274622059316</c:v>
                </c:pt>
                <c:pt idx="6">
                  <c:v>90.542465472241489</c:v>
                </c:pt>
                <c:pt idx="7">
                  <c:v>91.228491345592857</c:v>
                </c:pt>
                <c:pt idx="8">
                  <c:v>89.246227622741543</c:v>
                </c:pt>
                <c:pt idx="9">
                  <c:v>89.473039000423952</c:v>
                </c:pt>
                <c:pt idx="10">
                  <c:v>94.066807730052702</c:v>
                </c:pt>
                <c:pt idx="11">
                  <c:v>92.125612856891621</c:v>
                </c:pt>
                <c:pt idx="12">
                  <c:v>88.348670633282524</c:v>
                </c:pt>
                <c:pt idx="13">
                  <c:v>91.035913042577661</c:v>
                </c:pt>
                <c:pt idx="14">
                  <c:v>85.400994196023262</c:v>
                </c:pt>
                <c:pt idx="15">
                  <c:v>89.198765796827644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96D-46E5-BCE6-72B1E6433D51}"/>
            </c:ext>
          </c:extLst>
        </c:ser>
        <c:ser>
          <c:idx val="10"/>
          <c:order val="11"/>
          <c:tx>
            <c:v>MoC and S Conversion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'Master Template'!$F$167:$U$167</c:f>
              <c:numCache>
                <c:formatCode>0.00</c:formatCode>
                <c:ptCount val="16"/>
                <c:pt idx="0">
                  <c:v>1.9631331071366735</c:v>
                </c:pt>
                <c:pt idx="1">
                  <c:v>3.9067301121866929</c:v>
                </c:pt>
                <c:pt idx="2">
                  <c:v>5.8223926970821314</c:v>
                </c:pt>
                <c:pt idx="3">
                  <c:v>7.7513623917964143</c:v>
                </c:pt>
                <c:pt idx="4">
                  <c:v>9.5300846750521782</c:v>
                </c:pt>
                <c:pt idx="5">
                  <c:v>11.484772640364838</c:v>
                </c:pt>
                <c:pt idx="6">
                  <c:v>13.572821101275562</c:v>
                </c:pt>
                <c:pt idx="7">
                  <c:v>15.525316117765145</c:v>
                </c:pt>
                <c:pt idx="8">
                  <c:v>17.42262812778306</c:v>
                </c:pt>
                <c:pt idx="9">
                  <c:v>19.350343039072719</c:v>
                </c:pt>
                <c:pt idx="10">
                  <c:v>22.690498554791116</c:v>
                </c:pt>
                <c:pt idx="11">
                  <c:v>25.977870192608897</c:v>
                </c:pt>
                <c:pt idx="12">
                  <c:v>29.287507031319798</c:v>
                </c:pt>
                <c:pt idx="13">
                  <c:v>32.546630111991512</c:v>
                </c:pt>
                <c:pt idx="14">
                  <c:v>35.511461666014348</c:v>
                </c:pt>
                <c:pt idx="15">
                  <c:v>38.674810235310133</c:v>
                </c:pt>
              </c:numCache>
            </c:numRef>
          </c:xVal>
          <c:yVal>
            <c:numRef>
              <c:f>'Master Template'!$F$186:$U$186</c:f>
              <c:numCache>
                <c:formatCode>0.00</c:formatCode>
                <c:ptCount val="16"/>
                <c:pt idx="0">
                  <c:v>64.498987612700304</c:v>
                </c:pt>
                <c:pt idx="1">
                  <c:v>66.260538076075704</c:v>
                </c:pt>
                <c:pt idx="2">
                  <c:v>65.200068088983215</c:v>
                </c:pt>
                <c:pt idx="3">
                  <c:v>65.178077797459792</c:v>
                </c:pt>
                <c:pt idx="4">
                  <c:v>84.167966673459233</c:v>
                </c:pt>
                <c:pt idx="5">
                  <c:v>82.092170846131438</c:v>
                </c:pt>
                <c:pt idx="6">
                  <c:v>78.012112349376224</c:v>
                </c:pt>
                <c:pt idx="7">
                  <c:v>78.680928642779847</c:v>
                </c:pt>
                <c:pt idx="8">
                  <c:v>77.873998304433286</c:v>
                </c:pt>
                <c:pt idx="9">
                  <c:v>77.130923025345879</c:v>
                </c:pt>
                <c:pt idx="10">
                  <c:v>77.172629470171387</c:v>
                </c:pt>
                <c:pt idx="11">
                  <c:v>80.116179498733715</c:v>
                </c:pt>
                <c:pt idx="12">
                  <c:v>79.164795006328703</c:v>
                </c:pt>
                <c:pt idx="13">
                  <c:v>79.882526565786861</c:v>
                </c:pt>
                <c:pt idx="14">
                  <c:v>78.602035800582811</c:v>
                </c:pt>
                <c:pt idx="15">
                  <c:v>81.366708634844798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96D-46E5-BCE6-72B1E6433D51}"/>
            </c:ext>
          </c:extLst>
        </c:ser>
        <c:ser>
          <c:idx val="11"/>
          <c:order val="12"/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'Master Template'!$F$167:$U$167</c:f>
              <c:numCache>
                <c:formatCode>0.00</c:formatCode>
                <c:ptCount val="16"/>
                <c:pt idx="0">
                  <c:v>1.9631331071366735</c:v>
                </c:pt>
                <c:pt idx="1">
                  <c:v>3.9067301121866929</c:v>
                </c:pt>
                <c:pt idx="2">
                  <c:v>5.8223926970821314</c:v>
                </c:pt>
                <c:pt idx="3">
                  <c:v>7.7513623917964143</c:v>
                </c:pt>
                <c:pt idx="4">
                  <c:v>9.5300846750521782</c:v>
                </c:pt>
                <c:pt idx="5">
                  <c:v>11.484772640364838</c:v>
                </c:pt>
                <c:pt idx="6">
                  <c:v>13.572821101275562</c:v>
                </c:pt>
                <c:pt idx="7">
                  <c:v>15.525316117765145</c:v>
                </c:pt>
                <c:pt idx="8">
                  <c:v>17.42262812778306</c:v>
                </c:pt>
                <c:pt idx="9">
                  <c:v>19.350343039072719</c:v>
                </c:pt>
                <c:pt idx="10">
                  <c:v>22.690498554791116</c:v>
                </c:pt>
                <c:pt idx="11">
                  <c:v>25.977870192608897</c:v>
                </c:pt>
                <c:pt idx="12">
                  <c:v>29.287507031319798</c:v>
                </c:pt>
                <c:pt idx="13">
                  <c:v>32.546630111991512</c:v>
                </c:pt>
                <c:pt idx="14">
                  <c:v>35.511461666014348</c:v>
                </c:pt>
                <c:pt idx="15">
                  <c:v>38.674810235310133</c:v>
                </c:pt>
              </c:numCache>
            </c:numRef>
          </c:xVal>
          <c:yVal>
            <c:numRef>
              <c:f>'Master Template'!$F$186:$U$186</c:f>
              <c:numCache>
                <c:formatCode>0.00</c:formatCode>
                <c:ptCount val="16"/>
                <c:pt idx="0">
                  <c:v>64.498987612700304</c:v>
                </c:pt>
                <c:pt idx="1">
                  <c:v>66.260538076075704</c:v>
                </c:pt>
                <c:pt idx="2">
                  <c:v>65.200068088983215</c:v>
                </c:pt>
                <c:pt idx="3">
                  <c:v>65.178077797459792</c:v>
                </c:pt>
                <c:pt idx="4">
                  <c:v>84.167966673459233</c:v>
                </c:pt>
                <c:pt idx="5">
                  <c:v>82.092170846131438</c:v>
                </c:pt>
                <c:pt idx="6">
                  <c:v>78.012112349376224</c:v>
                </c:pt>
                <c:pt idx="7">
                  <c:v>78.680928642779847</c:v>
                </c:pt>
                <c:pt idx="8">
                  <c:v>77.873998304433286</c:v>
                </c:pt>
                <c:pt idx="9">
                  <c:v>77.130923025345879</c:v>
                </c:pt>
                <c:pt idx="10">
                  <c:v>77.172629470171387</c:v>
                </c:pt>
                <c:pt idx="11">
                  <c:v>80.116179498733715</c:v>
                </c:pt>
                <c:pt idx="12">
                  <c:v>79.164795006328703</c:v>
                </c:pt>
                <c:pt idx="13">
                  <c:v>79.882526565786861</c:v>
                </c:pt>
                <c:pt idx="14">
                  <c:v>78.602035800582811</c:v>
                </c:pt>
                <c:pt idx="15">
                  <c:v>81.366708634844798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96D-46E5-BCE6-72B1E6433D51}"/>
            </c:ext>
          </c:extLst>
        </c:ser>
        <c:ser>
          <c:idx val="14"/>
          <c:order val="13"/>
          <c:tx>
            <c:v>MoC on MCR Conversion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Template'!$F$167:$U$167</c:f>
              <c:numCache>
                <c:formatCode>0.00</c:formatCode>
                <c:ptCount val="16"/>
                <c:pt idx="0">
                  <c:v>1.9631331071366735</c:v>
                </c:pt>
                <c:pt idx="1">
                  <c:v>3.9067301121866929</c:v>
                </c:pt>
                <c:pt idx="2">
                  <c:v>5.8223926970821314</c:v>
                </c:pt>
                <c:pt idx="3">
                  <c:v>7.7513623917964143</c:v>
                </c:pt>
                <c:pt idx="4">
                  <c:v>9.5300846750521782</c:v>
                </c:pt>
                <c:pt idx="5">
                  <c:v>11.484772640364838</c:v>
                </c:pt>
                <c:pt idx="6">
                  <c:v>13.572821101275562</c:v>
                </c:pt>
                <c:pt idx="7">
                  <c:v>15.525316117765145</c:v>
                </c:pt>
                <c:pt idx="8">
                  <c:v>17.42262812778306</c:v>
                </c:pt>
                <c:pt idx="9">
                  <c:v>19.350343039072719</c:v>
                </c:pt>
                <c:pt idx="10">
                  <c:v>22.690498554791116</c:v>
                </c:pt>
                <c:pt idx="11">
                  <c:v>25.977870192608897</c:v>
                </c:pt>
                <c:pt idx="12">
                  <c:v>29.287507031319798</c:v>
                </c:pt>
                <c:pt idx="13">
                  <c:v>32.546630111991512</c:v>
                </c:pt>
                <c:pt idx="14">
                  <c:v>35.511461666014348</c:v>
                </c:pt>
                <c:pt idx="15">
                  <c:v>38.674810235310133</c:v>
                </c:pt>
              </c:numCache>
            </c:numRef>
          </c:xVal>
          <c:yVal>
            <c:numRef>
              <c:f>'Master Template'!$F$199:$U$199</c:f>
              <c:numCache>
                <c:formatCode>0.0</c:formatCode>
                <c:ptCount val="16"/>
                <c:pt idx="0">
                  <c:v>47.705682757165718</c:v>
                </c:pt>
                <c:pt idx="1">
                  <c:v>49.620880932128486</c:v>
                </c:pt>
                <c:pt idx="2">
                  <c:v>49.683197888870907</c:v>
                </c:pt>
                <c:pt idx="3">
                  <c:v>49.651261793146482</c:v>
                </c:pt>
                <c:pt idx="4">
                  <c:v>74.060109817661484</c:v>
                </c:pt>
                <c:pt idx="5">
                  <c:v>63.489252396222099</c:v>
                </c:pt>
                <c:pt idx="6">
                  <c:v>61.570482773284532</c:v>
                </c:pt>
                <c:pt idx="7">
                  <c:v>62.174573502884058</c:v>
                </c:pt>
                <c:pt idx="8">
                  <c:v>61.779317173880806</c:v>
                </c:pt>
                <c:pt idx="9">
                  <c:v>60.485350664392257</c:v>
                </c:pt>
                <c:pt idx="10">
                  <c:v>63.954286372434169</c:v>
                </c:pt>
                <c:pt idx="11">
                  <c:v>65.187542592992855</c:v>
                </c:pt>
                <c:pt idx="12">
                  <c:v>62.807563599609892</c:v>
                </c:pt>
                <c:pt idx="13">
                  <c:v>65.432369314502154</c:v>
                </c:pt>
                <c:pt idx="14">
                  <c:v>62.303547213487683</c:v>
                </c:pt>
                <c:pt idx="15">
                  <c:v>67.734154304201553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96D-46E5-BCE6-72B1E6433D51}"/>
            </c:ext>
          </c:extLst>
        </c:ser>
        <c:ser>
          <c:idx val="12"/>
          <c:order val="14"/>
          <c:tx>
            <c:v>MoC and N Conversion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Template'!$F$167:$U$167</c:f>
              <c:numCache>
                <c:formatCode>0.00</c:formatCode>
                <c:ptCount val="16"/>
                <c:pt idx="0">
                  <c:v>1.9631331071366735</c:v>
                </c:pt>
                <c:pt idx="1">
                  <c:v>3.9067301121866929</c:v>
                </c:pt>
                <c:pt idx="2">
                  <c:v>5.8223926970821314</c:v>
                </c:pt>
                <c:pt idx="3">
                  <c:v>7.7513623917964143</c:v>
                </c:pt>
                <c:pt idx="4">
                  <c:v>9.5300846750521782</c:v>
                </c:pt>
                <c:pt idx="5">
                  <c:v>11.484772640364838</c:v>
                </c:pt>
                <c:pt idx="6">
                  <c:v>13.572821101275562</c:v>
                </c:pt>
                <c:pt idx="7">
                  <c:v>15.525316117765145</c:v>
                </c:pt>
                <c:pt idx="8">
                  <c:v>17.42262812778306</c:v>
                </c:pt>
                <c:pt idx="9">
                  <c:v>19.350343039072719</c:v>
                </c:pt>
                <c:pt idx="10">
                  <c:v>22.690498554791116</c:v>
                </c:pt>
                <c:pt idx="11">
                  <c:v>25.977870192608897</c:v>
                </c:pt>
                <c:pt idx="12">
                  <c:v>29.287507031319798</c:v>
                </c:pt>
                <c:pt idx="13">
                  <c:v>32.546630111991512</c:v>
                </c:pt>
                <c:pt idx="14">
                  <c:v>35.511461666014348</c:v>
                </c:pt>
                <c:pt idx="15">
                  <c:v>38.674810235310133</c:v>
                </c:pt>
              </c:numCache>
            </c:numRef>
          </c:xVal>
          <c:yVal>
            <c:numRef>
              <c:f>'Master Template'!$F$189:$U$189</c:f>
              <c:numCache>
                <c:formatCode>0.00</c:formatCode>
                <c:ptCount val="16"/>
                <c:pt idx="0">
                  <c:v>38.689882177323334</c:v>
                </c:pt>
                <c:pt idx="1">
                  <c:v>39.321934701991587</c:v>
                </c:pt>
                <c:pt idx="2">
                  <c:v>43.4371551972229</c:v>
                </c:pt>
                <c:pt idx="3">
                  <c:v>39.672386452424909</c:v>
                </c:pt>
                <c:pt idx="4">
                  <c:v>63.187613904350457</c:v>
                </c:pt>
                <c:pt idx="5">
                  <c:v>41.204457959699141</c:v>
                </c:pt>
                <c:pt idx="6">
                  <c:v>36.193380883636706</c:v>
                </c:pt>
                <c:pt idx="7">
                  <c:v>37.596947448157117</c:v>
                </c:pt>
                <c:pt idx="8">
                  <c:v>32.016728421017319</c:v>
                </c:pt>
                <c:pt idx="9">
                  <c:v>35.294825697057583</c:v>
                </c:pt>
                <c:pt idx="10">
                  <c:v>39.416038812699064</c:v>
                </c:pt>
                <c:pt idx="11">
                  <c:v>34.961016617338515</c:v>
                </c:pt>
                <c:pt idx="12">
                  <c:v>28.597698662762067</c:v>
                </c:pt>
                <c:pt idx="13">
                  <c:v>31.424754290060097</c:v>
                </c:pt>
                <c:pt idx="14">
                  <c:v>29.141392273555301</c:v>
                </c:pt>
                <c:pt idx="15">
                  <c:v>40.305184807574364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96D-46E5-BCE6-72B1E6433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Template'!$F$163:$L$163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78.072269550409914</c:v>
                      </c:pt>
                      <c:pt idx="1">
                        <c:v>79.901132240931815</c:v>
                      </c:pt>
                      <c:pt idx="2">
                        <c:v>80.115950339524659</c:v>
                      </c:pt>
                      <c:pt idx="3">
                        <c:v>80.61522293225029</c:v>
                      </c:pt>
                      <c:pt idx="4">
                        <c:v>94.111229621789718</c:v>
                      </c:pt>
                      <c:pt idx="5">
                        <c:v>92.344274622059316</c:v>
                      </c:pt>
                      <c:pt idx="6">
                        <c:v>90.542465472241489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D96D-46E5-BCE6-72B1E6433D5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Template'!$F$179:$L$179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96D-46E5-BCE6-72B1E6433D51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V_TOP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Template'!$F$152:$U$152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82.393196663352413</c:v>
                      </c:pt>
                      <c:pt idx="1">
                        <c:v>83.745417317250343</c:v>
                      </c:pt>
                      <c:pt idx="2">
                        <c:v>83.673356241923699</c:v>
                      </c:pt>
                      <c:pt idx="3">
                        <c:v>84.120775648935904</c:v>
                      </c:pt>
                      <c:pt idx="4">
                        <c:v>96.437785995494835</c:v>
                      </c:pt>
                      <c:pt idx="5">
                        <c:v>95.098931432876725</c:v>
                      </c:pt>
                      <c:pt idx="6">
                        <c:v>93.544451041530891</c:v>
                      </c:pt>
                      <c:pt idx="7">
                        <c:v>94.195798984056921</c:v>
                      </c:pt>
                      <c:pt idx="8">
                        <c:v>92.583861588607917</c:v>
                      </c:pt>
                      <c:pt idx="9">
                        <c:v>92.564441410955297</c:v>
                      </c:pt>
                      <c:pt idx="10">
                        <c:v>96.170295347279151</c:v>
                      </c:pt>
                      <c:pt idx="11">
                        <c:v>94.569944887125672</c:v>
                      </c:pt>
                      <c:pt idx="12">
                        <c:v>91.338075818996401</c:v>
                      </c:pt>
                      <c:pt idx="13">
                        <c:v>93.785761888483108</c:v>
                      </c:pt>
                      <c:pt idx="14">
                        <c:v>88.734090659631264</c:v>
                      </c:pt>
                      <c:pt idx="15">
                        <c:v>91.726677632133274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96D-46E5-BCE6-72B1E6433D51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V_ART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Template'!$F$153:$U$153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96D-46E5-BCE6-72B1E6433D51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Ni_TOP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1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Template'!$F$148:$U$148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63.483696206104412</c:v>
                      </c:pt>
                      <c:pt idx="1">
                        <c:v>66.921826335884944</c:v>
                      </c:pt>
                      <c:pt idx="2">
                        <c:v>68.105223112220841</c:v>
                      </c:pt>
                      <c:pt idx="3">
                        <c:v>68.779565541382766</c:v>
                      </c:pt>
                      <c:pt idx="4">
                        <c:v>88.242298247189183</c:v>
                      </c:pt>
                      <c:pt idx="5">
                        <c:v>85.395424396041761</c:v>
                      </c:pt>
                      <c:pt idx="6">
                        <c:v>82.969707944065775</c:v>
                      </c:pt>
                      <c:pt idx="7">
                        <c:v>83.743211773475849</c:v>
                      </c:pt>
                      <c:pt idx="8">
                        <c:v>80.826769181676411</c:v>
                      </c:pt>
                      <c:pt idx="9">
                        <c:v>81.67472007562202</c:v>
                      </c:pt>
                      <c:pt idx="10">
                        <c:v>88.155430386603769</c:v>
                      </c:pt>
                      <c:pt idx="11">
                        <c:v>85.25636919457601</c:v>
                      </c:pt>
                      <c:pt idx="12">
                        <c:v>79.947621851013636</c:v>
                      </c:pt>
                      <c:pt idx="13">
                        <c:v>83.308083302829374</c:v>
                      </c:pt>
                      <c:pt idx="14">
                        <c:v>76.034078623455301</c:v>
                      </c:pt>
                      <c:pt idx="15">
                        <c:v>82.094639950265218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96D-46E5-BCE6-72B1E6433D51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Ni_ART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Template'!$F$149:$U$149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96D-46E5-BCE6-72B1E6433D51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96D-46E5-BCE6-72B1E6433D51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96D-46E5-BCE6-72B1E6433D51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37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MoC on Rx1 </a:t>
                </a:r>
              </a:p>
            </c:rich>
          </c:tx>
          <c:layout>
            <c:manualLayout>
              <c:xMode val="edge"/>
              <c:yMode val="edge"/>
              <c:x val="0.44695294517585171"/>
              <c:y val="0.93692967173124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5"/>
      </c:valAx>
      <c:valAx>
        <c:axId val="17842765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S, N, and Metal Conversion</a:t>
                </a:r>
              </a:p>
            </c:rich>
          </c:tx>
          <c:layout>
            <c:manualLayout>
              <c:xMode val="edge"/>
              <c:yMode val="edge"/>
              <c:x val="5.0795376707640533E-2"/>
              <c:y val="0.39377485898808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81764996977025628"/>
          <c:y val="0.52209924129755914"/>
          <c:w val="0.13781192179762999"/>
          <c:h val="0.11899069942722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8325210952363"/>
          <c:y val="0.25328466513760584"/>
          <c:w val="0.79598068672667277"/>
          <c:h val="0.62404708638353756"/>
        </c:manualLayout>
      </c:layout>
      <c:scatterChart>
        <c:scatterStyle val="lineMarker"/>
        <c:varyColors val="0"/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MetConv_Ni_V!$AA$47:$AA$48</c:f>
              <c:numCache>
                <c:formatCode>General</c:formatCode>
                <c:ptCount val="2"/>
                <c:pt idx="0">
                  <c:v>8.5</c:v>
                </c:pt>
                <c:pt idx="1">
                  <c:v>8.5</c:v>
                </c:pt>
              </c:numCache>
            </c:numRef>
          </c:xVal>
          <c:yVal>
            <c:numRef>
              <c:f>MetConv_Ni_V!$AB$47:$AB$48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97-4881-847F-EABFF7212655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MetConv_Ni_V!$AA$50:$AA$51</c:f>
              <c:numCache>
                <c:formatCode>General</c:formatCode>
                <c:ptCount val="2"/>
                <c:pt idx="0">
                  <c:v>21</c:v>
                </c:pt>
                <c:pt idx="1">
                  <c:v>21</c:v>
                </c:pt>
              </c:numCache>
            </c:numRef>
          </c:xVal>
          <c:yVal>
            <c:numRef>
              <c:f>MetConv_Ni_V!$AB$50:$AB$51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97-4881-847F-EABFF7212655}"/>
            </c:ext>
          </c:extLst>
        </c:ser>
        <c:ser>
          <c:idx val="13"/>
          <c:order val="10"/>
          <c:tx>
            <c:v>MoC and Metal(Ni+V) Conversion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Template'!$F$172:$U$172</c:f>
              <c:numCache>
                <c:formatCode>0.00</c:formatCode>
                <c:ptCount val="16"/>
                <c:pt idx="0">
                  <c:v>0.67200745847576493</c:v>
                </c:pt>
                <c:pt idx="1">
                  <c:v>1.3373274405577751</c:v>
                </c:pt>
                <c:pt idx="2">
                  <c:v>1.9930850864824299</c:v>
                </c:pt>
                <c:pt idx="3">
                  <c:v>2.6533979390899689</c:v>
                </c:pt>
                <c:pt idx="4">
                  <c:v>3.2622790366373184</c:v>
                </c:pt>
                <c:pt idx="5">
                  <c:v>3.9313956069338811</c:v>
                </c:pt>
                <c:pt idx="6">
                  <c:v>4.6461633087722243</c:v>
                </c:pt>
                <c:pt idx="7">
                  <c:v>5.3145292025304487</c:v>
                </c:pt>
                <c:pt idx="8">
                  <c:v>5.9640051943277381</c:v>
                </c:pt>
                <c:pt idx="9">
                  <c:v>6.6238885173139499</c:v>
                </c:pt>
                <c:pt idx="10">
                  <c:v>7.7672696822852858</c:v>
                </c:pt>
                <c:pt idx="11">
                  <c:v>8.8925821999970243</c:v>
                </c:pt>
                <c:pt idx="12">
                  <c:v>10.025516402153004</c:v>
                </c:pt>
                <c:pt idx="13">
                  <c:v>11.141159050295371</c:v>
                </c:pt>
                <c:pt idx="14">
                  <c:v>12.15606166193419</c:v>
                </c:pt>
                <c:pt idx="15">
                  <c:v>13.238919377795334</c:v>
                </c:pt>
              </c:numCache>
            </c:numRef>
          </c:xVal>
          <c:yVal>
            <c:numRef>
              <c:f>'Master Template'!$F$163:$U$163</c:f>
              <c:numCache>
                <c:formatCode>0.00</c:formatCode>
                <c:ptCount val="16"/>
                <c:pt idx="0">
                  <c:v>78.072269550409914</c:v>
                </c:pt>
                <c:pt idx="1">
                  <c:v>79.901132240931815</c:v>
                </c:pt>
                <c:pt idx="2">
                  <c:v>80.115950339524659</c:v>
                </c:pt>
                <c:pt idx="3">
                  <c:v>80.61522293225029</c:v>
                </c:pt>
                <c:pt idx="4">
                  <c:v>94.111229621789718</c:v>
                </c:pt>
                <c:pt idx="5">
                  <c:v>92.344274622059316</c:v>
                </c:pt>
                <c:pt idx="6">
                  <c:v>90.542465472241489</c:v>
                </c:pt>
                <c:pt idx="7">
                  <c:v>91.228491345592857</c:v>
                </c:pt>
                <c:pt idx="8">
                  <c:v>89.246227622741543</c:v>
                </c:pt>
                <c:pt idx="9">
                  <c:v>89.473039000423952</c:v>
                </c:pt>
                <c:pt idx="10">
                  <c:v>94.066807730052702</c:v>
                </c:pt>
                <c:pt idx="11">
                  <c:v>92.125612856891621</c:v>
                </c:pt>
                <c:pt idx="12">
                  <c:v>88.348670633282524</c:v>
                </c:pt>
                <c:pt idx="13">
                  <c:v>91.035913042577661</c:v>
                </c:pt>
                <c:pt idx="14">
                  <c:v>85.400994196023262</c:v>
                </c:pt>
                <c:pt idx="15">
                  <c:v>89.198765796827644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97-4881-847F-EABFF7212655}"/>
            </c:ext>
          </c:extLst>
        </c:ser>
        <c:ser>
          <c:idx val="10"/>
          <c:order val="11"/>
          <c:tx>
            <c:v>MoC and S Conversion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'Master Template'!$F$172:$U$172</c:f>
              <c:numCache>
                <c:formatCode>0.00</c:formatCode>
                <c:ptCount val="16"/>
                <c:pt idx="0">
                  <c:v>0.67200745847576493</c:v>
                </c:pt>
                <c:pt idx="1">
                  <c:v>1.3373274405577751</c:v>
                </c:pt>
                <c:pt idx="2">
                  <c:v>1.9930850864824299</c:v>
                </c:pt>
                <c:pt idx="3">
                  <c:v>2.6533979390899689</c:v>
                </c:pt>
                <c:pt idx="4">
                  <c:v>3.2622790366373184</c:v>
                </c:pt>
                <c:pt idx="5">
                  <c:v>3.9313956069338811</c:v>
                </c:pt>
                <c:pt idx="6">
                  <c:v>4.6461633087722243</c:v>
                </c:pt>
                <c:pt idx="7">
                  <c:v>5.3145292025304487</c:v>
                </c:pt>
                <c:pt idx="8">
                  <c:v>5.9640051943277381</c:v>
                </c:pt>
                <c:pt idx="9">
                  <c:v>6.6238885173139499</c:v>
                </c:pt>
                <c:pt idx="10">
                  <c:v>7.7672696822852858</c:v>
                </c:pt>
                <c:pt idx="11">
                  <c:v>8.8925821999970243</c:v>
                </c:pt>
                <c:pt idx="12">
                  <c:v>10.025516402153004</c:v>
                </c:pt>
                <c:pt idx="13">
                  <c:v>11.141159050295371</c:v>
                </c:pt>
                <c:pt idx="14">
                  <c:v>12.15606166193419</c:v>
                </c:pt>
                <c:pt idx="15">
                  <c:v>13.238919377795334</c:v>
                </c:pt>
              </c:numCache>
            </c:numRef>
          </c:xVal>
          <c:yVal>
            <c:numRef>
              <c:f>'Master Template'!$F$186:$U$186</c:f>
              <c:numCache>
                <c:formatCode>0.00</c:formatCode>
                <c:ptCount val="16"/>
                <c:pt idx="0">
                  <c:v>64.498987612700304</c:v>
                </c:pt>
                <c:pt idx="1">
                  <c:v>66.260538076075704</c:v>
                </c:pt>
                <c:pt idx="2">
                  <c:v>65.200068088983215</c:v>
                </c:pt>
                <c:pt idx="3">
                  <c:v>65.178077797459792</c:v>
                </c:pt>
                <c:pt idx="4">
                  <c:v>84.167966673459233</c:v>
                </c:pt>
                <c:pt idx="5">
                  <c:v>82.092170846131438</c:v>
                </c:pt>
                <c:pt idx="6">
                  <c:v>78.012112349376224</c:v>
                </c:pt>
                <c:pt idx="7">
                  <c:v>78.680928642779847</c:v>
                </c:pt>
                <c:pt idx="8">
                  <c:v>77.873998304433286</c:v>
                </c:pt>
                <c:pt idx="9">
                  <c:v>77.130923025345879</c:v>
                </c:pt>
                <c:pt idx="10">
                  <c:v>77.172629470171387</c:v>
                </c:pt>
                <c:pt idx="11">
                  <c:v>80.116179498733715</c:v>
                </c:pt>
                <c:pt idx="12">
                  <c:v>79.164795006328703</c:v>
                </c:pt>
                <c:pt idx="13">
                  <c:v>79.882526565786861</c:v>
                </c:pt>
                <c:pt idx="14">
                  <c:v>78.602035800582811</c:v>
                </c:pt>
                <c:pt idx="15">
                  <c:v>81.366708634844798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97-4881-847F-EABFF7212655}"/>
            </c:ext>
          </c:extLst>
        </c:ser>
        <c:ser>
          <c:idx val="14"/>
          <c:order val="12"/>
          <c:tx>
            <c:v>MoC on MCR Conversion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Template'!$F$172:$U$172</c:f>
              <c:numCache>
                <c:formatCode>0.00</c:formatCode>
                <c:ptCount val="16"/>
                <c:pt idx="0">
                  <c:v>0.67200745847576493</c:v>
                </c:pt>
                <c:pt idx="1">
                  <c:v>1.3373274405577751</c:v>
                </c:pt>
                <c:pt idx="2">
                  <c:v>1.9930850864824299</c:v>
                </c:pt>
                <c:pt idx="3">
                  <c:v>2.6533979390899689</c:v>
                </c:pt>
                <c:pt idx="4">
                  <c:v>3.2622790366373184</c:v>
                </c:pt>
                <c:pt idx="5">
                  <c:v>3.9313956069338811</c:v>
                </c:pt>
                <c:pt idx="6">
                  <c:v>4.6461633087722243</c:v>
                </c:pt>
                <c:pt idx="7">
                  <c:v>5.3145292025304487</c:v>
                </c:pt>
                <c:pt idx="8">
                  <c:v>5.9640051943277381</c:v>
                </c:pt>
                <c:pt idx="9">
                  <c:v>6.6238885173139499</c:v>
                </c:pt>
                <c:pt idx="10">
                  <c:v>7.7672696822852858</c:v>
                </c:pt>
                <c:pt idx="11">
                  <c:v>8.8925821999970243</c:v>
                </c:pt>
                <c:pt idx="12">
                  <c:v>10.025516402153004</c:v>
                </c:pt>
                <c:pt idx="13">
                  <c:v>11.141159050295371</c:v>
                </c:pt>
                <c:pt idx="14">
                  <c:v>12.15606166193419</c:v>
                </c:pt>
                <c:pt idx="15">
                  <c:v>13.238919377795334</c:v>
                </c:pt>
              </c:numCache>
            </c:numRef>
          </c:xVal>
          <c:yVal>
            <c:numRef>
              <c:f>'Master Template'!$F$199:$U$199</c:f>
              <c:numCache>
                <c:formatCode>0.0</c:formatCode>
                <c:ptCount val="16"/>
                <c:pt idx="0">
                  <c:v>47.705682757165718</c:v>
                </c:pt>
                <c:pt idx="1">
                  <c:v>49.620880932128486</c:v>
                </c:pt>
                <c:pt idx="2">
                  <c:v>49.683197888870907</c:v>
                </c:pt>
                <c:pt idx="3">
                  <c:v>49.651261793146482</c:v>
                </c:pt>
                <c:pt idx="4">
                  <c:v>74.060109817661484</c:v>
                </c:pt>
                <c:pt idx="5">
                  <c:v>63.489252396222099</c:v>
                </c:pt>
                <c:pt idx="6">
                  <c:v>61.570482773284532</c:v>
                </c:pt>
                <c:pt idx="7">
                  <c:v>62.174573502884058</c:v>
                </c:pt>
                <c:pt idx="8">
                  <c:v>61.779317173880806</c:v>
                </c:pt>
                <c:pt idx="9">
                  <c:v>60.485350664392257</c:v>
                </c:pt>
                <c:pt idx="10">
                  <c:v>63.954286372434169</c:v>
                </c:pt>
                <c:pt idx="11">
                  <c:v>65.187542592992855</c:v>
                </c:pt>
                <c:pt idx="12">
                  <c:v>62.807563599609892</c:v>
                </c:pt>
                <c:pt idx="13">
                  <c:v>65.432369314502154</c:v>
                </c:pt>
                <c:pt idx="14">
                  <c:v>62.303547213487683</c:v>
                </c:pt>
                <c:pt idx="15">
                  <c:v>67.734154304201553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97-4881-847F-EABFF7212655}"/>
            </c:ext>
          </c:extLst>
        </c:ser>
        <c:ser>
          <c:idx val="12"/>
          <c:order val="13"/>
          <c:tx>
            <c:v>MoC and N Conversion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Template'!$F$172:$U$172</c:f>
              <c:numCache>
                <c:formatCode>0.00</c:formatCode>
                <c:ptCount val="16"/>
                <c:pt idx="0">
                  <c:v>0.67200745847576493</c:v>
                </c:pt>
                <c:pt idx="1">
                  <c:v>1.3373274405577751</c:v>
                </c:pt>
                <c:pt idx="2">
                  <c:v>1.9930850864824299</c:v>
                </c:pt>
                <c:pt idx="3">
                  <c:v>2.6533979390899689</c:v>
                </c:pt>
                <c:pt idx="4">
                  <c:v>3.2622790366373184</c:v>
                </c:pt>
                <c:pt idx="5">
                  <c:v>3.9313956069338811</c:v>
                </c:pt>
                <c:pt idx="6">
                  <c:v>4.6461633087722243</c:v>
                </c:pt>
                <c:pt idx="7">
                  <c:v>5.3145292025304487</c:v>
                </c:pt>
                <c:pt idx="8">
                  <c:v>5.9640051943277381</c:v>
                </c:pt>
                <c:pt idx="9">
                  <c:v>6.6238885173139499</c:v>
                </c:pt>
                <c:pt idx="10">
                  <c:v>7.7672696822852858</c:v>
                </c:pt>
                <c:pt idx="11">
                  <c:v>8.8925821999970243</c:v>
                </c:pt>
                <c:pt idx="12">
                  <c:v>10.025516402153004</c:v>
                </c:pt>
                <c:pt idx="13">
                  <c:v>11.141159050295371</c:v>
                </c:pt>
                <c:pt idx="14">
                  <c:v>12.15606166193419</c:v>
                </c:pt>
                <c:pt idx="15">
                  <c:v>13.238919377795334</c:v>
                </c:pt>
              </c:numCache>
            </c:numRef>
          </c:xVal>
          <c:yVal>
            <c:numRef>
              <c:f>'Master Template'!$F$189:$U$189</c:f>
              <c:numCache>
                <c:formatCode>0.00</c:formatCode>
                <c:ptCount val="16"/>
                <c:pt idx="0">
                  <c:v>38.689882177323334</c:v>
                </c:pt>
                <c:pt idx="1">
                  <c:v>39.321934701991587</c:v>
                </c:pt>
                <c:pt idx="2">
                  <c:v>43.4371551972229</c:v>
                </c:pt>
                <c:pt idx="3">
                  <c:v>39.672386452424909</c:v>
                </c:pt>
                <c:pt idx="4">
                  <c:v>63.187613904350457</c:v>
                </c:pt>
                <c:pt idx="5">
                  <c:v>41.204457959699141</c:v>
                </c:pt>
                <c:pt idx="6">
                  <c:v>36.193380883636706</c:v>
                </c:pt>
                <c:pt idx="7">
                  <c:v>37.596947448157117</c:v>
                </c:pt>
                <c:pt idx="8">
                  <c:v>32.016728421017319</c:v>
                </c:pt>
                <c:pt idx="9">
                  <c:v>35.294825697057583</c:v>
                </c:pt>
                <c:pt idx="10">
                  <c:v>39.416038812699064</c:v>
                </c:pt>
                <c:pt idx="11">
                  <c:v>34.961016617338515</c:v>
                </c:pt>
                <c:pt idx="12">
                  <c:v>28.597698662762067</c:v>
                </c:pt>
                <c:pt idx="13">
                  <c:v>31.424754290060097</c:v>
                </c:pt>
                <c:pt idx="14">
                  <c:v>29.141392273555301</c:v>
                </c:pt>
                <c:pt idx="15">
                  <c:v>40.305184807574364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297-4881-847F-EABFF7212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Template'!$F$163:$L$163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78.072269550409914</c:v>
                      </c:pt>
                      <c:pt idx="1">
                        <c:v>79.901132240931815</c:v>
                      </c:pt>
                      <c:pt idx="2">
                        <c:v>80.115950339524659</c:v>
                      </c:pt>
                      <c:pt idx="3">
                        <c:v>80.61522293225029</c:v>
                      </c:pt>
                      <c:pt idx="4">
                        <c:v>94.111229621789718</c:v>
                      </c:pt>
                      <c:pt idx="5">
                        <c:v>92.344274622059316</c:v>
                      </c:pt>
                      <c:pt idx="6">
                        <c:v>90.542465472241489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F297-4881-847F-EABFF721265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Template'!$F$179:$L$179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297-4881-847F-EABFF7212655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V_TOP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Template'!$F$152:$U$152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82.393196663352413</c:v>
                      </c:pt>
                      <c:pt idx="1">
                        <c:v>83.745417317250343</c:v>
                      </c:pt>
                      <c:pt idx="2">
                        <c:v>83.673356241923699</c:v>
                      </c:pt>
                      <c:pt idx="3">
                        <c:v>84.120775648935904</c:v>
                      </c:pt>
                      <c:pt idx="4">
                        <c:v>96.437785995494835</c:v>
                      </c:pt>
                      <c:pt idx="5">
                        <c:v>95.098931432876725</c:v>
                      </c:pt>
                      <c:pt idx="6">
                        <c:v>93.544451041530891</c:v>
                      </c:pt>
                      <c:pt idx="7">
                        <c:v>94.195798984056921</c:v>
                      </c:pt>
                      <c:pt idx="8">
                        <c:v>92.583861588607917</c:v>
                      </c:pt>
                      <c:pt idx="9">
                        <c:v>92.564441410955297</c:v>
                      </c:pt>
                      <c:pt idx="10">
                        <c:v>96.170295347279151</c:v>
                      </c:pt>
                      <c:pt idx="11">
                        <c:v>94.569944887125672</c:v>
                      </c:pt>
                      <c:pt idx="12">
                        <c:v>91.338075818996401</c:v>
                      </c:pt>
                      <c:pt idx="13">
                        <c:v>93.785761888483108</c:v>
                      </c:pt>
                      <c:pt idx="14">
                        <c:v>88.734090659631264</c:v>
                      </c:pt>
                      <c:pt idx="15">
                        <c:v>91.726677632133274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297-4881-847F-EABFF7212655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V_ART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Template'!$F$153:$U$153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297-4881-847F-EABFF7212655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Ni_TOP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1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Template'!$F$148:$U$148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63.483696206104412</c:v>
                      </c:pt>
                      <c:pt idx="1">
                        <c:v>66.921826335884944</c:v>
                      </c:pt>
                      <c:pt idx="2">
                        <c:v>68.105223112220841</c:v>
                      </c:pt>
                      <c:pt idx="3">
                        <c:v>68.779565541382766</c:v>
                      </c:pt>
                      <c:pt idx="4">
                        <c:v>88.242298247189183</c:v>
                      </c:pt>
                      <c:pt idx="5">
                        <c:v>85.395424396041761</c:v>
                      </c:pt>
                      <c:pt idx="6">
                        <c:v>82.969707944065775</c:v>
                      </c:pt>
                      <c:pt idx="7">
                        <c:v>83.743211773475849</c:v>
                      </c:pt>
                      <c:pt idx="8">
                        <c:v>80.826769181676411</c:v>
                      </c:pt>
                      <c:pt idx="9">
                        <c:v>81.67472007562202</c:v>
                      </c:pt>
                      <c:pt idx="10">
                        <c:v>88.155430386603769</c:v>
                      </c:pt>
                      <c:pt idx="11">
                        <c:v>85.25636919457601</c:v>
                      </c:pt>
                      <c:pt idx="12">
                        <c:v>79.947621851013636</c:v>
                      </c:pt>
                      <c:pt idx="13">
                        <c:v>83.308083302829374</c:v>
                      </c:pt>
                      <c:pt idx="14">
                        <c:v>76.034078623455301</c:v>
                      </c:pt>
                      <c:pt idx="15">
                        <c:v>82.094639950265218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297-4881-847F-EABFF7212655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Ni_ART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Template'!$F$149:$U$149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297-4881-847F-EABFF7212655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297-4881-847F-EABFF7212655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297-4881-847F-EABFF7212655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MoC on Rx2 </a:t>
                </a:r>
              </a:p>
            </c:rich>
          </c:tx>
          <c:layout>
            <c:manualLayout>
              <c:xMode val="edge"/>
              <c:yMode val="edge"/>
              <c:x val="0.44695294185626555"/>
              <c:y val="0.923149910838251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2"/>
      </c:valAx>
      <c:valAx>
        <c:axId val="17842765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S, N, and Metal Conversion</a:t>
                </a:r>
              </a:p>
            </c:rich>
          </c:tx>
          <c:layout>
            <c:manualLayout>
              <c:xMode val="edge"/>
              <c:yMode val="edge"/>
              <c:x val="5.0795376707640533E-2"/>
              <c:y val="0.39377485898808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81764996977025628"/>
          <c:y val="0.52209924129755914"/>
          <c:w val="0.13781192179762999"/>
          <c:h val="0.11899069942722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8325210952363"/>
          <c:y val="0.25328466513760584"/>
          <c:w val="0.79598068672667277"/>
          <c:h val="0.62404708638353756"/>
        </c:manualLayout>
      </c:layout>
      <c:scatterChart>
        <c:scatterStyle val="lineMarker"/>
        <c:varyColors val="0"/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MetConv_Ni_V!$AA$47:$AA$48</c:f>
              <c:numCache>
                <c:formatCode>General</c:formatCode>
                <c:ptCount val="2"/>
                <c:pt idx="0">
                  <c:v>8.5</c:v>
                </c:pt>
                <c:pt idx="1">
                  <c:v>8.5</c:v>
                </c:pt>
              </c:numCache>
            </c:numRef>
          </c:xVal>
          <c:yVal>
            <c:numRef>
              <c:f>MetConv_Ni_V!$AB$47:$AB$48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4-4826-8A62-CBA35E652D3A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MetConv_Ni_V!$AA$50:$AA$51</c:f>
              <c:numCache>
                <c:formatCode>General</c:formatCode>
                <c:ptCount val="2"/>
                <c:pt idx="0">
                  <c:v>21</c:v>
                </c:pt>
                <c:pt idx="1">
                  <c:v>21</c:v>
                </c:pt>
              </c:numCache>
            </c:numRef>
          </c:xVal>
          <c:yVal>
            <c:numRef>
              <c:f>MetConv_Ni_V!$AB$50:$AB$51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4-4826-8A62-CBA35E652D3A}"/>
            </c:ext>
          </c:extLst>
        </c:ser>
        <c:ser>
          <c:idx val="13"/>
          <c:order val="10"/>
          <c:tx>
            <c:v>MoC and Metal(Ni+V) Conversion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Template'!$F$177:$U$177</c:f>
              <c:numCache>
                <c:formatCode>0.00</c:formatCode>
                <c:ptCount val="16"/>
                <c:pt idx="0">
                  <c:v>0.26880298339030606</c:v>
                </c:pt>
                <c:pt idx="1">
                  <c:v>0.53493097622311014</c:v>
                </c:pt>
                <c:pt idx="2">
                  <c:v>0.79723403459297215</c:v>
                </c:pt>
                <c:pt idx="3">
                  <c:v>1.0613591756359877</c:v>
                </c:pt>
                <c:pt idx="4">
                  <c:v>1.3049116146549276</c:v>
                </c:pt>
                <c:pt idx="5">
                  <c:v>1.5725582427735525</c:v>
                </c:pt>
                <c:pt idx="6">
                  <c:v>1.8584653235088904</c:v>
                </c:pt>
                <c:pt idx="7">
                  <c:v>2.1258116810121797</c:v>
                </c:pt>
                <c:pt idx="8">
                  <c:v>2.3856020777310958</c:v>
                </c:pt>
                <c:pt idx="9">
                  <c:v>2.6495554069255807</c:v>
                </c:pt>
                <c:pt idx="10">
                  <c:v>3.1069078729141153</c:v>
                </c:pt>
                <c:pt idx="11">
                  <c:v>3.5570328799988116</c:v>
                </c:pt>
                <c:pt idx="12">
                  <c:v>4.0102065608612039</c:v>
                </c:pt>
                <c:pt idx="13">
                  <c:v>4.45646362011815</c:v>
                </c:pt>
                <c:pt idx="14">
                  <c:v>4.8624246647736769</c:v>
                </c:pt>
                <c:pt idx="15">
                  <c:v>5.2955677511181349</c:v>
                </c:pt>
              </c:numCache>
            </c:numRef>
          </c:xVal>
          <c:yVal>
            <c:numRef>
              <c:f>'Master Template'!$F$163:$U$163</c:f>
              <c:numCache>
                <c:formatCode>0.00</c:formatCode>
                <c:ptCount val="16"/>
                <c:pt idx="0">
                  <c:v>78.072269550409914</c:v>
                </c:pt>
                <c:pt idx="1">
                  <c:v>79.901132240931815</c:v>
                </c:pt>
                <c:pt idx="2">
                  <c:v>80.115950339524659</c:v>
                </c:pt>
                <c:pt idx="3">
                  <c:v>80.61522293225029</c:v>
                </c:pt>
                <c:pt idx="4">
                  <c:v>94.111229621789718</c:v>
                </c:pt>
                <c:pt idx="5">
                  <c:v>92.344274622059316</c:v>
                </c:pt>
                <c:pt idx="6">
                  <c:v>90.542465472241489</c:v>
                </c:pt>
                <c:pt idx="7">
                  <c:v>91.228491345592857</c:v>
                </c:pt>
                <c:pt idx="8">
                  <c:v>89.246227622741543</c:v>
                </c:pt>
                <c:pt idx="9">
                  <c:v>89.473039000423952</c:v>
                </c:pt>
                <c:pt idx="10">
                  <c:v>94.066807730052702</c:v>
                </c:pt>
                <c:pt idx="11">
                  <c:v>92.125612856891621</c:v>
                </c:pt>
                <c:pt idx="12">
                  <c:v>88.348670633282524</c:v>
                </c:pt>
                <c:pt idx="13">
                  <c:v>91.035913042577661</c:v>
                </c:pt>
                <c:pt idx="14">
                  <c:v>85.400994196023262</c:v>
                </c:pt>
                <c:pt idx="15">
                  <c:v>89.198765796827644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94-4826-8A62-CBA35E652D3A}"/>
            </c:ext>
          </c:extLst>
        </c:ser>
        <c:ser>
          <c:idx val="10"/>
          <c:order val="11"/>
          <c:tx>
            <c:v>MoC and S Conversion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'Master Template'!$F$177:$U$177</c:f>
              <c:numCache>
                <c:formatCode>0.00</c:formatCode>
                <c:ptCount val="16"/>
                <c:pt idx="0">
                  <c:v>0.26880298339030606</c:v>
                </c:pt>
                <c:pt idx="1">
                  <c:v>0.53493097622311014</c:v>
                </c:pt>
                <c:pt idx="2">
                  <c:v>0.79723403459297215</c:v>
                </c:pt>
                <c:pt idx="3">
                  <c:v>1.0613591756359877</c:v>
                </c:pt>
                <c:pt idx="4">
                  <c:v>1.3049116146549276</c:v>
                </c:pt>
                <c:pt idx="5">
                  <c:v>1.5725582427735525</c:v>
                </c:pt>
                <c:pt idx="6">
                  <c:v>1.8584653235088904</c:v>
                </c:pt>
                <c:pt idx="7">
                  <c:v>2.1258116810121797</c:v>
                </c:pt>
                <c:pt idx="8">
                  <c:v>2.3856020777310958</c:v>
                </c:pt>
                <c:pt idx="9">
                  <c:v>2.6495554069255807</c:v>
                </c:pt>
                <c:pt idx="10">
                  <c:v>3.1069078729141153</c:v>
                </c:pt>
                <c:pt idx="11">
                  <c:v>3.5570328799988116</c:v>
                </c:pt>
                <c:pt idx="12">
                  <c:v>4.0102065608612039</c:v>
                </c:pt>
                <c:pt idx="13">
                  <c:v>4.45646362011815</c:v>
                </c:pt>
                <c:pt idx="14">
                  <c:v>4.8624246647736769</c:v>
                </c:pt>
                <c:pt idx="15">
                  <c:v>5.2955677511181349</c:v>
                </c:pt>
              </c:numCache>
            </c:numRef>
          </c:xVal>
          <c:yVal>
            <c:numRef>
              <c:f>'Master Template'!$F$186:$U$186</c:f>
              <c:numCache>
                <c:formatCode>0.00</c:formatCode>
                <c:ptCount val="16"/>
                <c:pt idx="0">
                  <c:v>64.498987612700304</c:v>
                </c:pt>
                <c:pt idx="1">
                  <c:v>66.260538076075704</c:v>
                </c:pt>
                <c:pt idx="2">
                  <c:v>65.200068088983215</c:v>
                </c:pt>
                <c:pt idx="3">
                  <c:v>65.178077797459792</c:v>
                </c:pt>
                <c:pt idx="4">
                  <c:v>84.167966673459233</c:v>
                </c:pt>
                <c:pt idx="5">
                  <c:v>82.092170846131438</c:v>
                </c:pt>
                <c:pt idx="6">
                  <c:v>78.012112349376224</c:v>
                </c:pt>
                <c:pt idx="7">
                  <c:v>78.680928642779847</c:v>
                </c:pt>
                <c:pt idx="8">
                  <c:v>77.873998304433286</c:v>
                </c:pt>
                <c:pt idx="9">
                  <c:v>77.130923025345879</c:v>
                </c:pt>
                <c:pt idx="10">
                  <c:v>77.172629470171387</c:v>
                </c:pt>
                <c:pt idx="11">
                  <c:v>80.116179498733715</c:v>
                </c:pt>
                <c:pt idx="12">
                  <c:v>79.164795006328703</c:v>
                </c:pt>
                <c:pt idx="13">
                  <c:v>79.882526565786861</c:v>
                </c:pt>
                <c:pt idx="14">
                  <c:v>78.602035800582811</c:v>
                </c:pt>
                <c:pt idx="15">
                  <c:v>81.366708634844798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94-4826-8A62-CBA35E652D3A}"/>
            </c:ext>
          </c:extLst>
        </c:ser>
        <c:ser>
          <c:idx val="14"/>
          <c:order val="12"/>
          <c:tx>
            <c:v>MoC on MCR Conversion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Template'!$F$177:$U$177</c:f>
              <c:numCache>
                <c:formatCode>0.00</c:formatCode>
                <c:ptCount val="16"/>
                <c:pt idx="0">
                  <c:v>0.26880298339030606</c:v>
                </c:pt>
                <c:pt idx="1">
                  <c:v>0.53493097622311014</c:v>
                </c:pt>
                <c:pt idx="2">
                  <c:v>0.79723403459297215</c:v>
                </c:pt>
                <c:pt idx="3">
                  <c:v>1.0613591756359877</c:v>
                </c:pt>
                <c:pt idx="4">
                  <c:v>1.3049116146549276</c:v>
                </c:pt>
                <c:pt idx="5">
                  <c:v>1.5725582427735525</c:v>
                </c:pt>
                <c:pt idx="6">
                  <c:v>1.8584653235088904</c:v>
                </c:pt>
                <c:pt idx="7">
                  <c:v>2.1258116810121797</c:v>
                </c:pt>
                <c:pt idx="8">
                  <c:v>2.3856020777310958</c:v>
                </c:pt>
                <c:pt idx="9">
                  <c:v>2.6495554069255807</c:v>
                </c:pt>
                <c:pt idx="10">
                  <c:v>3.1069078729141153</c:v>
                </c:pt>
                <c:pt idx="11">
                  <c:v>3.5570328799988116</c:v>
                </c:pt>
                <c:pt idx="12">
                  <c:v>4.0102065608612039</c:v>
                </c:pt>
                <c:pt idx="13">
                  <c:v>4.45646362011815</c:v>
                </c:pt>
                <c:pt idx="14">
                  <c:v>4.8624246647736769</c:v>
                </c:pt>
                <c:pt idx="15">
                  <c:v>5.2955677511181349</c:v>
                </c:pt>
              </c:numCache>
            </c:numRef>
          </c:xVal>
          <c:yVal>
            <c:numRef>
              <c:f>'Master Template'!$F$199:$U$199</c:f>
              <c:numCache>
                <c:formatCode>0.0</c:formatCode>
                <c:ptCount val="16"/>
                <c:pt idx="0">
                  <c:v>47.705682757165718</c:v>
                </c:pt>
                <c:pt idx="1">
                  <c:v>49.620880932128486</c:v>
                </c:pt>
                <c:pt idx="2">
                  <c:v>49.683197888870907</c:v>
                </c:pt>
                <c:pt idx="3">
                  <c:v>49.651261793146482</c:v>
                </c:pt>
                <c:pt idx="4">
                  <c:v>74.060109817661484</c:v>
                </c:pt>
                <c:pt idx="5">
                  <c:v>63.489252396222099</c:v>
                </c:pt>
                <c:pt idx="6">
                  <c:v>61.570482773284532</c:v>
                </c:pt>
                <c:pt idx="7">
                  <c:v>62.174573502884058</c:v>
                </c:pt>
                <c:pt idx="8">
                  <c:v>61.779317173880806</c:v>
                </c:pt>
                <c:pt idx="9">
                  <c:v>60.485350664392257</c:v>
                </c:pt>
                <c:pt idx="10">
                  <c:v>63.954286372434169</c:v>
                </c:pt>
                <c:pt idx="11">
                  <c:v>65.187542592992855</c:v>
                </c:pt>
                <c:pt idx="12">
                  <c:v>62.807563599609892</c:v>
                </c:pt>
                <c:pt idx="13">
                  <c:v>65.432369314502154</c:v>
                </c:pt>
                <c:pt idx="14">
                  <c:v>62.303547213487683</c:v>
                </c:pt>
                <c:pt idx="15">
                  <c:v>67.734154304201553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94-4826-8A62-CBA35E652D3A}"/>
            </c:ext>
          </c:extLst>
        </c:ser>
        <c:ser>
          <c:idx val="12"/>
          <c:order val="13"/>
          <c:tx>
            <c:v>MoC and N Conversion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Template'!$F$177:$U$177</c:f>
              <c:numCache>
                <c:formatCode>0.00</c:formatCode>
                <c:ptCount val="16"/>
                <c:pt idx="0">
                  <c:v>0.26880298339030606</c:v>
                </c:pt>
                <c:pt idx="1">
                  <c:v>0.53493097622311014</c:v>
                </c:pt>
                <c:pt idx="2">
                  <c:v>0.79723403459297215</c:v>
                </c:pt>
                <c:pt idx="3">
                  <c:v>1.0613591756359877</c:v>
                </c:pt>
                <c:pt idx="4">
                  <c:v>1.3049116146549276</c:v>
                </c:pt>
                <c:pt idx="5">
                  <c:v>1.5725582427735525</c:v>
                </c:pt>
                <c:pt idx="6">
                  <c:v>1.8584653235088904</c:v>
                </c:pt>
                <c:pt idx="7">
                  <c:v>2.1258116810121797</c:v>
                </c:pt>
                <c:pt idx="8">
                  <c:v>2.3856020777310958</c:v>
                </c:pt>
                <c:pt idx="9">
                  <c:v>2.6495554069255807</c:v>
                </c:pt>
                <c:pt idx="10">
                  <c:v>3.1069078729141153</c:v>
                </c:pt>
                <c:pt idx="11">
                  <c:v>3.5570328799988116</c:v>
                </c:pt>
                <c:pt idx="12">
                  <c:v>4.0102065608612039</c:v>
                </c:pt>
                <c:pt idx="13">
                  <c:v>4.45646362011815</c:v>
                </c:pt>
                <c:pt idx="14">
                  <c:v>4.8624246647736769</c:v>
                </c:pt>
                <c:pt idx="15">
                  <c:v>5.2955677511181349</c:v>
                </c:pt>
              </c:numCache>
            </c:numRef>
          </c:xVal>
          <c:yVal>
            <c:numRef>
              <c:f>'Master Template'!$F$189:$U$189</c:f>
              <c:numCache>
                <c:formatCode>0.00</c:formatCode>
                <c:ptCount val="16"/>
                <c:pt idx="0">
                  <c:v>38.689882177323334</c:v>
                </c:pt>
                <c:pt idx="1">
                  <c:v>39.321934701991587</c:v>
                </c:pt>
                <c:pt idx="2">
                  <c:v>43.4371551972229</c:v>
                </c:pt>
                <c:pt idx="3">
                  <c:v>39.672386452424909</c:v>
                </c:pt>
                <c:pt idx="4">
                  <c:v>63.187613904350457</c:v>
                </c:pt>
                <c:pt idx="5">
                  <c:v>41.204457959699141</c:v>
                </c:pt>
                <c:pt idx="6">
                  <c:v>36.193380883636706</c:v>
                </c:pt>
                <c:pt idx="7">
                  <c:v>37.596947448157117</c:v>
                </c:pt>
                <c:pt idx="8">
                  <c:v>32.016728421017319</c:v>
                </c:pt>
                <c:pt idx="9">
                  <c:v>35.294825697057583</c:v>
                </c:pt>
                <c:pt idx="10">
                  <c:v>39.416038812699064</c:v>
                </c:pt>
                <c:pt idx="11">
                  <c:v>34.961016617338515</c:v>
                </c:pt>
                <c:pt idx="12">
                  <c:v>28.597698662762067</c:v>
                </c:pt>
                <c:pt idx="13">
                  <c:v>31.424754290060097</c:v>
                </c:pt>
                <c:pt idx="14">
                  <c:v>29.141392273555301</c:v>
                </c:pt>
                <c:pt idx="15">
                  <c:v>40.305184807574364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E94-4826-8A62-CBA35E652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Template'!$F$163:$L$163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78.072269550409914</c:v>
                      </c:pt>
                      <c:pt idx="1">
                        <c:v>79.901132240931815</c:v>
                      </c:pt>
                      <c:pt idx="2">
                        <c:v>80.115950339524659</c:v>
                      </c:pt>
                      <c:pt idx="3">
                        <c:v>80.61522293225029</c:v>
                      </c:pt>
                      <c:pt idx="4">
                        <c:v>94.111229621789718</c:v>
                      </c:pt>
                      <c:pt idx="5">
                        <c:v>92.344274622059316</c:v>
                      </c:pt>
                      <c:pt idx="6">
                        <c:v>90.542465472241489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7E94-4826-8A62-CBA35E652D3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Template'!$F$179:$L$179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E94-4826-8A62-CBA35E652D3A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V_TOP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Template'!$F$152:$U$152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82.393196663352413</c:v>
                      </c:pt>
                      <c:pt idx="1">
                        <c:v>83.745417317250343</c:v>
                      </c:pt>
                      <c:pt idx="2">
                        <c:v>83.673356241923699</c:v>
                      </c:pt>
                      <c:pt idx="3">
                        <c:v>84.120775648935904</c:v>
                      </c:pt>
                      <c:pt idx="4">
                        <c:v>96.437785995494835</c:v>
                      </c:pt>
                      <c:pt idx="5">
                        <c:v>95.098931432876725</c:v>
                      </c:pt>
                      <c:pt idx="6">
                        <c:v>93.544451041530891</c:v>
                      </c:pt>
                      <c:pt idx="7">
                        <c:v>94.195798984056921</c:v>
                      </c:pt>
                      <c:pt idx="8">
                        <c:v>92.583861588607917</c:v>
                      </c:pt>
                      <c:pt idx="9">
                        <c:v>92.564441410955297</c:v>
                      </c:pt>
                      <c:pt idx="10">
                        <c:v>96.170295347279151</c:v>
                      </c:pt>
                      <c:pt idx="11">
                        <c:v>94.569944887125672</c:v>
                      </c:pt>
                      <c:pt idx="12">
                        <c:v>91.338075818996401</c:v>
                      </c:pt>
                      <c:pt idx="13">
                        <c:v>93.785761888483108</c:v>
                      </c:pt>
                      <c:pt idx="14">
                        <c:v>88.734090659631264</c:v>
                      </c:pt>
                      <c:pt idx="15">
                        <c:v>91.726677632133274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E94-4826-8A62-CBA35E652D3A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V_ART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Template'!$F$153:$U$153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E94-4826-8A62-CBA35E652D3A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Ni_TOP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1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Template'!$F$148:$U$148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63.483696206104412</c:v>
                      </c:pt>
                      <c:pt idx="1">
                        <c:v>66.921826335884944</c:v>
                      </c:pt>
                      <c:pt idx="2">
                        <c:v>68.105223112220841</c:v>
                      </c:pt>
                      <c:pt idx="3">
                        <c:v>68.779565541382766</c:v>
                      </c:pt>
                      <c:pt idx="4">
                        <c:v>88.242298247189183</c:v>
                      </c:pt>
                      <c:pt idx="5">
                        <c:v>85.395424396041761</c:v>
                      </c:pt>
                      <c:pt idx="6">
                        <c:v>82.969707944065775</c:v>
                      </c:pt>
                      <c:pt idx="7">
                        <c:v>83.743211773475849</c:v>
                      </c:pt>
                      <c:pt idx="8">
                        <c:v>80.826769181676411</c:v>
                      </c:pt>
                      <c:pt idx="9">
                        <c:v>81.67472007562202</c:v>
                      </c:pt>
                      <c:pt idx="10">
                        <c:v>88.155430386603769</c:v>
                      </c:pt>
                      <c:pt idx="11">
                        <c:v>85.25636919457601</c:v>
                      </c:pt>
                      <c:pt idx="12">
                        <c:v>79.947621851013636</c:v>
                      </c:pt>
                      <c:pt idx="13">
                        <c:v>83.308083302829374</c:v>
                      </c:pt>
                      <c:pt idx="14">
                        <c:v>76.034078623455301</c:v>
                      </c:pt>
                      <c:pt idx="15">
                        <c:v>82.094639950265218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E94-4826-8A62-CBA35E652D3A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Ni_ART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Template'!$F$149:$U$149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E94-4826-8A62-CBA35E652D3A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E94-4826-8A62-CBA35E652D3A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E94-4826-8A62-CBA35E652D3A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4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MoC on Rx3 </a:t>
                </a:r>
              </a:p>
            </c:rich>
          </c:tx>
          <c:layout>
            <c:manualLayout>
              <c:xMode val="edge"/>
              <c:yMode val="edge"/>
              <c:x val="0.50552833484632453"/>
              <c:y val="0.926462662036905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S, N, and Metal Conversion</a:t>
                </a:r>
              </a:p>
            </c:rich>
          </c:tx>
          <c:layout>
            <c:manualLayout>
              <c:xMode val="edge"/>
              <c:yMode val="edge"/>
              <c:x val="5.0795376707640533E-2"/>
              <c:y val="0.39377485898808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81764996977025628"/>
          <c:y val="0.52209924129755914"/>
          <c:w val="0.13781192179762999"/>
          <c:h val="0.11899069942722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3174251751323"/>
          <c:y val="0.26199709258851284"/>
          <c:w val="0.77481328995425625"/>
          <c:h val="0.62560537570949903"/>
        </c:manualLayout>
      </c:layout>
      <c:scatterChart>
        <c:scatterStyle val="lineMarker"/>
        <c:varyColors val="0"/>
        <c:ser>
          <c:idx val="2"/>
          <c:order val="2"/>
          <c:tx>
            <c:v>LHSV-TOP MEBU</c:v>
          </c:tx>
          <c:spPr>
            <a:ln w="38100">
              <a:noFill/>
            </a:ln>
          </c:spPr>
          <c:marker>
            <c:spPr>
              <a:solidFill>
                <a:schemeClr val="accent2"/>
              </a:solidFill>
              <a:ln>
                <a:noFill/>
              </a:ln>
            </c:spPr>
          </c:marker>
          <c:dLbls>
            <c:dLbl>
              <c:idx val="12"/>
              <c:layout>
                <c:manualLayout>
                  <c:x val="-2.9325513196482014E-3"/>
                  <c:y val="-2.82828282828282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3B-4887-A5B4-E22C9AC7B13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Template'!$F$64:$U$64</c:f>
              <c:numCache>
                <c:formatCode>0.00</c:formatCode>
                <c:ptCount val="16"/>
                <c:pt idx="0">
                  <c:v>0.580130023277172</c:v>
                </c:pt>
                <c:pt idx="1">
                  <c:v>0.56121036932254986</c:v>
                </c:pt>
                <c:pt idx="2">
                  <c:v>0.55166118438948142</c:v>
                </c:pt>
                <c:pt idx="3">
                  <c:v>0.55205296210802668</c:v>
                </c:pt>
                <c:pt idx="4">
                  <c:v>0.27084254631733057</c:v>
                </c:pt>
                <c:pt idx="5">
                  <c:v>0.30333159938280146</c:v>
                </c:pt>
                <c:pt idx="6">
                  <c:v>0.33047487564209216</c:v>
                </c:pt>
                <c:pt idx="7">
                  <c:v>0.30669707298907473</c:v>
                </c:pt>
                <c:pt idx="8">
                  <c:v>0.30464852383743007</c:v>
                </c:pt>
                <c:pt idx="9">
                  <c:v>0.30874562214071921</c:v>
                </c:pt>
                <c:pt idx="10">
                  <c:v>0.31247994216587455</c:v>
                </c:pt>
                <c:pt idx="11">
                  <c:v>0.31402214634577663</c:v>
                </c:pt>
                <c:pt idx="12">
                  <c:v>0.32966450302764055</c:v>
                </c:pt>
                <c:pt idx="13">
                  <c:v>0.31505028246571132</c:v>
                </c:pt>
                <c:pt idx="14">
                  <c:v>0.30551248399595976</c:v>
                </c:pt>
                <c:pt idx="15">
                  <c:v>0.31209015429622894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FD-452C-99D3-879CECE17881}"/>
            </c:ext>
          </c:extLst>
        </c:ser>
        <c:ser>
          <c:idx val="3"/>
          <c:order val="3"/>
          <c:tx>
            <c:v>LHSV-ART MEBU</c:v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chemeClr val="tx2">
                  <a:lumMod val="50000"/>
                  <a:lumOff val="50000"/>
                </a:schemeClr>
              </a:solidFill>
            </c:spPr>
          </c:marker>
          <c:dLbls>
            <c:dLbl>
              <c:idx val="2"/>
              <c:layout>
                <c:manualLayout>
                  <c:x val="-1.4662756598240522E-2"/>
                  <c:y val="4.64646464646464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27C-4C87-833F-14A3962F1349}"/>
                </c:ext>
              </c:extLst>
            </c:dLbl>
            <c:dLbl>
              <c:idx val="9"/>
              <c:layout>
                <c:manualLayout>
                  <c:x val="-3.0791788856305093E-2"/>
                  <c:y val="-5.2525252525252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7C-4C87-833F-14A3962F134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Template'!$F$67:$U$67</c:f>
              <c:numCache>
                <c:formatCode>0.00</c:formatCode>
                <c:ptCount val="16"/>
                <c:pt idx="0">
                  <c:v>0.57999999999999996</c:v>
                </c:pt>
                <c:pt idx="1">
                  <c:v>0.55000000000000004</c:v>
                </c:pt>
                <c:pt idx="2">
                  <c:v>0.54</c:v>
                </c:pt>
                <c:pt idx="3">
                  <c:v>0.54</c:v>
                </c:pt>
                <c:pt idx="4">
                  <c:v>0.31</c:v>
                </c:pt>
                <c:pt idx="5">
                  <c:v>0.31</c:v>
                </c:pt>
                <c:pt idx="6">
                  <c:v>0.31</c:v>
                </c:pt>
                <c:pt idx="7">
                  <c:v>0.31</c:v>
                </c:pt>
                <c:pt idx="8">
                  <c:v>0.31</c:v>
                </c:pt>
                <c:pt idx="9">
                  <c:v>0.31</c:v>
                </c:pt>
                <c:pt idx="10">
                  <c:v>0.31</c:v>
                </c:pt>
                <c:pt idx="11">
                  <c:v>0.31</c:v>
                </c:pt>
                <c:pt idx="12">
                  <c:v>0.31</c:v>
                </c:pt>
                <c:pt idx="13">
                  <c:v>0.31</c:v>
                </c:pt>
                <c:pt idx="14">
                  <c:v>0.31</c:v>
                </c:pt>
                <c:pt idx="15">
                  <c:v>0.31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FD-452C-99D3-879CECE17881}"/>
            </c:ext>
          </c:extLst>
        </c:ser>
        <c:ser>
          <c:idx val="4"/>
          <c:order val="4"/>
          <c:tx>
            <c:v>LCF LHSV</c:v>
          </c:tx>
          <c:spPr>
            <a:ln w="38100">
              <a:noFill/>
            </a:ln>
          </c:spPr>
          <c:dLbls>
            <c:dLbl>
              <c:idx val="4"/>
              <c:layout>
                <c:manualLayout>
                  <c:x val="-1.906158357771261E-2"/>
                  <c:y val="5.252525252525252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32FD-452C-99D3-879CECE1788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Template'!$F$68:$U$68</c:f>
              <c:numCache>
                <c:formatCode>0.00</c:formatCode>
                <c:ptCount val="16"/>
                <c:pt idx="0">
                  <c:v>0.38</c:v>
                </c:pt>
                <c:pt idx="1">
                  <c:v>0.38</c:v>
                </c:pt>
                <c:pt idx="2">
                  <c:v>0.38</c:v>
                </c:pt>
                <c:pt idx="3">
                  <c:v>0.38</c:v>
                </c:pt>
                <c:pt idx="4" formatCode="General">
                  <c:v>0.21</c:v>
                </c:pt>
                <c:pt idx="5" formatCode="General">
                  <c:v>0.21</c:v>
                </c:pt>
                <c:pt idx="6" formatCode="General">
                  <c:v>0.21</c:v>
                </c:pt>
                <c:pt idx="7" formatCode="General">
                  <c:v>0.21</c:v>
                </c:pt>
                <c:pt idx="8" formatCode="General">
                  <c:v>0.21</c:v>
                </c:pt>
                <c:pt idx="9" formatCode="General">
                  <c:v>0.21</c:v>
                </c:pt>
                <c:pt idx="10" formatCode="General">
                  <c:v>0.21</c:v>
                </c:pt>
                <c:pt idx="11" formatCode="General">
                  <c:v>0.21</c:v>
                </c:pt>
                <c:pt idx="12" formatCode="General">
                  <c:v>0.21</c:v>
                </c:pt>
                <c:pt idx="13" formatCode="General">
                  <c:v>0.21</c:v>
                </c:pt>
                <c:pt idx="14" formatCode="General">
                  <c:v>0.21</c:v>
                </c:pt>
                <c:pt idx="15" formatCode="General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FD-452C-99D3-879CECE17881}"/>
            </c:ext>
          </c:extLst>
        </c:ser>
        <c:ser>
          <c:idx val="5"/>
          <c:order val="5"/>
          <c:tx>
            <c:strRef>
              <c:f>Condition!$H$53</c:f>
              <c:strCache>
                <c:ptCount val="1"/>
                <c:pt idx="0">
                  <c:v>Condition Change</c:v>
                </c:pt>
              </c:strCache>
            </c:strRef>
          </c:tx>
          <c:spPr>
            <a:ln w="38100">
              <a:solidFill>
                <a:schemeClr val="bg1">
                  <a:lumMod val="50000"/>
                </a:schemeClr>
              </a:solidFill>
              <a:prstDash val="sysDot"/>
            </a:ln>
          </c:spPr>
          <c:marker>
            <c:symbol val="none"/>
          </c:marker>
          <c:xVal>
            <c:numRef>
              <c:f>Condition!$I$53:$I$54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Condition!$J$53:$J$54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42-4E0A-B0D1-1E9596F13208}"/>
            </c:ext>
          </c:extLst>
        </c:ser>
        <c:ser>
          <c:idx val="6"/>
          <c:order val="6"/>
          <c:spPr>
            <a:ln w="38100">
              <a:solidFill>
                <a:schemeClr val="bg1">
                  <a:lumMod val="50000"/>
                </a:schemeClr>
              </a:solidFill>
              <a:prstDash val="sysDot"/>
            </a:ln>
          </c:spPr>
          <c:marker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</c:marker>
          <c:xVal>
            <c:numRef>
              <c:f>Condition!$I$56:$I$57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Condition!$J$56:$J$57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87-418E-BFB1-E241E3432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652032"/>
        <c:axId val="60266649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Cond. Change</c:v>
                </c:tx>
                <c:spPr>
                  <a:ln w="25400">
                    <a:noFill/>
                  </a:ln>
                </c:spPr>
                <c:dPt>
                  <c:idx val="21"/>
                  <c:marker>
                    <c:symbol val="picture"/>
                    <c:spPr>
                      <a:ln w="9525">
                        <a:noFill/>
                      </a:ln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0-32FD-452C-99D3-879CECE17881}"/>
                    </c:ext>
                  </c:extLst>
                </c:dPt>
                <c:xVal>
                  <c:numLit>
                    <c:formatCode>General</c:formatCode>
                    <c:ptCount val="10"/>
                    <c:pt idx="2">
                      <c:v>4.5</c:v>
                    </c:pt>
                    <c:pt idx="3">
                      <c:v>4.51</c:v>
                    </c:pt>
                  </c:numLit>
                </c:xVal>
                <c:yVal>
                  <c:numLit>
                    <c:formatCode>General</c:formatCode>
                    <c:ptCount val="10"/>
                    <c:pt idx="2">
                      <c:v>-20</c:v>
                    </c:pt>
                    <c:pt idx="3">
                      <c:v>18000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1-32FD-452C-99D3-879CECE1788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Temperature</c:v>
                </c:tx>
                <c:spPr>
                  <a:ln w="28575">
                    <a:noFill/>
                  </a:ln>
                </c:spPr>
                <c:xVal>
                  <c:numLit>
                    <c:formatCode>General</c:formatCode>
                    <c:ptCount val="7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7"/>
                    <c:pt idx="0">
                      <c:v>421.33333333333331</c:v>
                    </c:pt>
                    <c:pt idx="1">
                      <c:v>423.11111111111109</c:v>
                    </c:pt>
                    <c:pt idx="2">
                      <c:v>423.16666666666669</c:v>
                    </c:pt>
                    <c:pt idx="3">
                      <c:v>423.22222222222223</c:v>
                    </c:pt>
                    <c:pt idx="4">
                      <c:v>423.22222222222223</c:v>
                    </c:pt>
                    <c:pt idx="5">
                      <c:v>423.22222222222223</c:v>
                    </c:pt>
                    <c:pt idx="6">
                      <c:v>423.22222222222223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2FD-452C-99D3-879CECE17881}"/>
                  </c:ext>
                </c:extLst>
              </c15:ser>
            </c15:filteredScatterSeries>
          </c:ext>
        </c:extLst>
      </c:scatterChart>
      <c:valAx>
        <c:axId val="602652032"/>
        <c:scaling>
          <c:orientation val="minMax"/>
          <c:max val="16"/>
          <c:min val="0"/>
        </c:scaling>
        <c:delete val="0"/>
        <c:axPos val="b"/>
        <c:majorGridlines>
          <c:spPr>
            <a:ln>
              <a:noFill/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Time-On-Stream, Day</a:t>
                </a:r>
              </a:p>
            </c:rich>
          </c:tx>
          <c:layout>
            <c:manualLayout>
              <c:xMode val="edge"/>
              <c:yMode val="edge"/>
              <c:x val="0.41031737133394069"/>
              <c:y val="0.9416767676767676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602666496"/>
        <c:crosses val="autoZero"/>
        <c:crossBetween val="midCat"/>
        <c:majorUnit val="1"/>
      </c:valAx>
      <c:valAx>
        <c:axId val="602666496"/>
        <c:scaling>
          <c:orientation val="minMax"/>
          <c:max val="0.60000000000000009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LHSV, hr-1</a:t>
                </a:r>
              </a:p>
            </c:rich>
          </c:tx>
          <c:layout>
            <c:manualLayout>
              <c:xMode val="edge"/>
              <c:yMode val="edge"/>
              <c:x val="3.8179801057351158E-2"/>
              <c:y val="0.4333140631557956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602652032"/>
        <c:crosses val="autoZero"/>
        <c:crossBetween val="midCat"/>
        <c:majorUnit val="0.2"/>
      </c:val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6369851755439144"/>
          <c:y val="0.28026034304668207"/>
          <c:w val="0.16014685847553514"/>
          <c:h val="0.182655690765927"/>
        </c:manualLayout>
      </c:layout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0.75" l="0.7" r="0.7" t="0.75" header="0.3" footer="0.3"/>
    <c:pageSetup/>
  </c:printSettings>
  <c:userShapes r:id="rId1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065644253173317E-2"/>
          <c:y val="0.24145469143264869"/>
          <c:w val="0.81557944686997375"/>
          <c:h val="0.64614783836689871"/>
        </c:manualLayout>
      </c:layout>
      <c:scatterChart>
        <c:scatterStyle val="lineMarker"/>
        <c:varyColors val="0"/>
        <c:ser>
          <c:idx val="0"/>
          <c:order val="0"/>
          <c:tx>
            <c:v>Cond. Change</c:v>
          </c:tx>
          <c:spPr>
            <a:ln w="25400">
              <a:noFill/>
            </a:ln>
          </c:spPr>
          <c:dPt>
            <c:idx val="21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9525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A38-4DFD-A4CA-6DF8E7E29692}"/>
              </c:ext>
            </c:extLst>
          </c:dPt>
          <c:xVal>
            <c:numLit>
              <c:formatCode>General</c:formatCode>
              <c:ptCount val="10"/>
              <c:pt idx="2">
                <c:v>4.5</c:v>
              </c:pt>
              <c:pt idx="3">
                <c:v>4.51</c:v>
              </c:pt>
            </c:numLit>
          </c:xVal>
          <c:yVal>
            <c:numLit>
              <c:formatCode>General</c:formatCode>
              <c:ptCount val="10"/>
              <c:pt idx="2">
                <c:v>-20</c:v>
              </c:pt>
              <c:pt idx="3">
                <c:v>18000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A38-4DFD-A4CA-6DF8E7E29692}"/>
            </c:ext>
          </c:extLst>
        </c:ser>
        <c:ser>
          <c:idx val="1"/>
          <c:order val="1"/>
          <c:tx>
            <c:v>Pressure TOP</c:v>
          </c:tx>
          <c:spPr>
            <a:ln w="38100">
              <a:noFill/>
            </a:ln>
          </c:spP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Template'!$F$69:$U$69</c:f>
              <c:numCache>
                <c:formatCode>0.00</c:formatCode>
                <c:ptCount val="16"/>
                <c:pt idx="0" formatCode="General">
                  <c:v>176.5</c:v>
                </c:pt>
                <c:pt idx="1">
                  <c:v>176.5</c:v>
                </c:pt>
                <c:pt idx="2" formatCode="0.0">
                  <c:v>176.5</c:v>
                </c:pt>
                <c:pt idx="3" formatCode="0.0">
                  <c:v>176.5</c:v>
                </c:pt>
                <c:pt idx="4">
                  <c:v>176.5</c:v>
                </c:pt>
                <c:pt idx="5" formatCode="0.0">
                  <c:v>176.5</c:v>
                </c:pt>
                <c:pt idx="6" formatCode="0.0">
                  <c:v>176.5</c:v>
                </c:pt>
                <c:pt idx="7" formatCode="0.0">
                  <c:v>176.5</c:v>
                </c:pt>
                <c:pt idx="8" formatCode="0.0">
                  <c:v>176.5</c:v>
                </c:pt>
                <c:pt idx="9" formatCode="0.0">
                  <c:v>176.5</c:v>
                </c:pt>
                <c:pt idx="10">
                  <c:v>176.5</c:v>
                </c:pt>
                <c:pt idx="11" formatCode="0.0">
                  <c:v>176.5</c:v>
                </c:pt>
                <c:pt idx="12" formatCode="0.0">
                  <c:v>176.5</c:v>
                </c:pt>
                <c:pt idx="13" formatCode="0.0">
                  <c:v>176.5</c:v>
                </c:pt>
                <c:pt idx="14" formatCode="0.0">
                  <c:v>176.5</c:v>
                </c:pt>
                <c:pt idx="15" formatCode="0.0">
                  <c:v>176.5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A38-4DFD-A4CA-6DF8E7E29692}"/>
            </c:ext>
          </c:extLst>
        </c:ser>
        <c:ser>
          <c:idx val="2"/>
          <c:order val="2"/>
          <c:tx>
            <c:v>Pressure ART</c:v>
          </c:tx>
          <c:spPr>
            <a:ln w="28575">
              <a:noFill/>
            </a:ln>
          </c:spPr>
          <c:dLbls>
            <c:dLbl>
              <c:idx val="2"/>
              <c:layout>
                <c:manualLayout>
                  <c:x val="-1.1730147551204193E-2"/>
                  <c:y val="3.5353535353535352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176.5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9222873900293247E-2"/>
                      <c:h val="4.081826135369442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7A38-4DFD-A4CA-6DF8E7E2969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Template'!$F$70:$U$70</c:f>
              <c:numCache>
                <c:formatCode>0.0</c:formatCode>
                <c:ptCount val="16"/>
                <c:pt idx="0">
                  <c:v>176.5</c:v>
                </c:pt>
                <c:pt idx="1">
                  <c:v>176.5</c:v>
                </c:pt>
                <c:pt idx="2">
                  <c:v>176.5</c:v>
                </c:pt>
                <c:pt idx="3">
                  <c:v>176.5</c:v>
                </c:pt>
                <c:pt idx="4">
                  <c:v>176.5</c:v>
                </c:pt>
                <c:pt idx="5">
                  <c:v>176.5</c:v>
                </c:pt>
                <c:pt idx="6">
                  <c:v>176.5</c:v>
                </c:pt>
                <c:pt idx="7">
                  <c:v>176.5</c:v>
                </c:pt>
                <c:pt idx="8">
                  <c:v>176.5</c:v>
                </c:pt>
                <c:pt idx="9">
                  <c:v>176.5</c:v>
                </c:pt>
                <c:pt idx="10">
                  <c:v>176.5</c:v>
                </c:pt>
                <c:pt idx="11">
                  <c:v>176.5</c:v>
                </c:pt>
                <c:pt idx="12">
                  <c:v>176.5</c:v>
                </c:pt>
                <c:pt idx="13">
                  <c:v>176.5</c:v>
                </c:pt>
                <c:pt idx="14">
                  <c:v>176.5</c:v>
                </c:pt>
                <c:pt idx="15">
                  <c:v>176.5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38-4DFD-A4CA-6DF8E7E29692}"/>
            </c:ext>
          </c:extLst>
        </c:ser>
        <c:ser>
          <c:idx val="3"/>
          <c:order val="3"/>
          <c:spPr>
            <a:ln w="38100">
              <a:solidFill>
                <a:schemeClr val="bg1">
                  <a:lumMod val="50000"/>
                </a:schemeClr>
              </a:solidFill>
              <a:prstDash val="sysDot"/>
            </a:ln>
          </c:spPr>
          <c:marker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</c:marker>
          <c:xVal>
            <c:numRef>
              <c:f>Condition!$AL$51:$AL$52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Condition!$AM$51:$AM$52</c:f>
              <c:numCache>
                <c:formatCode>General</c:formatCode>
                <c:ptCount val="2"/>
                <c:pt idx="0">
                  <c:v>250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DF-4630-A5FF-5C7543099A3B}"/>
            </c:ext>
          </c:extLst>
        </c:ser>
        <c:ser>
          <c:idx val="4"/>
          <c:order val="4"/>
          <c:spPr>
            <a:ln w="38100">
              <a:noFill/>
            </a:ln>
          </c:spPr>
          <c:dPt>
            <c:idx val="1"/>
            <c:marker>
              <c:spPr>
                <a:ln>
                  <a:solidFill>
                    <a:schemeClr val="bg1">
                      <a:lumMod val="50000"/>
                    </a:schemeClr>
                  </a:solidFill>
                  <a:prstDash val="sysDot"/>
                </a:ln>
              </c:spPr>
            </c:marker>
            <c:bubble3D val="0"/>
            <c:spPr>
              <a:ln w="38100">
                <a:solidFill>
                  <a:schemeClr val="bg1">
                    <a:lumMod val="50000"/>
                  </a:schemeClr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4-9ADF-4630-A5FF-5C7543099A3B}"/>
              </c:ext>
            </c:extLst>
          </c:dPt>
          <c:xVal>
            <c:numRef>
              <c:f>Condition!$AL$54:$AL$55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Condition!$AM$54:$AM$55</c:f>
              <c:numCache>
                <c:formatCode>General</c:formatCode>
                <c:ptCount val="2"/>
                <c:pt idx="0">
                  <c:v>250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DF-4630-A5FF-5C7543099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652032"/>
        <c:axId val="602666496"/>
        <c:extLst/>
      </c:scatterChart>
      <c:valAx>
        <c:axId val="602652032"/>
        <c:scaling>
          <c:orientation val="minMax"/>
          <c:max val="16"/>
          <c:min val="0"/>
        </c:scaling>
        <c:delete val="0"/>
        <c:axPos val="b"/>
        <c:majorGridlines>
          <c:spPr>
            <a:ln>
              <a:noFill/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Time-On-Stream, Day</a:t>
                </a:r>
              </a:p>
            </c:rich>
          </c:tx>
          <c:layout>
            <c:manualLayout>
              <c:xMode val="edge"/>
              <c:yMode val="edge"/>
              <c:x val="0.41031737133394069"/>
              <c:y val="0.9416767676767676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02666496"/>
        <c:crosses val="autoZero"/>
        <c:crossBetween val="midCat"/>
        <c:majorUnit val="1"/>
      </c:valAx>
      <c:valAx>
        <c:axId val="602666496"/>
        <c:scaling>
          <c:orientation val="minMax"/>
          <c:max val="200"/>
          <c:min val="6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Barg</a:t>
                </a:r>
              </a:p>
            </c:rich>
          </c:tx>
          <c:layout>
            <c:manualLayout>
              <c:xMode val="edge"/>
              <c:yMode val="edge"/>
              <c:x val="1.6619531241054766E-2"/>
              <c:y val="0.4813883931259038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0265203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9288242351148108"/>
          <c:y val="0.42384684599803413"/>
          <c:w val="0.1223093262835869"/>
          <c:h val="0.12399710920160997"/>
        </c:manualLayout>
      </c:layout>
      <c:overlay val="0"/>
      <c:spPr>
        <a:solidFill>
          <a:schemeClr val="bg1">
            <a:lumMod val="95000"/>
          </a:schemeClr>
        </a:solidFill>
      </c:spPr>
    </c:legend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0.75" l="0.7" r="0.7" t="0.75" header="0.3" footer="0.3"/>
    <c:pageSetup/>
  </c:printSettings>
  <c:userShapes r:id="rId2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77455078086514"/>
          <c:y val="0.24567000825018712"/>
          <c:w val="0.78082200478612418"/>
          <c:h val="0.641932518841002"/>
        </c:manualLayout>
      </c:layout>
      <c:scatterChart>
        <c:scatterStyle val="lineMarker"/>
        <c:varyColors val="0"/>
        <c:ser>
          <c:idx val="0"/>
          <c:order val="0"/>
          <c:tx>
            <c:v>Cond. Change</c:v>
          </c:tx>
          <c:dPt>
            <c:idx val="3"/>
            <c:marker>
              <c:spPr>
                <a:ln>
                  <a:solidFill>
                    <a:schemeClr val="bg1">
                      <a:lumMod val="50000"/>
                    </a:schemeClr>
                  </a:solidFill>
                  <a:prstDash val="sysDot"/>
                </a:ln>
              </c:spPr>
            </c:marker>
            <c:bubble3D val="0"/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1-DBD9-4D2B-9DFC-6D1ED1679C3A}"/>
              </c:ext>
            </c:extLst>
          </c:dPt>
          <c:dPt>
            <c:idx val="21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9525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E99-4B95-9ECE-7359ABEAFE6B}"/>
              </c:ext>
            </c:extLst>
          </c:dPt>
          <c:xVal>
            <c:numLit>
              <c:formatCode>General</c:formatCode>
              <c:ptCount val="10"/>
              <c:pt idx="2">
                <c:v>4.5</c:v>
              </c:pt>
              <c:pt idx="3">
                <c:v>4.51</c:v>
              </c:pt>
            </c:numLit>
          </c:xVal>
          <c:yVal>
            <c:numLit>
              <c:formatCode>General</c:formatCode>
              <c:ptCount val="10"/>
              <c:pt idx="2">
                <c:v>-20</c:v>
              </c:pt>
              <c:pt idx="3">
                <c:v>18000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E99-4B95-9ECE-7359ABEAFE6B}"/>
            </c:ext>
          </c:extLst>
        </c:ser>
        <c:ser>
          <c:idx val="1"/>
          <c:order val="1"/>
          <c:tx>
            <c:v>Average Temperature ART</c:v>
          </c:tx>
          <c:spPr>
            <a:ln w="6350"/>
          </c:spPr>
          <c:marker>
            <c:symbol val="triangle"/>
            <c:size val="7"/>
            <c:spPr>
              <a:ln w="6350"/>
            </c:spPr>
          </c:marker>
          <c:dLbls>
            <c:dLbl>
              <c:idx val="5"/>
              <c:layout>
                <c:manualLayout>
                  <c:x val="-1.0263929618768328E-2"/>
                  <c:y val="7.070707070707070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417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E4A-4508-812F-D172E2797C92}"/>
                </c:ext>
              </c:extLst>
            </c:dLbl>
            <c:dLbl>
              <c:idx val="10"/>
              <c:layout>
                <c:manualLayout>
                  <c:x val="-4.3988269794721412E-3"/>
                  <c:y val="2.82828282828282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C7-41F0-8CC9-5C250909EF17}"/>
                </c:ext>
              </c:extLst>
            </c:dLbl>
            <c:dLbl>
              <c:idx val="14"/>
              <c:layout>
                <c:manualLayout>
                  <c:x val="-2.1234320845475725E-2"/>
                  <c:y val="-4.18293440246642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C7-41F0-8CC9-5C250909EF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</c:numLit>
          </c:xVal>
          <c:yVal>
            <c:numLit>
              <c:formatCode>General</c:formatCode>
              <c:ptCount val="16"/>
              <c:pt idx="0">
                <c:v>404</c:v>
              </c:pt>
              <c:pt idx="1">
                <c:v>404</c:v>
              </c:pt>
              <c:pt idx="2">
                <c:v>404</c:v>
              </c:pt>
              <c:pt idx="3">
                <c:v>404</c:v>
              </c:pt>
              <c:pt idx="4">
                <c:v>416.93333333333339</c:v>
              </c:pt>
              <c:pt idx="5">
                <c:v>416.93333333333339</c:v>
              </c:pt>
              <c:pt idx="6">
                <c:v>417</c:v>
              </c:pt>
              <c:pt idx="7">
                <c:v>418</c:v>
              </c:pt>
              <c:pt idx="8">
                <c:v>418</c:v>
              </c:pt>
              <c:pt idx="9">
                <c:v>418</c:v>
              </c:pt>
              <c:pt idx="10">
                <c:v>418</c:v>
              </c:pt>
              <c:pt idx="11">
                <c:v>418</c:v>
              </c:pt>
              <c:pt idx="12">
                <c:v>418</c:v>
              </c:pt>
              <c:pt idx="13">
                <c:v>422</c:v>
              </c:pt>
              <c:pt idx="14">
                <c:v>422</c:v>
              </c:pt>
              <c:pt idx="15">
                <c:v>422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E99-4B95-9ECE-7359ABEAFE6B}"/>
            </c:ext>
          </c:extLst>
        </c:ser>
        <c:ser>
          <c:idx val="2"/>
          <c:order val="2"/>
          <c:tx>
            <c:v>Average Temperatue TOP</c:v>
          </c:tx>
          <c:spPr>
            <a:ln w="6350"/>
          </c:spPr>
          <c:marker>
            <c:spPr>
              <a:ln w="6350"/>
            </c:spPr>
          </c:marker>
          <c:dLbls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404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E99-4B95-9ECE-7359ABEAFE6B}"/>
                </c:ext>
              </c:extLst>
            </c:dLbl>
            <c:dLbl>
              <c:idx val="6"/>
              <c:layout>
                <c:manualLayout>
                  <c:x val="-2.7859237536656891E-2"/>
                  <c:y val="-3.63636363636364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C7-41F0-8CC9-5C250909EF17}"/>
                </c:ext>
              </c:extLst>
            </c:dLbl>
            <c:dLbl>
              <c:idx val="11"/>
              <c:layout>
                <c:manualLayout>
                  <c:x val="-3.0791788856305093E-2"/>
                  <c:y val="-5.2525252525252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C7-41F0-8CC9-5C250909EF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Template'!$F$71:$U$71</c:f>
              <c:numCache>
                <c:formatCode>0.00</c:formatCode>
                <c:ptCount val="16"/>
                <c:pt idx="0" formatCode="General">
                  <c:v>404</c:v>
                </c:pt>
                <c:pt idx="1">
                  <c:v>404</c:v>
                </c:pt>
                <c:pt idx="2" formatCode="0.0">
                  <c:v>404.16</c:v>
                </c:pt>
                <c:pt idx="3" formatCode="0.0">
                  <c:v>404.04</c:v>
                </c:pt>
                <c:pt idx="4" formatCode="0.0">
                  <c:v>418.45</c:v>
                </c:pt>
                <c:pt idx="5" formatCode="0.0">
                  <c:v>418.5</c:v>
                </c:pt>
                <c:pt idx="6" formatCode="0.0">
                  <c:v>418.5</c:v>
                </c:pt>
                <c:pt idx="7" formatCode="0.0">
                  <c:v>418</c:v>
                </c:pt>
                <c:pt idx="8" formatCode="0.0">
                  <c:v>418.72</c:v>
                </c:pt>
                <c:pt idx="9" formatCode="0.0">
                  <c:v>418.46</c:v>
                </c:pt>
                <c:pt idx="10" formatCode="0.0">
                  <c:v>422.08</c:v>
                </c:pt>
                <c:pt idx="11" formatCode="0.0">
                  <c:v>422.17</c:v>
                </c:pt>
                <c:pt idx="12">
                  <c:v>422.12</c:v>
                </c:pt>
                <c:pt idx="13">
                  <c:v>422.16</c:v>
                </c:pt>
                <c:pt idx="14" formatCode="0.0">
                  <c:v>422.22</c:v>
                </c:pt>
                <c:pt idx="15">
                  <c:v>422.11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99-4B95-9ECE-7359ABEAFE6B}"/>
            </c:ext>
          </c:extLst>
        </c:ser>
        <c:ser>
          <c:idx val="3"/>
          <c:order val="3"/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8E99-4B95-9ECE-7359ABEAFE6B}"/>
            </c:ext>
          </c:extLst>
        </c:ser>
        <c:ser>
          <c:idx val="4"/>
          <c:order val="4"/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</c:marker>
          <c:dPt>
            <c:idx val="1"/>
            <c:bubble3D val="0"/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3-0E4A-4508-812F-D172E2797C92}"/>
              </c:ext>
            </c:extLst>
          </c:dPt>
          <c:xVal>
            <c:numRef>
              <c:f>Condition!$V$52:$V$53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Condition!$W$52:$W$53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D9-4D2B-9DFC-6D1ED1679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652032"/>
        <c:axId val="602666496"/>
      </c:scatterChart>
      <c:valAx>
        <c:axId val="602652032"/>
        <c:scaling>
          <c:orientation val="minMax"/>
          <c:max val="16"/>
          <c:min val="0"/>
        </c:scaling>
        <c:delete val="0"/>
        <c:axPos val="b"/>
        <c:majorGridlines>
          <c:spPr>
            <a:ln>
              <a:noFill/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Time-On-Stream, Day</a:t>
                </a:r>
              </a:p>
            </c:rich>
          </c:tx>
          <c:layout>
            <c:manualLayout>
              <c:xMode val="edge"/>
              <c:yMode val="edge"/>
              <c:x val="0.41031737133394069"/>
              <c:y val="0.9416767676767676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02666496"/>
        <c:crosses val="autoZero"/>
        <c:crossBetween val="midCat"/>
        <c:majorUnit val="1"/>
      </c:valAx>
      <c:valAx>
        <c:axId val="602666496"/>
        <c:scaling>
          <c:orientation val="minMax"/>
          <c:max val="430"/>
          <c:min val="38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CAT Temeprature, </a:t>
                </a:r>
                <a:r>
                  <a:rPr lang="en-US" sz="1400" baseline="30000"/>
                  <a:t>o</a:t>
                </a:r>
                <a:r>
                  <a:rPr lang="en-US" sz="1400" baseline="0"/>
                  <a:t>C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2.9483159892892408E-2"/>
              <c:y val="0.42999359464261444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02652032"/>
        <c:crosses val="autoZero"/>
        <c:crossBetween val="midCat"/>
      </c:valAx>
      <c:spPr>
        <a:noFill/>
        <a:ln w="25400">
          <a:noFill/>
        </a:ln>
      </c:spPr>
    </c:plotArea>
    <c:legend>
      <c:legendPos val="l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65531180964099689"/>
          <c:y val="0.46576714938807262"/>
          <c:w val="0.23930697534905207"/>
          <c:h val="8.284196293645113E-2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/>
        <a:lstStyle/>
        <a:p>
          <a:pPr>
            <a:defRPr sz="12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0.75" l="0.7" r="0.7" t="0.75" header="0.3" footer="0.3"/>
    <c:pageSetup/>
  </c:printSettings>
  <c:userShapes r:id="rId2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14393138559319"/>
          <c:y val="0.23470716964723928"/>
          <c:w val="0.7913980998687985"/>
          <c:h val="0.65333304692758221"/>
        </c:manualLayout>
      </c:layout>
      <c:scatterChart>
        <c:scatterStyle val="lineMarker"/>
        <c:varyColors val="0"/>
        <c:ser>
          <c:idx val="1"/>
          <c:order val="0"/>
          <c:tx>
            <c:v>ART MEBU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8575">
                <a:solidFill>
                  <a:schemeClr val="accent2"/>
                </a:solidFill>
              </a:ln>
              <a:effectLst/>
            </c:spPr>
          </c:marker>
          <c:dLbls>
            <c:dLbl>
              <c:idx val="6"/>
              <c:layout>
                <c:manualLayout>
                  <c:x val="-6.920419624457429E-3"/>
                  <c:y val="-4.73222041445606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F9-4C77-9F09-0FA7CD57372F}"/>
                </c:ext>
              </c:extLst>
            </c:dLbl>
            <c:dLbl>
              <c:idx val="8"/>
              <c:layout>
                <c:manualLayout>
                  <c:x val="-5.7670163537144534E-3"/>
                  <c:y val="-5.3000868641907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F9-4C77-9F09-0FA7CD57372F}"/>
                </c:ext>
              </c:extLst>
            </c:dLbl>
            <c:dLbl>
              <c:idx val="13"/>
              <c:layout>
                <c:manualLayout>
                  <c:x val="-5.7670163537144534E-3"/>
                  <c:y val="-3.5964875149866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F9-4C77-9F09-0FA7CD5737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Template'!$F$142:$U$142</c:f>
              <c:numCache>
                <c:formatCode>0.00</c:formatCode>
                <c:ptCount val="16"/>
                <c:pt idx="0">
                  <c:v>44</c:v>
                </c:pt>
                <c:pt idx="1">
                  <c:v>41.5</c:v>
                </c:pt>
                <c:pt idx="2">
                  <c:v>40.5</c:v>
                </c:pt>
                <c:pt idx="3">
                  <c:v>39.9</c:v>
                </c:pt>
                <c:pt idx="4">
                  <c:v>68</c:v>
                </c:pt>
                <c:pt idx="5">
                  <c:v>67.5</c:v>
                </c:pt>
                <c:pt idx="6">
                  <c:v>67.8</c:v>
                </c:pt>
                <c:pt idx="7">
                  <c:v>68.2</c:v>
                </c:pt>
                <c:pt idx="8">
                  <c:v>68</c:v>
                </c:pt>
                <c:pt idx="9">
                  <c:v>68.2</c:v>
                </c:pt>
                <c:pt idx="10">
                  <c:v>66.5</c:v>
                </c:pt>
                <c:pt idx="11">
                  <c:v>65.8</c:v>
                </c:pt>
                <c:pt idx="12">
                  <c:v>66.2</c:v>
                </c:pt>
                <c:pt idx="13">
                  <c:v>68.2</c:v>
                </c:pt>
                <c:pt idx="14">
                  <c:v>68.400000000000006</c:v>
                </c:pt>
                <c:pt idx="15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11D-4781-BA33-B2FF01F006B1}"/>
            </c:ext>
          </c:extLst>
        </c:ser>
        <c:ser>
          <c:idx val="0"/>
          <c:order val="1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476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layout>
                <c:manualLayout>
                  <c:x val="-4.6136130829716477E-3"/>
                  <c:y val="3.02862106525187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F9-4C77-9F09-0FA7CD57372F}"/>
                </c:ext>
              </c:extLst>
            </c:dLbl>
            <c:dLbl>
              <c:idx val="8"/>
              <c:layout>
                <c:manualLayout>
                  <c:x val="-1.1534032707428907E-2"/>
                  <c:y val="3.97506514814309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F9-4C77-9F09-0FA7CD5737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Template'!$F$140:$U$140</c:f>
              <c:numCache>
                <c:formatCode>0.00</c:formatCode>
                <c:ptCount val="16"/>
                <c:pt idx="0">
                  <c:v>38.617032080432409</c:v>
                </c:pt>
                <c:pt idx="1">
                  <c:v>36.960459791175097</c:v>
                </c:pt>
                <c:pt idx="2">
                  <c:v>39.346283596715722</c:v>
                </c:pt>
                <c:pt idx="3">
                  <c:v>39.106101437805535</c:v>
                </c:pt>
                <c:pt idx="4">
                  <c:v>69.515548902270027</c:v>
                </c:pt>
                <c:pt idx="5">
                  <c:v>64.603212456070878</c:v>
                </c:pt>
                <c:pt idx="6">
                  <c:v>66.089600096537808</c:v>
                </c:pt>
                <c:pt idx="7">
                  <c:v>65.198799755569965</c:v>
                </c:pt>
                <c:pt idx="8">
                  <c:v>63.739784646471811</c:v>
                </c:pt>
                <c:pt idx="9">
                  <c:v>63.158939021148072</c:v>
                </c:pt>
                <c:pt idx="10">
                  <c:v>64.894359645947233</c:v>
                </c:pt>
                <c:pt idx="11">
                  <c:v>63.138261069506271</c:v>
                </c:pt>
                <c:pt idx="12">
                  <c:v>65.34042509661657</c:v>
                </c:pt>
                <c:pt idx="13">
                  <c:v>67.909430253472095</c:v>
                </c:pt>
                <c:pt idx="14">
                  <c:v>67.334069056274643</c:v>
                </c:pt>
                <c:pt idx="15">
                  <c:v>67.217660188327102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11D-4781-BA33-B2FF01F006B1}"/>
            </c:ext>
          </c:extLst>
        </c:ser>
        <c:ser>
          <c:idx val="2"/>
          <c:order val="2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CrkConv!$J$49:$J$50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CrkConv!$K$49:$K$50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11D-4781-BA33-B2FF01F006B1}"/>
            </c:ext>
          </c:extLst>
        </c:ser>
        <c:ser>
          <c:idx val="3"/>
          <c:order val="3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xVal>
            <c:numRef>
              <c:f>CrkConv!$J$52:$J$53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CrkConv!$K$52:$K$53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11D-4781-BA33-B2FF01F00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/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0184477832751969"/>
              <c:y val="0.95105768342010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9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%Conversion of 560 plus</a:t>
                </a:r>
              </a:p>
            </c:rich>
          </c:tx>
          <c:layout>
            <c:manualLayout>
              <c:xMode val="edge"/>
              <c:yMode val="edge"/>
              <c:x val="2.1900988386821349E-2"/>
              <c:y val="0.39775444872751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7688691626318427"/>
          <c:y val="0.23895586877929961"/>
          <c:w val="0.12211770310597041"/>
          <c:h val="0.156575498372494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14393138559319"/>
          <c:y val="0.23470716964723928"/>
          <c:w val="0.7913980998687985"/>
          <c:h val="0.65333304692758221"/>
        </c:manualLayout>
      </c:layout>
      <c:scatterChart>
        <c:scatterStyle val="lineMarker"/>
        <c:varyColors val="0"/>
        <c:ser>
          <c:idx val="1"/>
          <c:order val="0"/>
          <c:tx>
            <c:v>ART MEBU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857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Template'!$F$135:$U$135</c:f>
              <c:numCache>
                <c:formatCode>0.00</c:formatCode>
                <c:ptCount val="16"/>
                <c:pt idx="0">
                  <c:v>0.99790847205513766</c:v>
                </c:pt>
                <c:pt idx="1">
                  <c:v>0.98146145809233898</c:v>
                </c:pt>
                <c:pt idx="2">
                  <c:v>1.0056841568017649</c:v>
                </c:pt>
                <c:pt idx="3">
                  <c:v>0.96912085683897919</c:v>
                </c:pt>
                <c:pt idx="4">
                  <c:v>1.1085230084993438</c:v>
                </c:pt>
                <c:pt idx="5">
                  <c:v>0.96514174966787403</c:v>
                </c:pt>
                <c:pt idx="6">
                  <c:v>0.98467813319247666</c:v>
                </c:pt>
                <c:pt idx="7">
                  <c:v>0.98169043381803023</c:v>
                </c:pt>
                <c:pt idx="8">
                  <c:v>0.98879755749539733</c:v>
                </c:pt>
                <c:pt idx="9">
                  <c:v>0.96760283032049776</c:v>
                </c:pt>
                <c:pt idx="10">
                  <c:v>0.9621391187252254</c:v>
                </c:pt>
                <c:pt idx="11">
                  <c:v>0.96648641112449352</c:v>
                </c:pt>
                <c:pt idx="12">
                  <c:v>0.97971442058531977</c:v>
                </c:pt>
                <c:pt idx="13">
                  <c:v>0.96326769581876459</c:v>
                </c:pt>
                <c:pt idx="14">
                  <c:v>0.99422595686599713</c:v>
                </c:pt>
                <c:pt idx="15">
                  <c:v>0.8691512770956743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2D-48C0-AAAF-E9909C2CE1F8}"/>
            </c:ext>
          </c:extLst>
        </c:ser>
        <c:ser>
          <c:idx val="2"/>
          <c:order val="2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CrkConv!$J$49:$J$50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CrkConv!$K$49:$K$50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82D-48C0-AAAF-E9909C2CE1F8}"/>
            </c:ext>
          </c:extLst>
        </c:ser>
        <c:ser>
          <c:idx val="3"/>
          <c:order val="3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xVal>
            <c:numRef>
              <c:f>CrkConv!$J$52:$J$53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CrkConv!$K$52:$K$53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82D-48C0-AAAF-E9909C2CE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476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4.6136130829716477E-3"/>
                        <c:y val="3.028621065251875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D82D-48C0-AAAF-E9909C2CE1F8}"/>
                      </c:ext>
                    </c:extLst>
                  </c:dLbl>
                  <c:dLbl>
                    <c:idx val="8"/>
                    <c:layout>
                      <c:manualLayout>
                        <c:x val="-1.1534032707428907E-2"/>
                        <c:y val="3.975065148143091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D82D-48C0-AAAF-E9909C2CE1F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Template'!$F$140:$U$140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38.617032080432409</c:v>
                      </c:pt>
                      <c:pt idx="1">
                        <c:v>36.960459791175097</c:v>
                      </c:pt>
                      <c:pt idx="2">
                        <c:v>39.346283596715722</c:v>
                      </c:pt>
                      <c:pt idx="3">
                        <c:v>39.106101437805535</c:v>
                      </c:pt>
                      <c:pt idx="4">
                        <c:v>69.515548902270027</c:v>
                      </c:pt>
                      <c:pt idx="5">
                        <c:v>64.603212456070878</c:v>
                      </c:pt>
                      <c:pt idx="6">
                        <c:v>66.089600096537808</c:v>
                      </c:pt>
                      <c:pt idx="7">
                        <c:v>65.198799755569965</c:v>
                      </c:pt>
                      <c:pt idx="8">
                        <c:v>63.739784646471811</c:v>
                      </c:pt>
                      <c:pt idx="9">
                        <c:v>63.158939021148072</c:v>
                      </c:pt>
                      <c:pt idx="10">
                        <c:v>64.894359645947233</c:v>
                      </c:pt>
                      <c:pt idx="11">
                        <c:v>63.138261069506271</c:v>
                      </c:pt>
                      <c:pt idx="12">
                        <c:v>65.34042509661657</c:v>
                      </c:pt>
                      <c:pt idx="13">
                        <c:v>67.909430253472095</c:v>
                      </c:pt>
                      <c:pt idx="14">
                        <c:v>67.334069056274643</c:v>
                      </c:pt>
                      <c:pt idx="15">
                        <c:v>67.217660188327102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D82D-48C0-AAAF-E9909C2CE1F8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0184477832751969"/>
              <c:y val="0.95105768342010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Balance (Product/Feed)</a:t>
                </a:r>
              </a:p>
            </c:rich>
          </c:tx>
          <c:layout>
            <c:manualLayout>
              <c:xMode val="edge"/>
              <c:yMode val="edge"/>
              <c:x val="2.1900988386821349E-2"/>
              <c:y val="0.39775444872751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7434526246167"/>
          <c:y val="0.23261286344976115"/>
          <c:w val="0.70588965801652126"/>
          <c:h val="0.60582711589258598"/>
        </c:manualLayout>
      </c:layout>
      <c:scatterChart>
        <c:scatterStyle val="lineMarker"/>
        <c:varyColors val="0"/>
        <c:ser>
          <c:idx val="20"/>
          <c:order val="0"/>
          <c:tx>
            <c:v>H2S_ART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-7.6647622608161515E-17"/>
                  <c:y val="-1.0482751334280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94-424C-85D9-59D17D85D884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Template'!$F$227:$U$227</c:f>
              <c:numCache>
                <c:formatCode>0.00</c:formatCode>
                <c:ptCount val="16"/>
                <c:pt idx="0">
                  <c:v>4.9000000000000004</c:v>
                </c:pt>
                <c:pt idx="1">
                  <c:v>4.5</c:v>
                </c:pt>
                <c:pt idx="2">
                  <c:v>4.4000000000000004</c:v>
                </c:pt>
                <c:pt idx="3">
                  <c:v>4.4000000000000004</c:v>
                </c:pt>
                <c:pt idx="4">
                  <c:v>5.5</c:v>
                </c:pt>
                <c:pt idx="5">
                  <c:v>5.4</c:v>
                </c:pt>
                <c:pt idx="6">
                  <c:v>5.3</c:v>
                </c:pt>
                <c:pt idx="7">
                  <c:v>5.3</c:v>
                </c:pt>
                <c:pt idx="8">
                  <c:v>5.3</c:v>
                </c:pt>
                <c:pt idx="9">
                  <c:v>5.3</c:v>
                </c:pt>
                <c:pt idx="10">
                  <c:v>3.9</c:v>
                </c:pt>
                <c:pt idx="11">
                  <c:v>3.9</c:v>
                </c:pt>
                <c:pt idx="12">
                  <c:v>3.9</c:v>
                </c:pt>
                <c:pt idx="13">
                  <c:v>3.9</c:v>
                </c:pt>
                <c:pt idx="14">
                  <c:v>3.9</c:v>
                </c:pt>
                <c:pt idx="15">
                  <c:v>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066-4597-9C37-B1925CE92837}"/>
            </c:ext>
          </c:extLst>
        </c:ser>
        <c:ser>
          <c:idx val="17"/>
          <c:order val="1"/>
          <c:tx>
            <c:v>H2S_TOP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Template'!$F$226:$U$226</c:f>
              <c:numCache>
                <c:formatCode>0.00</c:formatCode>
                <c:ptCount val="16"/>
                <c:pt idx="0">
                  <c:v>4.3586047506461458</c:v>
                </c:pt>
                <c:pt idx="1">
                  <c:v>4.4776438627679482</c:v>
                </c:pt>
                <c:pt idx="2">
                  <c:v>4.4059811949534708</c:v>
                </c:pt>
                <c:pt idx="3">
                  <c:v>4.4044951717979206</c:v>
                </c:pt>
                <c:pt idx="4">
                  <c:v>5.2065096124024643</c:v>
                </c:pt>
                <c:pt idx="5">
                  <c:v>5.2731713539487108</c:v>
                </c:pt>
                <c:pt idx="6">
                  <c:v>5.0110897526733496</c:v>
                </c:pt>
                <c:pt idx="7">
                  <c:v>5.0540510105263134</c:v>
                </c:pt>
                <c:pt idx="8">
                  <c:v>5.0022180293669196</c:v>
                </c:pt>
                <c:pt idx="9">
                  <c:v>4.9544867629730085</c:v>
                </c:pt>
                <c:pt idx="10">
                  <c:v>4.5720924329603045</c:v>
                </c:pt>
                <c:pt idx="11">
                  <c:v>4.7464830544024794</c:v>
                </c:pt>
                <c:pt idx="12">
                  <c:v>4.6901182801499441</c:v>
                </c:pt>
                <c:pt idx="13">
                  <c:v>4.7326402863900432</c:v>
                </c:pt>
                <c:pt idx="14">
                  <c:v>4.6567776110055297</c:v>
                </c:pt>
                <c:pt idx="15">
                  <c:v>4.8205706530713801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066-4597-9C37-B1925CE92837}"/>
            </c:ext>
          </c:extLst>
        </c:ser>
        <c:ser>
          <c:idx val="18"/>
          <c:order val="2"/>
          <c:tx>
            <c:v>C1_TOP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solidFill>
                <a:srgbClr val="2D0DA3"/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Template'!$F$213:$U$213</c:f>
              <c:numCache>
                <c:formatCode>0.00</c:formatCode>
                <c:ptCount val="16"/>
                <c:pt idx="0">
                  <c:v>0.458736868893591</c:v>
                </c:pt>
                <c:pt idx="1">
                  <c:v>0.26965001923473669</c:v>
                </c:pt>
                <c:pt idx="2">
                  <c:v>0.31768278003571337</c:v>
                </c:pt>
                <c:pt idx="3">
                  <c:v>0.4358721400534934</c:v>
                </c:pt>
                <c:pt idx="4">
                  <c:v>1.1721185339645743</c:v>
                </c:pt>
                <c:pt idx="5">
                  <c:v>1.1195159273923156</c:v>
                </c:pt>
                <c:pt idx="6">
                  <c:v>1.0210828855904404</c:v>
                </c:pt>
                <c:pt idx="7">
                  <c:v>0.9404329603224475</c:v>
                </c:pt>
                <c:pt idx="8">
                  <c:v>1.0249256055343356</c:v>
                </c:pt>
                <c:pt idx="9">
                  <c:v>1.0912678723297837</c:v>
                </c:pt>
                <c:pt idx="10">
                  <c:v>1.1931009467954974</c:v>
                </c:pt>
                <c:pt idx="11">
                  <c:v>1.3072145685502681</c:v>
                </c:pt>
                <c:pt idx="12">
                  <c:v>1.1795186991554152</c:v>
                </c:pt>
                <c:pt idx="13">
                  <c:v>1.223105283892477</c:v>
                </c:pt>
                <c:pt idx="14">
                  <c:v>1.1101349909012119</c:v>
                </c:pt>
                <c:pt idx="15">
                  <c:v>1.2244307599161801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066-4597-9C37-B1925CE92837}"/>
            </c:ext>
          </c:extLst>
        </c:ser>
        <c:ser>
          <c:idx val="19"/>
          <c:order val="3"/>
          <c:tx>
            <c:v>C1_ART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2"/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1.1411435254685831E-2"/>
                  <c:y val="-2.20179512316383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Template'!$F$214:$U$214</c:f>
              <c:numCache>
                <c:formatCode>0.00</c:formatCode>
                <c:ptCount val="16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1.1000000000000001</c:v>
                </c:pt>
                <c:pt idx="10">
                  <c:v>1.1000000000000001</c:v>
                </c:pt>
                <c:pt idx="11">
                  <c:v>1.1000000000000001</c:v>
                </c:pt>
                <c:pt idx="12">
                  <c:v>1.1000000000000001</c:v>
                </c:pt>
                <c:pt idx="13">
                  <c:v>1.1000000000000001</c:v>
                </c:pt>
                <c:pt idx="14">
                  <c:v>1.1000000000000001</c:v>
                </c:pt>
                <c:pt idx="15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066-4597-9C37-B1925CE92837}"/>
            </c:ext>
          </c:extLst>
        </c:ser>
        <c:ser>
          <c:idx val="14"/>
          <c:order val="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'Breakdown Yld'!$Y$8:$Y$9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'Breakdown Yld'!$Z$8:$Z$9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066-4597-9C37-B1925CE92837}"/>
            </c:ext>
          </c:extLst>
        </c:ser>
        <c:ser>
          <c:idx val="15"/>
          <c:order val="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'Breakdown Yld'!$Y$11:$Y$12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'Breakdown Yld'!$Z$11:$Z$12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066-4597-9C37-B1925CE92837}"/>
            </c:ext>
          </c:extLst>
        </c:ser>
        <c:ser>
          <c:idx val="22"/>
          <c:order val="15"/>
          <c:tx>
            <c:v>C2_TOP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Template'!$F$215:$U$215</c:f>
              <c:numCache>
                <c:formatCode>0.00</c:formatCode>
                <c:ptCount val="16"/>
                <c:pt idx="0">
                  <c:v>0.46374486215538846</c:v>
                </c:pt>
                <c:pt idx="1">
                  <c:v>0.21782283105022832</c:v>
                </c:pt>
                <c:pt idx="2">
                  <c:v>0.24877949061478188</c:v>
                </c:pt>
                <c:pt idx="3">
                  <c:v>0.33196273126580594</c:v>
                </c:pt>
                <c:pt idx="4">
                  <c:v>1.2389367701830423</c:v>
                </c:pt>
                <c:pt idx="5">
                  <c:v>0.84476644155008829</c:v>
                </c:pt>
                <c:pt idx="6">
                  <c:v>0.76773638476865158</c:v>
                </c:pt>
                <c:pt idx="7">
                  <c:v>0.73597279540394389</c:v>
                </c:pt>
                <c:pt idx="8">
                  <c:v>0.79446892010886971</c:v>
                </c:pt>
                <c:pt idx="9">
                  <c:v>0.78787649091627177</c:v>
                </c:pt>
                <c:pt idx="10">
                  <c:v>0.87363243243243249</c:v>
                </c:pt>
                <c:pt idx="11">
                  <c:v>0.9771922844558778</c:v>
                </c:pt>
                <c:pt idx="12">
                  <c:v>0.90243639080715821</c:v>
                </c:pt>
                <c:pt idx="13">
                  <c:v>0.9013777292152293</c:v>
                </c:pt>
                <c:pt idx="14">
                  <c:v>0.83117991246256617</c:v>
                </c:pt>
                <c:pt idx="15">
                  <c:v>0.81658733793267513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066-4597-9C37-B1925CE92837}"/>
            </c:ext>
          </c:extLst>
        </c:ser>
        <c:ser>
          <c:idx val="23"/>
          <c:order val="16"/>
          <c:tx>
            <c:v>C2_ART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2"/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Template'!$F$217:$U$217</c:f>
              <c:numCache>
                <c:formatCode>0.00</c:formatCode>
                <c:ptCount val="1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0.89</c:v>
                </c:pt>
                <c:pt idx="5">
                  <c:v>0.89</c:v>
                </c:pt>
                <c:pt idx="6">
                  <c:v>0.89</c:v>
                </c:pt>
                <c:pt idx="7">
                  <c:v>0.84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0.89</c:v>
                </c:pt>
                <c:pt idx="12">
                  <c:v>0.89</c:v>
                </c:pt>
                <c:pt idx="13">
                  <c:v>0.89</c:v>
                </c:pt>
                <c:pt idx="14">
                  <c:v>0.9</c:v>
                </c:pt>
                <c:pt idx="15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066-4597-9C37-B1925CE92837}"/>
            </c:ext>
          </c:extLst>
        </c:ser>
        <c:ser>
          <c:idx val="24"/>
          <c:order val="17"/>
          <c:tx>
            <c:v>C3_TOP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Template'!$F$219:$U$219</c:f>
              <c:numCache>
                <c:formatCode>0.00</c:formatCode>
                <c:ptCount val="16"/>
                <c:pt idx="0">
                  <c:v>0.60202485578688292</c:v>
                </c:pt>
                <c:pt idx="1">
                  <c:v>0.24654303785483878</c:v>
                </c:pt>
                <c:pt idx="2">
                  <c:v>0.27675284806313255</c:v>
                </c:pt>
                <c:pt idx="3">
                  <c:v>0.32907607883507767</c:v>
                </c:pt>
                <c:pt idx="4">
                  <c:v>0.81229247662038484</c:v>
                </c:pt>
                <c:pt idx="5">
                  <c:v>0.85251079763839177</c:v>
                </c:pt>
                <c:pt idx="6">
                  <c:v>0.74941886056587304</c:v>
                </c:pt>
                <c:pt idx="7">
                  <c:v>0.7789027064307642</c:v>
                </c:pt>
                <c:pt idx="8">
                  <c:v>0.79849829109717718</c:v>
                </c:pt>
                <c:pt idx="9">
                  <c:v>0.74774028478561849</c:v>
                </c:pt>
                <c:pt idx="10">
                  <c:v>0.9019021013930778</c:v>
                </c:pt>
                <c:pt idx="11">
                  <c:v>1.0055149575191531</c:v>
                </c:pt>
                <c:pt idx="12">
                  <c:v>0.93960921098334027</c:v>
                </c:pt>
                <c:pt idx="13">
                  <c:v>0.92192233979195803</c:v>
                </c:pt>
                <c:pt idx="14">
                  <c:v>0.83621997233424927</c:v>
                </c:pt>
                <c:pt idx="15">
                  <c:v>0.97510342747396761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066-4597-9C37-B1925CE92837}"/>
            </c:ext>
          </c:extLst>
        </c:ser>
        <c:ser>
          <c:idx val="26"/>
          <c:order val="18"/>
          <c:tx>
            <c:v>C4_TOP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-3.6139225043304059E-2"/>
                  <c:y val="-5.15132385642989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EB8-41E4-92AC-AF34003F648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Template'!$F$222:$U$222</c:f>
              <c:numCache>
                <c:formatCode>0.00</c:formatCode>
                <c:ptCount val="16"/>
                <c:pt idx="0">
                  <c:v>0.53319166349770675</c:v>
                </c:pt>
                <c:pt idx="1">
                  <c:v>0.21905342483680806</c:v>
                </c:pt>
                <c:pt idx="2">
                  <c:v>0.40210285672421986</c:v>
                </c:pt>
                <c:pt idx="3">
                  <c:v>0.19771852251838923</c:v>
                </c:pt>
                <c:pt idx="4">
                  <c:v>0.54520036543674122</c:v>
                </c:pt>
                <c:pt idx="5">
                  <c:v>0.51045580092019549</c:v>
                </c:pt>
                <c:pt idx="6">
                  <c:v>0.44975786224978676</c:v>
                </c:pt>
                <c:pt idx="7">
                  <c:v>0.49227486637441237</c:v>
                </c:pt>
                <c:pt idx="8">
                  <c:v>0.47424334390395589</c:v>
                </c:pt>
                <c:pt idx="9">
                  <c:v>0.42049370799119579</c:v>
                </c:pt>
                <c:pt idx="10">
                  <c:v>0.5458058011828788</c:v>
                </c:pt>
                <c:pt idx="11">
                  <c:v>0.62328961864930421</c:v>
                </c:pt>
                <c:pt idx="12">
                  <c:v>0.6050273153854594</c:v>
                </c:pt>
                <c:pt idx="13">
                  <c:v>0.55046704348121722</c:v>
                </c:pt>
                <c:pt idx="14">
                  <c:v>0.51268268633690672</c:v>
                </c:pt>
                <c:pt idx="15">
                  <c:v>0.62285505940803498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066-4597-9C37-B1925CE92837}"/>
            </c:ext>
          </c:extLst>
        </c:ser>
        <c:ser>
          <c:idx val="27"/>
          <c:order val="19"/>
          <c:tx>
            <c:v>C4_ART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-3.507408099365944E-2"/>
                  <c:y val="-6.57041412722365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B8-41E4-92AC-AF34003F648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Template'!$F$223:$U$223</c:f>
              <c:numCache>
                <c:formatCode>0.00</c:formatCode>
                <c:ptCount val="1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0.8</c:v>
                </c:pt>
                <c:pt idx="5">
                  <c:v>0.81</c:v>
                </c:pt>
                <c:pt idx="6">
                  <c:v>0.92</c:v>
                </c:pt>
                <c:pt idx="7">
                  <c:v>0.83</c:v>
                </c:pt>
                <c:pt idx="8">
                  <c:v>1</c:v>
                </c:pt>
                <c:pt idx="9">
                  <c:v>0.89</c:v>
                </c:pt>
                <c:pt idx="10">
                  <c:v>0.9</c:v>
                </c:pt>
                <c:pt idx="11">
                  <c:v>0.75</c:v>
                </c:pt>
                <c:pt idx="12">
                  <c:v>0.75</c:v>
                </c:pt>
                <c:pt idx="13">
                  <c:v>0.8</c:v>
                </c:pt>
                <c:pt idx="14">
                  <c:v>0.9</c:v>
                </c:pt>
                <c:pt idx="15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066-4597-9C37-B1925CE92837}"/>
            </c:ext>
          </c:extLst>
        </c:ser>
        <c:ser>
          <c:idx val="28"/>
          <c:order val="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CA2-4989-877C-86F63A6C063E}"/>
              </c:ext>
            </c:extLst>
          </c:dPt>
          <c:xVal>
            <c:numRef>
              <c:f>'Breakdown Yld'!$Y$8:$Y$12</c:f>
              <c:numCache>
                <c:formatCode>General</c:formatCode>
                <c:ptCount val="5"/>
                <c:pt idx="0">
                  <c:v>4.5</c:v>
                </c:pt>
                <c:pt idx="1">
                  <c:v>4.5</c:v>
                </c:pt>
                <c:pt idx="3">
                  <c:v>10.5</c:v>
                </c:pt>
                <c:pt idx="4">
                  <c:v>10.5</c:v>
                </c:pt>
              </c:numCache>
            </c:numRef>
          </c:xVal>
          <c:yVal>
            <c:numRef>
              <c:f>'Breakdown Yld'!$Z$8:$Z$12</c:f>
              <c:numCache>
                <c:formatCode>General</c:formatCode>
                <c:ptCount val="5"/>
                <c:pt idx="0">
                  <c:v>-10</c:v>
                </c:pt>
                <c:pt idx="1">
                  <c:v>100</c:v>
                </c:pt>
                <c:pt idx="3">
                  <c:v>-10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066-4597-9C37-B1925CE92837}"/>
            </c:ext>
          </c:extLst>
        </c:ser>
        <c:ser>
          <c:idx val="2"/>
          <c:order val="23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CrkConv!$J$49:$J$50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CrkConv!$K$49:$K$50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066-4597-9C37-B1925CE92837}"/>
            </c:ext>
          </c:extLst>
        </c:ser>
        <c:ser>
          <c:idx val="3"/>
          <c:order val="24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xVal>
            <c:numRef>
              <c:f>CrkConv!$J$52:$J$53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CrkConv!$K$52:$K$53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066-4597-9C37-B1925CE92837}"/>
            </c:ext>
          </c:extLst>
        </c:ser>
        <c:ser>
          <c:idx val="25"/>
          <c:order val="25"/>
          <c:tx>
            <c:v>C3_ART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1.0320686483305721E-3"/>
                  <c:y val="-3.307080668030295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EB8-41E4-92AC-AF34003F648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Template'!$F$220:$U$220</c:f>
              <c:numCache>
                <c:formatCode>0.00</c:formatCode>
                <c:ptCount val="16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0.92</c:v>
                </c:pt>
                <c:pt idx="5">
                  <c:v>0.95</c:v>
                </c:pt>
                <c:pt idx="6">
                  <c:v>1</c:v>
                </c:pt>
                <c:pt idx="7">
                  <c:v>0.95</c:v>
                </c:pt>
                <c:pt idx="8">
                  <c:v>1.2</c:v>
                </c:pt>
                <c:pt idx="9">
                  <c:v>1.1000000000000001</c:v>
                </c:pt>
                <c:pt idx="10">
                  <c:v>1.1000000000000001</c:v>
                </c:pt>
                <c:pt idx="11">
                  <c:v>0.95</c:v>
                </c:pt>
                <c:pt idx="12">
                  <c:v>0.95</c:v>
                </c:pt>
                <c:pt idx="13">
                  <c:v>1.1000000000000001</c:v>
                </c:pt>
                <c:pt idx="14">
                  <c:v>1.1000000000000001</c:v>
                </c:pt>
                <c:pt idx="15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CE-4546-9BCA-E1189A4DC218}"/>
            </c:ext>
          </c:extLst>
        </c:ser>
        <c:ser>
          <c:idx val="21"/>
          <c:order val="26"/>
          <c:tx>
            <c:v>NH3_ART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-3.0951819633917906E-3"/>
                  <c:y val="1.17905291149145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Template'!$F$229:$U$229</c:f>
              <c:numCache>
                <c:formatCode>0.00</c:formatCode>
                <c:ptCount val="16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066-4597-9C37-B1925CE92837}"/>
            </c:ext>
          </c:extLst>
        </c:ser>
        <c:ser>
          <c:idx val="16"/>
          <c:order val="27"/>
          <c:tx>
            <c:v>NH3_TOP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B8-41E4-92AC-AF34003F648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Template'!$F$228:$U$228</c:f>
              <c:numCache>
                <c:formatCode>0.00</c:formatCode>
                <c:ptCount val="16"/>
                <c:pt idx="0">
                  <c:v>0.3195249321006598</c:v>
                </c:pt>
                <c:pt idx="1">
                  <c:v>0.32474481204506156</c:v>
                </c:pt>
                <c:pt idx="2">
                  <c:v>0.35873084341345679</c:v>
                </c:pt>
                <c:pt idx="3">
                  <c:v>0.3276390589504552</c:v>
                </c:pt>
                <c:pt idx="4">
                  <c:v>0.48740451146244906</c:v>
                </c:pt>
                <c:pt idx="5">
                  <c:v>0.44825446861686119</c:v>
                </c:pt>
                <c:pt idx="6">
                  <c:v>0.39374003490860859</c:v>
                </c:pt>
                <c:pt idx="7">
                  <c:v>0.40900913479976236</c:v>
                </c:pt>
                <c:pt idx="8">
                  <c:v>0.34830312776472866</c:v>
                </c:pt>
                <c:pt idx="9">
                  <c:v>0.3839648455813543</c:v>
                </c:pt>
                <c:pt idx="10">
                  <c:v>0.45701403215894448</c:v>
                </c:pt>
                <c:pt idx="11">
                  <c:v>0.40535973816623216</c:v>
                </c:pt>
                <c:pt idx="12">
                  <c:v>0.33157947805055943</c:v>
                </c:pt>
                <c:pt idx="13">
                  <c:v>0.3643581166526923</c:v>
                </c:pt>
                <c:pt idx="14">
                  <c:v>0.33788339941892431</c:v>
                </c:pt>
                <c:pt idx="15">
                  <c:v>0.46732334300133738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066-4597-9C37-B1925CE92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4"/>
                <c:tx>
                  <c:v>C4 minus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Template'!$F$241:$U$241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1.6</c:v>
                      </c:pt>
                      <c:pt idx="1">
                        <c:v>1.7</c:v>
                      </c:pt>
                      <c:pt idx="2">
                        <c:v>1.6</c:v>
                      </c:pt>
                      <c:pt idx="3">
                        <c:v>1.7</c:v>
                      </c:pt>
                      <c:pt idx="4">
                        <c:v>3.5</c:v>
                      </c:pt>
                      <c:pt idx="5">
                        <c:v>3.6</c:v>
                      </c:pt>
                      <c:pt idx="6">
                        <c:v>4.0999999999999996</c:v>
                      </c:pt>
                      <c:pt idx="7">
                        <c:v>3.5</c:v>
                      </c:pt>
                      <c:pt idx="8">
                        <c:v>4.0999999999999996</c:v>
                      </c:pt>
                      <c:pt idx="9">
                        <c:v>3.8</c:v>
                      </c:pt>
                      <c:pt idx="10">
                        <c:v>4</c:v>
                      </c:pt>
                      <c:pt idx="11">
                        <c:v>3.8</c:v>
                      </c:pt>
                      <c:pt idx="12">
                        <c:v>3.8</c:v>
                      </c:pt>
                      <c:pt idx="13">
                        <c:v>4.05</c:v>
                      </c:pt>
                      <c:pt idx="14">
                        <c:v>4.09</c:v>
                      </c:pt>
                      <c:pt idx="15">
                        <c:v>4.0999999999999996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0-2066-4597-9C37-B1925CE92837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IBP-160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Template'!$F$253:$U$253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2.5968810886214557</c:v>
                      </c:pt>
                      <c:pt idx="1">
                        <c:v>3.2606596959412277</c:v>
                      </c:pt>
                      <c:pt idx="2">
                        <c:v>3.2016331425853761</c:v>
                      </c:pt>
                      <c:pt idx="3">
                        <c:v>2.0171338085176176</c:v>
                      </c:pt>
                      <c:pt idx="4">
                        <c:v>5.2672949833553293</c:v>
                      </c:pt>
                      <c:pt idx="5" formatCode="0">
                        <c:v>3.9626486227727034</c:v>
                      </c:pt>
                      <c:pt idx="6">
                        <c:v>3.996775867293616</c:v>
                      </c:pt>
                      <c:pt idx="7">
                        <c:v>3.9844214083957294</c:v>
                      </c:pt>
                      <c:pt idx="8">
                        <c:v>3.4367920850049569</c:v>
                      </c:pt>
                      <c:pt idx="9">
                        <c:v>3.4615297465687429</c:v>
                      </c:pt>
                      <c:pt idx="10">
                        <c:v>4.6586744214554336</c:v>
                      </c:pt>
                      <c:pt idx="11">
                        <c:v>4.8207816823665048</c:v>
                      </c:pt>
                      <c:pt idx="12">
                        <c:v>3.9777284993659281</c:v>
                      </c:pt>
                      <c:pt idx="13">
                        <c:v>4.7904010542234978</c:v>
                      </c:pt>
                      <c:pt idx="14">
                        <c:v>4.3962036535575333</c:v>
                      </c:pt>
                      <c:pt idx="15">
                        <c:v>5.30037584942139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066-4597-9C37-B1925CE92837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IBP-160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Template'!$F$254:$U$254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2.2000000000000002</c:v>
                      </c:pt>
                      <c:pt idx="1">
                        <c:v>2</c:v>
                      </c:pt>
                      <c:pt idx="2">
                        <c:v>1.7</c:v>
                      </c:pt>
                      <c:pt idx="3">
                        <c:v>1.7</c:v>
                      </c:pt>
                      <c:pt idx="4">
                        <c:v>4.9000000000000004</c:v>
                      </c:pt>
                      <c:pt idx="5">
                        <c:v>5.0999999999999996</c:v>
                      </c:pt>
                      <c:pt idx="6">
                        <c:v>5.6</c:v>
                      </c:pt>
                      <c:pt idx="7">
                        <c:v>5.8</c:v>
                      </c:pt>
                      <c:pt idx="8">
                        <c:v>5.9</c:v>
                      </c:pt>
                      <c:pt idx="9">
                        <c:v>5.8</c:v>
                      </c:pt>
                      <c:pt idx="10">
                        <c:v>5.7</c:v>
                      </c:pt>
                      <c:pt idx="11">
                        <c:v>5.5</c:v>
                      </c:pt>
                      <c:pt idx="12">
                        <c:v>5.7</c:v>
                      </c:pt>
                      <c:pt idx="13">
                        <c:v>5.9</c:v>
                      </c:pt>
                      <c:pt idx="14">
                        <c:v>6</c:v>
                      </c:pt>
                      <c:pt idx="15">
                        <c:v>6.1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066-4597-9C37-B1925CE92837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160-360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Template'!$F$256:$U$256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9.1078166179909221</c:v>
                      </c:pt>
                      <c:pt idx="1">
                        <c:v>9.2432289798269416</c:v>
                      </c:pt>
                      <c:pt idx="2">
                        <c:v>11.24758190929732</c:v>
                      </c:pt>
                      <c:pt idx="3">
                        <c:v>10.484340233588583</c:v>
                      </c:pt>
                      <c:pt idx="4">
                        <c:v>27.257483787944039</c:v>
                      </c:pt>
                      <c:pt idx="5">
                        <c:v>21.10325390871137</c:v>
                      </c:pt>
                      <c:pt idx="6">
                        <c:v>22.592844413846635</c:v>
                      </c:pt>
                      <c:pt idx="7">
                        <c:v>21.793632037229354</c:v>
                      </c:pt>
                      <c:pt idx="8">
                        <c:v>21.860955424079823</c:v>
                      </c:pt>
                      <c:pt idx="9">
                        <c:v>21.048322112435873</c:v>
                      </c:pt>
                      <c:pt idx="10">
                        <c:v>23.170598444730718</c:v>
                      </c:pt>
                      <c:pt idx="11">
                        <c:v>22.112488807980359</c:v>
                      </c:pt>
                      <c:pt idx="12">
                        <c:v>23.557206765036682</c:v>
                      </c:pt>
                      <c:pt idx="13">
                        <c:v>24.541844018372192</c:v>
                      </c:pt>
                      <c:pt idx="14">
                        <c:v>24.992841627237286</c:v>
                      </c:pt>
                      <c:pt idx="15">
                        <c:v>22.490791950312349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066-4597-9C37-B1925CE92837}"/>
                  </c:ext>
                </c:extLst>
              </c15:ser>
            </c15:filteredScatterSeries>
            <c15:filteredScatterSeries>
              <c15:ser>
                <c:idx val="9"/>
                <c:order val="8"/>
                <c:tx>
                  <c:v>160-360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Template'!$F$257:$U$257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11.2</c:v>
                      </c:pt>
                      <c:pt idx="1">
                        <c:v>11.2</c:v>
                      </c:pt>
                      <c:pt idx="2">
                        <c:v>10.6</c:v>
                      </c:pt>
                      <c:pt idx="3">
                        <c:v>10.5</c:v>
                      </c:pt>
                      <c:pt idx="4">
                        <c:v>22.5</c:v>
                      </c:pt>
                      <c:pt idx="5">
                        <c:v>22.2</c:v>
                      </c:pt>
                      <c:pt idx="6">
                        <c:v>22.1</c:v>
                      </c:pt>
                      <c:pt idx="7">
                        <c:v>22.9</c:v>
                      </c:pt>
                      <c:pt idx="8">
                        <c:v>22.8</c:v>
                      </c:pt>
                      <c:pt idx="9">
                        <c:v>22.9</c:v>
                      </c:pt>
                      <c:pt idx="10">
                        <c:v>22.8</c:v>
                      </c:pt>
                      <c:pt idx="11">
                        <c:v>22.1</c:v>
                      </c:pt>
                      <c:pt idx="12">
                        <c:v>22.8</c:v>
                      </c:pt>
                      <c:pt idx="13">
                        <c:v>23.9</c:v>
                      </c:pt>
                      <c:pt idx="14">
                        <c:v>24</c:v>
                      </c:pt>
                      <c:pt idx="15">
                        <c:v>23.8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066-4597-9C37-B1925CE92837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360-560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Template'!$F$259:$U$259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27.861717401079048</c:v>
                      </c:pt>
                      <c:pt idx="1">
                        <c:v>26.590853070175427</c:v>
                      </c:pt>
                      <c:pt idx="2">
                        <c:v>26.709643108472942</c:v>
                      </c:pt>
                      <c:pt idx="3">
                        <c:v>28.462723047627456</c:v>
                      </c:pt>
                      <c:pt idx="4">
                        <c:v>31.653230900491149</c:v>
                      </c:pt>
                      <c:pt idx="5">
                        <c:v>32.016206061900093</c:v>
                      </c:pt>
                      <c:pt idx="6">
                        <c:v>33.52558957598287</c:v>
                      </c:pt>
                      <c:pt idx="7">
                        <c:v>33.251005323768339</c:v>
                      </c:pt>
                      <c:pt idx="8">
                        <c:v>32.524569310682892</c:v>
                      </c:pt>
                      <c:pt idx="9">
                        <c:v>31.891354199092344</c:v>
                      </c:pt>
                      <c:pt idx="10">
                        <c:v>30.921782239547735</c:v>
                      </c:pt>
                      <c:pt idx="11">
                        <c:v>29.732082874472358</c:v>
                      </c:pt>
                      <c:pt idx="12">
                        <c:v>32.285279531046221</c:v>
                      </c:pt>
                      <c:pt idx="13">
                        <c:v>32.398611062463821</c:v>
                      </c:pt>
                      <c:pt idx="14">
                        <c:v>33.325964690743525</c:v>
                      </c:pt>
                      <c:pt idx="15">
                        <c:v>32.89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2066-4597-9C37-B1925CE92837}"/>
                  </c:ext>
                </c:extLst>
              </c15:ser>
            </c15:filteredScatterSeries>
            <c15:filteredScatterSeries>
              <c15:ser>
                <c:idx val="11"/>
                <c:order val="10"/>
                <c:tx>
                  <c:v>350-560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Template'!$F$260:$U$260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28.6</c:v>
                      </c:pt>
                      <c:pt idx="1">
                        <c:v>28.7</c:v>
                      </c:pt>
                      <c:pt idx="2">
                        <c:v>28.9</c:v>
                      </c:pt>
                      <c:pt idx="3">
                        <c:v>28.7</c:v>
                      </c:pt>
                      <c:pt idx="4">
                        <c:v>34.200000000000003</c:v>
                      </c:pt>
                      <c:pt idx="5">
                        <c:v>33.700000000000003</c:v>
                      </c:pt>
                      <c:pt idx="6">
                        <c:v>33</c:v>
                      </c:pt>
                      <c:pt idx="7">
                        <c:v>33.9</c:v>
                      </c:pt>
                      <c:pt idx="8">
                        <c:v>33</c:v>
                      </c:pt>
                      <c:pt idx="9">
                        <c:v>33.5</c:v>
                      </c:pt>
                      <c:pt idx="10">
                        <c:v>33</c:v>
                      </c:pt>
                      <c:pt idx="11">
                        <c:v>33</c:v>
                      </c:pt>
                      <c:pt idx="12">
                        <c:v>33.299999999999997</c:v>
                      </c:pt>
                      <c:pt idx="13">
                        <c:v>33.9</c:v>
                      </c:pt>
                      <c:pt idx="14">
                        <c:v>33.799999999999997</c:v>
                      </c:pt>
                      <c:pt idx="15">
                        <c:v>33.299999999999997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2066-4597-9C37-B1925CE92837}"/>
                  </c:ext>
                </c:extLst>
              </c15:ser>
            </c15:filteredScatterSeries>
            <c15:filteredScatterSeries>
              <c15:ser>
                <c:idx val="12"/>
                <c:order val="11"/>
                <c:tx>
                  <c:v>560 plus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Template'!$F$261:$U$261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55.28708346724823</c:v>
                      </c:pt>
                      <c:pt idx="1">
                        <c:v>56.080988569254188</c:v>
                      </c:pt>
                      <c:pt idx="2">
                        <c:v>54.08</c:v>
                      </c:pt>
                      <c:pt idx="3">
                        <c:v>54.46</c:v>
                      </c:pt>
                      <c:pt idx="4">
                        <c:v>29.809768156785545</c:v>
                      </c:pt>
                      <c:pt idx="5">
                        <c:v>34.53699005418877</c:v>
                      </c:pt>
                      <c:pt idx="6">
                        <c:v>32.998872240148316</c:v>
                      </c:pt>
                      <c:pt idx="7">
                        <c:v>33.713477471374041</c:v>
                      </c:pt>
                      <c:pt idx="8">
                        <c:v>34.879426352865842</c:v>
                      </c:pt>
                      <c:pt idx="9">
                        <c:v>35.438153376777251</c:v>
                      </c:pt>
                      <c:pt idx="10">
                        <c:v>32.892229729729735</c:v>
                      </c:pt>
                      <c:pt idx="11">
                        <c:v>34.983457866386033</c:v>
                      </c:pt>
                      <c:pt idx="12">
                        <c:v>32.818146561966294</c:v>
                      </c:pt>
                      <c:pt idx="13">
                        <c:v>30.44121037296037</c:v>
                      </c:pt>
                      <c:pt idx="14">
                        <c:v>30.606343997723478</c:v>
                      </c:pt>
                      <c:pt idx="15">
                        <c:v>30.715413286546923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2066-4597-9C37-B1925CE92837}"/>
                  </c:ext>
                </c:extLst>
              </c15:ser>
            </c15:filteredScatterSeries>
            <c15:filteredScatterSeries>
              <c15:ser>
                <c:idx val="13"/>
                <c:order val="12"/>
                <c:tx>
                  <c:v>560 plus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Template'!$F$262:$U$262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53</c:v>
                      </c:pt>
                      <c:pt idx="1">
                        <c:v>53</c:v>
                      </c:pt>
                      <c:pt idx="2">
                        <c:v>53.8</c:v>
                      </c:pt>
                      <c:pt idx="3">
                        <c:v>54.4</c:v>
                      </c:pt>
                      <c:pt idx="4">
                        <c:v>31</c:v>
                      </c:pt>
                      <c:pt idx="5">
                        <c:v>31.3</c:v>
                      </c:pt>
                      <c:pt idx="6">
                        <c:v>31.3</c:v>
                      </c:pt>
                      <c:pt idx="7">
                        <c:v>30</c:v>
                      </c:pt>
                      <c:pt idx="8">
                        <c:v>30.9</c:v>
                      </c:pt>
                      <c:pt idx="9">
                        <c:v>30</c:v>
                      </c:pt>
                      <c:pt idx="10">
                        <c:v>32</c:v>
                      </c:pt>
                      <c:pt idx="11">
                        <c:v>33.200000000000003</c:v>
                      </c:pt>
                      <c:pt idx="12">
                        <c:v>32</c:v>
                      </c:pt>
                      <c:pt idx="13">
                        <c:v>29.9</c:v>
                      </c:pt>
                      <c:pt idx="14">
                        <c:v>29</c:v>
                      </c:pt>
                      <c:pt idx="15">
                        <c:v>30.4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2066-4597-9C37-B1925CE92837}"/>
                  </c:ext>
                </c:extLst>
              </c15:ser>
            </c15:filteredScatterSeries>
            <c15:filteredScatterSeries>
              <c15:ser>
                <c:idx val="0"/>
                <c:order val="21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476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4.6136130829716477E-3"/>
                        <c:y val="3.028621065251875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2066-4597-9C37-B1925CE92837}"/>
                      </c:ext>
                    </c:extLst>
                  </c:dLbl>
                  <c:dLbl>
                    <c:idx val="8"/>
                    <c:layout>
                      <c:manualLayout>
                        <c:x val="-1.1534032707428907E-2"/>
                        <c:y val="3.975065148143091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2066-4597-9C37-B1925CE9283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Template'!$F$140:$U$140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38.617032080432409</c:v>
                      </c:pt>
                      <c:pt idx="1">
                        <c:v>36.960459791175097</c:v>
                      </c:pt>
                      <c:pt idx="2">
                        <c:v>39.346283596715722</c:v>
                      </c:pt>
                      <c:pt idx="3">
                        <c:v>39.106101437805535</c:v>
                      </c:pt>
                      <c:pt idx="4">
                        <c:v>69.515548902270027</c:v>
                      </c:pt>
                      <c:pt idx="5">
                        <c:v>64.603212456070878</c:v>
                      </c:pt>
                      <c:pt idx="6">
                        <c:v>66.089600096537808</c:v>
                      </c:pt>
                      <c:pt idx="7">
                        <c:v>65.198799755569965</c:v>
                      </c:pt>
                      <c:pt idx="8">
                        <c:v>63.739784646471811</c:v>
                      </c:pt>
                      <c:pt idx="9">
                        <c:v>63.158939021148072</c:v>
                      </c:pt>
                      <c:pt idx="10">
                        <c:v>64.894359645947233</c:v>
                      </c:pt>
                      <c:pt idx="11">
                        <c:v>63.138261069506271</c:v>
                      </c:pt>
                      <c:pt idx="12">
                        <c:v>65.34042509661657</c:v>
                      </c:pt>
                      <c:pt idx="13">
                        <c:v>67.909430253472095</c:v>
                      </c:pt>
                      <c:pt idx="14">
                        <c:v>67.334069056274643</c:v>
                      </c:pt>
                      <c:pt idx="15">
                        <c:v>67.217660188327102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066-4597-9C37-B1925CE92837}"/>
                  </c:ext>
                </c:extLst>
              </c15:ser>
            </c15:filteredScatterSeries>
            <c15:filteredScatterSeries>
              <c15:ser>
                <c:idx val="1"/>
                <c:order val="22"/>
                <c:tx>
                  <c:v>ART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2857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6.920419624457429E-3"/>
                        <c:y val="-4.732220414456064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2066-4597-9C37-B1925CE92837}"/>
                      </c:ext>
                    </c:extLst>
                  </c:dLbl>
                  <c:dLbl>
                    <c:idx val="8"/>
                    <c:layout>
                      <c:manualLayout>
                        <c:x val="-5.7670163537144534E-3"/>
                        <c:y val="-5.300086864190788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2066-4597-9C37-B1925CE92837}"/>
                      </c:ext>
                    </c:extLst>
                  </c:dLbl>
                  <c:dLbl>
                    <c:idx val="13"/>
                    <c:layout>
                      <c:manualLayout>
                        <c:x val="-5.7670163537144534E-3"/>
                        <c:y val="-3.596487514986609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9-2066-4597-9C37-B1925CE9283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Template'!$F$142:$U$142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44</c:v>
                      </c:pt>
                      <c:pt idx="1">
                        <c:v>41.5</c:v>
                      </c:pt>
                      <c:pt idx="2">
                        <c:v>40.5</c:v>
                      </c:pt>
                      <c:pt idx="3">
                        <c:v>39.9</c:v>
                      </c:pt>
                      <c:pt idx="4">
                        <c:v>68</c:v>
                      </c:pt>
                      <c:pt idx="5">
                        <c:v>67.5</c:v>
                      </c:pt>
                      <c:pt idx="6">
                        <c:v>67.8</c:v>
                      </c:pt>
                      <c:pt idx="7">
                        <c:v>68.2</c:v>
                      </c:pt>
                      <c:pt idx="8">
                        <c:v>68</c:v>
                      </c:pt>
                      <c:pt idx="9">
                        <c:v>68.2</c:v>
                      </c:pt>
                      <c:pt idx="10">
                        <c:v>66.5</c:v>
                      </c:pt>
                      <c:pt idx="11">
                        <c:v>65.8</c:v>
                      </c:pt>
                      <c:pt idx="12">
                        <c:v>66.2</c:v>
                      </c:pt>
                      <c:pt idx="13">
                        <c:v>68.2</c:v>
                      </c:pt>
                      <c:pt idx="14">
                        <c:v>68.400000000000006</c:v>
                      </c:pt>
                      <c:pt idx="15">
                        <c:v>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066-4597-9C37-B1925CE92837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5022032683541441"/>
              <c:y val="0.8955571652177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% wt of Feed</a:t>
                </a:r>
              </a:p>
            </c:rich>
          </c:tx>
          <c:layout>
            <c:manualLayout>
              <c:xMode val="edge"/>
              <c:yMode val="edge"/>
              <c:x val="4.3246590879763139E-2"/>
              <c:y val="0.316740721950183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86537789792325592"/>
          <c:y val="0.31120246891361281"/>
          <c:w val="6.7218744905694391E-2"/>
          <c:h val="0.41987166480741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8142161527054"/>
          <c:y val="0.22778563347433431"/>
          <c:w val="0.75802406274407497"/>
          <c:h val="0.66866927074705163"/>
        </c:manualLayout>
      </c:layout>
      <c:scatterChart>
        <c:scatterStyle val="lineMarker"/>
        <c:varyColors val="0"/>
        <c:ser>
          <c:idx val="8"/>
          <c:order val="0"/>
          <c:tx>
            <c:v>560 plus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3333FF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-6.1600308098548849E-3"/>
                  <c:y val="-3.01689739685041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Template'!$F$261:$U$261</c:f>
              <c:numCache>
                <c:formatCode>0.00</c:formatCode>
                <c:ptCount val="16"/>
                <c:pt idx="0">
                  <c:v>55.28708346724823</c:v>
                </c:pt>
                <c:pt idx="1">
                  <c:v>56.080988569254188</c:v>
                </c:pt>
                <c:pt idx="2">
                  <c:v>54.08</c:v>
                </c:pt>
                <c:pt idx="3">
                  <c:v>54.46</c:v>
                </c:pt>
                <c:pt idx="4">
                  <c:v>29.809768156785545</c:v>
                </c:pt>
                <c:pt idx="5">
                  <c:v>34.53699005418877</c:v>
                </c:pt>
                <c:pt idx="6">
                  <c:v>32.998872240148316</c:v>
                </c:pt>
                <c:pt idx="7">
                  <c:v>33.713477471374041</c:v>
                </c:pt>
                <c:pt idx="8">
                  <c:v>34.879426352865842</c:v>
                </c:pt>
                <c:pt idx="9">
                  <c:v>35.438153376777251</c:v>
                </c:pt>
                <c:pt idx="10">
                  <c:v>32.892229729729735</c:v>
                </c:pt>
                <c:pt idx="11">
                  <c:v>34.983457866386033</c:v>
                </c:pt>
                <c:pt idx="12">
                  <c:v>32.818146561966294</c:v>
                </c:pt>
                <c:pt idx="13">
                  <c:v>30.44121037296037</c:v>
                </c:pt>
                <c:pt idx="14">
                  <c:v>30.606343997723478</c:v>
                </c:pt>
                <c:pt idx="15">
                  <c:v>30.715413286546923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20F-4C46-8445-0D3C8B9A4A3C}"/>
            </c:ext>
          </c:extLst>
        </c:ser>
        <c:ser>
          <c:idx val="9"/>
          <c:order val="1"/>
          <c:tx>
            <c:v>560 plus ART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chemeClr val="accent2"/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-3.0800154049274425E-3"/>
                  <c:y val="2.68168657497815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3C-4730-8B3D-F64CA1962BDA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Template'!$F$262:$U$262</c:f>
              <c:numCache>
                <c:formatCode>0.00</c:formatCode>
                <c:ptCount val="16"/>
                <c:pt idx="0">
                  <c:v>53</c:v>
                </c:pt>
                <c:pt idx="1">
                  <c:v>53</c:v>
                </c:pt>
                <c:pt idx="2">
                  <c:v>53.8</c:v>
                </c:pt>
                <c:pt idx="3">
                  <c:v>54.4</c:v>
                </c:pt>
                <c:pt idx="4">
                  <c:v>31</c:v>
                </c:pt>
                <c:pt idx="5">
                  <c:v>31.3</c:v>
                </c:pt>
                <c:pt idx="6">
                  <c:v>31.3</c:v>
                </c:pt>
                <c:pt idx="7">
                  <c:v>30</c:v>
                </c:pt>
                <c:pt idx="8">
                  <c:v>30.9</c:v>
                </c:pt>
                <c:pt idx="9">
                  <c:v>30</c:v>
                </c:pt>
                <c:pt idx="10">
                  <c:v>32</c:v>
                </c:pt>
                <c:pt idx="11">
                  <c:v>33.200000000000003</c:v>
                </c:pt>
                <c:pt idx="12">
                  <c:v>32</c:v>
                </c:pt>
                <c:pt idx="13">
                  <c:v>29.9</c:v>
                </c:pt>
                <c:pt idx="14">
                  <c:v>29</c:v>
                </c:pt>
                <c:pt idx="15">
                  <c:v>30.4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20F-4C46-8445-0D3C8B9A4A3C}"/>
            </c:ext>
          </c:extLst>
        </c:ser>
        <c:ser>
          <c:idx val="7"/>
          <c:order val="2"/>
          <c:tx>
            <c:v>350-560 ART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13"/>
              <c:layout>
                <c:manualLayout>
                  <c:x val="0"/>
                  <c:y val="-1.8235560099289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Template'!$F$260:$U$260</c:f>
              <c:numCache>
                <c:formatCode>0.00</c:formatCode>
                <c:ptCount val="16"/>
                <c:pt idx="0">
                  <c:v>28.6</c:v>
                </c:pt>
                <c:pt idx="1">
                  <c:v>28.7</c:v>
                </c:pt>
                <c:pt idx="2">
                  <c:v>28.9</c:v>
                </c:pt>
                <c:pt idx="3">
                  <c:v>28.7</c:v>
                </c:pt>
                <c:pt idx="4">
                  <c:v>34.200000000000003</c:v>
                </c:pt>
                <c:pt idx="5">
                  <c:v>33.700000000000003</c:v>
                </c:pt>
                <c:pt idx="6">
                  <c:v>33</c:v>
                </c:pt>
                <c:pt idx="7">
                  <c:v>33.9</c:v>
                </c:pt>
                <c:pt idx="8">
                  <c:v>33</c:v>
                </c:pt>
                <c:pt idx="9">
                  <c:v>33.5</c:v>
                </c:pt>
                <c:pt idx="10">
                  <c:v>33</c:v>
                </c:pt>
                <c:pt idx="11">
                  <c:v>33</c:v>
                </c:pt>
                <c:pt idx="12">
                  <c:v>33.299999999999997</c:v>
                </c:pt>
                <c:pt idx="13">
                  <c:v>33.9</c:v>
                </c:pt>
                <c:pt idx="14">
                  <c:v>33.799999999999997</c:v>
                </c:pt>
                <c:pt idx="15">
                  <c:v>33.299999999999997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20F-4C46-8445-0D3C8B9A4A3C}"/>
            </c:ext>
          </c:extLst>
        </c:ser>
        <c:ser>
          <c:idx val="6"/>
          <c:order val="3"/>
          <c:tx>
            <c:v>360-560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2D0DA3"/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3C-4730-8B3D-F64CA1962BDA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Template'!$F$259:$U$259</c:f>
              <c:numCache>
                <c:formatCode>0.00</c:formatCode>
                <c:ptCount val="16"/>
                <c:pt idx="0">
                  <c:v>27.861717401079048</c:v>
                </c:pt>
                <c:pt idx="1">
                  <c:v>26.590853070175427</c:v>
                </c:pt>
                <c:pt idx="2">
                  <c:v>26.709643108472942</c:v>
                </c:pt>
                <c:pt idx="3">
                  <c:v>28.462723047627456</c:v>
                </c:pt>
                <c:pt idx="4">
                  <c:v>31.653230900491149</c:v>
                </c:pt>
                <c:pt idx="5">
                  <c:v>32.016206061900093</c:v>
                </c:pt>
                <c:pt idx="6">
                  <c:v>33.52558957598287</c:v>
                </c:pt>
                <c:pt idx="7">
                  <c:v>33.251005323768339</c:v>
                </c:pt>
                <c:pt idx="8">
                  <c:v>32.524569310682892</c:v>
                </c:pt>
                <c:pt idx="9">
                  <c:v>31.891354199092344</c:v>
                </c:pt>
                <c:pt idx="10">
                  <c:v>30.921782239547735</c:v>
                </c:pt>
                <c:pt idx="11">
                  <c:v>29.732082874472358</c:v>
                </c:pt>
                <c:pt idx="12">
                  <c:v>32.285279531046221</c:v>
                </c:pt>
                <c:pt idx="13">
                  <c:v>32.398611062463821</c:v>
                </c:pt>
                <c:pt idx="14">
                  <c:v>33.325964690743525</c:v>
                </c:pt>
                <c:pt idx="15">
                  <c:v>32.89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20F-4C46-8445-0D3C8B9A4A3C}"/>
            </c:ext>
          </c:extLst>
        </c:ser>
        <c:ser>
          <c:idx val="5"/>
          <c:order val="4"/>
          <c:tx>
            <c:v>160-360 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8"/>
              <c:layout>
                <c:manualLayout>
                  <c:x val="-5.1508217385768098E-3"/>
                  <c:y val="-1.3262225526755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63C-4730-8B3D-F64CA1962BDA}"/>
                </c:ext>
              </c:extLst>
            </c:dLbl>
            <c:dLbl>
              <c:idx val="13"/>
              <c:layout>
                <c:manualLayout>
                  <c:x val="-7.2111504340074285E-3"/>
                  <c:y val="1.98933382901336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Template'!$F$257:$U$257</c:f>
              <c:numCache>
                <c:formatCode>0.00</c:formatCode>
                <c:ptCount val="16"/>
                <c:pt idx="0">
                  <c:v>11.2</c:v>
                </c:pt>
                <c:pt idx="1">
                  <c:v>11.2</c:v>
                </c:pt>
                <c:pt idx="2">
                  <c:v>10.6</c:v>
                </c:pt>
                <c:pt idx="3">
                  <c:v>10.5</c:v>
                </c:pt>
                <c:pt idx="4">
                  <c:v>22.5</c:v>
                </c:pt>
                <c:pt idx="5">
                  <c:v>22.2</c:v>
                </c:pt>
                <c:pt idx="6">
                  <c:v>22.1</c:v>
                </c:pt>
                <c:pt idx="7">
                  <c:v>22.9</c:v>
                </c:pt>
                <c:pt idx="8">
                  <c:v>22.8</c:v>
                </c:pt>
                <c:pt idx="9">
                  <c:v>22.9</c:v>
                </c:pt>
                <c:pt idx="10">
                  <c:v>22.8</c:v>
                </c:pt>
                <c:pt idx="11">
                  <c:v>22.1</c:v>
                </c:pt>
                <c:pt idx="12">
                  <c:v>22.8</c:v>
                </c:pt>
                <c:pt idx="13">
                  <c:v>23.9</c:v>
                </c:pt>
                <c:pt idx="14">
                  <c:v>24</c:v>
                </c:pt>
                <c:pt idx="15">
                  <c:v>23.8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20F-4C46-8445-0D3C8B9A4A3C}"/>
            </c:ext>
          </c:extLst>
        </c:ser>
        <c:ser>
          <c:idx val="4"/>
          <c:order val="5"/>
          <c:tx>
            <c:v>160-360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8"/>
              <c:layout>
                <c:manualLayout>
                  <c:x val="-8.2413147817227746E-3"/>
                  <c:y val="1.4920003717600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63C-4730-8B3D-F64CA1962BDA}"/>
                </c:ext>
              </c:extLst>
            </c:dLbl>
            <c:dLbl>
              <c:idx val="13"/>
              <c:layout>
                <c:manualLayout>
                  <c:x val="-5.1508217385767344E-3"/>
                  <c:y val="-1.3262225526755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Template'!$F$256:$U$256</c:f>
              <c:numCache>
                <c:formatCode>0.00</c:formatCode>
                <c:ptCount val="16"/>
                <c:pt idx="0">
                  <c:v>9.1078166179909221</c:v>
                </c:pt>
                <c:pt idx="1">
                  <c:v>9.2432289798269416</c:v>
                </c:pt>
                <c:pt idx="2">
                  <c:v>11.24758190929732</c:v>
                </c:pt>
                <c:pt idx="3">
                  <c:v>10.484340233588583</c:v>
                </c:pt>
                <c:pt idx="4">
                  <c:v>27.257483787944039</c:v>
                </c:pt>
                <c:pt idx="5">
                  <c:v>21.10325390871137</c:v>
                </c:pt>
                <c:pt idx="6">
                  <c:v>22.592844413846635</c:v>
                </c:pt>
                <c:pt idx="7">
                  <c:v>21.793632037229354</c:v>
                </c:pt>
                <c:pt idx="8">
                  <c:v>21.860955424079823</c:v>
                </c:pt>
                <c:pt idx="9">
                  <c:v>21.048322112435873</c:v>
                </c:pt>
                <c:pt idx="10">
                  <c:v>23.170598444730718</c:v>
                </c:pt>
                <c:pt idx="11">
                  <c:v>22.112488807980359</c:v>
                </c:pt>
                <c:pt idx="12">
                  <c:v>23.557206765036682</c:v>
                </c:pt>
                <c:pt idx="13">
                  <c:v>24.541844018372192</c:v>
                </c:pt>
                <c:pt idx="14">
                  <c:v>24.992841627237286</c:v>
                </c:pt>
                <c:pt idx="15">
                  <c:v>22.490791950312349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20F-4C46-8445-0D3C8B9A4A3C}"/>
            </c:ext>
          </c:extLst>
        </c:ser>
        <c:ser>
          <c:idx val="3"/>
          <c:order val="6"/>
          <c:tx>
            <c:v>IBP-160 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8"/>
              <c:layout>
                <c:manualLayout>
                  <c:x val="-3.1090079384152041E-3"/>
                  <c:y val="-1.663511888412146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63C-4730-8B3D-F64CA1962BDA}"/>
                </c:ext>
              </c:extLst>
            </c:dLbl>
            <c:dLbl>
              <c:idx val="13"/>
              <c:layout>
                <c:manualLayout>
                  <c:x val="0"/>
                  <c:y val="-1.32622255267558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Template'!$F$254:$U$254</c:f>
              <c:numCache>
                <c:formatCode>0.00</c:formatCode>
                <c:ptCount val="16"/>
                <c:pt idx="0" formatCode="General">
                  <c:v>2.2000000000000002</c:v>
                </c:pt>
                <c:pt idx="1">
                  <c:v>2</c:v>
                </c:pt>
                <c:pt idx="2">
                  <c:v>1.7</c:v>
                </c:pt>
                <c:pt idx="3">
                  <c:v>1.7</c:v>
                </c:pt>
                <c:pt idx="4">
                  <c:v>4.9000000000000004</c:v>
                </c:pt>
                <c:pt idx="5">
                  <c:v>5.0999999999999996</c:v>
                </c:pt>
                <c:pt idx="6">
                  <c:v>5.6</c:v>
                </c:pt>
                <c:pt idx="7">
                  <c:v>5.8</c:v>
                </c:pt>
                <c:pt idx="8">
                  <c:v>5.9</c:v>
                </c:pt>
                <c:pt idx="9">
                  <c:v>5.8</c:v>
                </c:pt>
                <c:pt idx="10">
                  <c:v>5.7</c:v>
                </c:pt>
                <c:pt idx="11">
                  <c:v>5.5</c:v>
                </c:pt>
                <c:pt idx="12">
                  <c:v>5.7</c:v>
                </c:pt>
                <c:pt idx="13">
                  <c:v>5.9</c:v>
                </c:pt>
                <c:pt idx="14">
                  <c:v>6</c:v>
                </c:pt>
                <c:pt idx="15">
                  <c:v>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20F-4C46-8445-0D3C8B9A4A3C}"/>
            </c:ext>
          </c:extLst>
        </c:ser>
        <c:ser>
          <c:idx val="2"/>
          <c:order val="7"/>
          <c:tx>
            <c:v>IBP-160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2D0DA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3.3220687627361981E-2"/>
                  <c:y val="-3.389819650917973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4.0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CB8-45F9-ADD8-22C93EF90762}"/>
                </c:ext>
              </c:extLst>
            </c:dLbl>
            <c:dLbl>
              <c:idx val="13"/>
              <c:layout>
                <c:manualLayout>
                  <c:x val="-4.6526637904547689E-2"/>
                  <c:y val="-2.67892785932042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Template'!$F$253:$U$253</c:f>
              <c:numCache>
                <c:formatCode>0.00</c:formatCode>
                <c:ptCount val="16"/>
                <c:pt idx="0">
                  <c:v>2.5968810886214557</c:v>
                </c:pt>
                <c:pt idx="1">
                  <c:v>3.2606596959412277</c:v>
                </c:pt>
                <c:pt idx="2">
                  <c:v>3.2016331425853761</c:v>
                </c:pt>
                <c:pt idx="3">
                  <c:v>2.0171338085176176</c:v>
                </c:pt>
                <c:pt idx="4">
                  <c:v>5.2672949833553293</c:v>
                </c:pt>
                <c:pt idx="5" formatCode="0">
                  <c:v>3.9626486227727034</c:v>
                </c:pt>
                <c:pt idx="6">
                  <c:v>3.996775867293616</c:v>
                </c:pt>
                <c:pt idx="7">
                  <c:v>3.9844214083957294</c:v>
                </c:pt>
                <c:pt idx="8">
                  <c:v>3.4367920850049569</c:v>
                </c:pt>
                <c:pt idx="9">
                  <c:v>3.4615297465687429</c:v>
                </c:pt>
                <c:pt idx="10">
                  <c:v>4.6586744214554336</c:v>
                </c:pt>
                <c:pt idx="11">
                  <c:v>4.8207816823665048</c:v>
                </c:pt>
                <c:pt idx="12">
                  <c:v>3.9777284993659281</c:v>
                </c:pt>
                <c:pt idx="13">
                  <c:v>4.7904010542234978</c:v>
                </c:pt>
                <c:pt idx="14">
                  <c:v>4.3962036535575333</c:v>
                </c:pt>
                <c:pt idx="15">
                  <c:v>5.30037584942139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20F-4C46-8445-0D3C8B9A4A3C}"/>
            </c:ext>
          </c:extLst>
        </c:ser>
        <c:ser>
          <c:idx val="1"/>
          <c:order val="8"/>
          <c:tx>
            <c:v>C4 minus 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-3.7101171535221723E-2"/>
                  <c:y val="-8.53256766863645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63C-4730-8B3D-F64CA1962BDA}"/>
                </c:ext>
              </c:extLst>
            </c:dLbl>
            <c:dLbl>
              <c:idx val="13"/>
              <c:layout>
                <c:manualLayout>
                  <c:x val="2.0603286954306937E-3"/>
                  <c:y val="1.3262225526755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Template'!$F$241:$U$241</c:f>
              <c:numCache>
                <c:formatCode>0.00</c:formatCode>
                <c:ptCount val="16"/>
                <c:pt idx="0">
                  <c:v>1.6</c:v>
                </c:pt>
                <c:pt idx="1">
                  <c:v>1.7</c:v>
                </c:pt>
                <c:pt idx="2">
                  <c:v>1.6</c:v>
                </c:pt>
                <c:pt idx="3">
                  <c:v>1.7</c:v>
                </c:pt>
                <c:pt idx="4">
                  <c:v>3.5</c:v>
                </c:pt>
                <c:pt idx="5">
                  <c:v>3.6</c:v>
                </c:pt>
                <c:pt idx="6">
                  <c:v>4.0999999999999996</c:v>
                </c:pt>
                <c:pt idx="7">
                  <c:v>3.5</c:v>
                </c:pt>
                <c:pt idx="8">
                  <c:v>4.0999999999999996</c:v>
                </c:pt>
                <c:pt idx="9">
                  <c:v>3.8</c:v>
                </c:pt>
                <c:pt idx="10">
                  <c:v>4</c:v>
                </c:pt>
                <c:pt idx="11">
                  <c:v>3.8</c:v>
                </c:pt>
                <c:pt idx="12">
                  <c:v>3.8</c:v>
                </c:pt>
                <c:pt idx="13">
                  <c:v>4.05</c:v>
                </c:pt>
                <c:pt idx="14">
                  <c:v>4.09</c:v>
                </c:pt>
                <c:pt idx="15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0F-4C46-8445-0D3C8B9A4A3C}"/>
            </c:ext>
          </c:extLst>
        </c:ser>
        <c:ser>
          <c:idx val="0"/>
          <c:order val="9"/>
          <c:tx>
            <c:v>C4 minus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Template'!$F$240:$U$240</c:f>
              <c:numCache>
                <c:formatCode>0.00</c:formatCode>
                <c:ptCount val="16"/>
                <c:pt idx="0">
                  <c:v>2.0647068812202307</c:v>
                </c:pt>
                <c:pt idx="1">
                  <c:v>0.95894702192561521</c:v>
                </c:pt>
                <c:pt idx="2">
                  <c:v>1.2466702579060671</c:v>
                </c:pt>
                <c:pt idx="3">
                  <c:v>1.3112610227983013</c:v>
                </c:pt>
                <c:pt idx="4">
                  <c:v>3.9715540890735079</c:v>
                </c:pt>
                <c:pt idx="5">
                  <c:v>3.3804224996417647</c:v>
                </c:pt>
                <c:pt idx="6">
                  <c:v>3.019385294061538</c:v>
                </c:pt>
                <c:pt idx="7">
                  <c:v>2.9775989185061986</c:v>
                </c:pt>
                <c:pt idx="8">
                  <c:v>3.1152367746875638</c:v>
                </c:pt>
                <c:pt idx="9">
                  <c:v>3.0880012041213414</c:v>
                </c:pt>
                <c:pt idx="10">
                  <c:v>3.5661328899180895</c:v>
                </c:pt>
                <c:pt idx="11">
                  <c:v>3.9748063348098959</c:v>
                </c:pt>
                <c:pt idx="12">
                  <c:v>3.6690019009425954</c:v>
                </c:pt>
                <c:pt idx="13">
                  <c:v>3.6565880511030353</c:v>
                </c:pt>
                <c:pt idx="14">
                  <c:v>3.3120378895696954</c:v>
                </c:pt>
                <c:pt idx="15">
                  <c:v>3.7896836077903671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0F-4C46-8445-0D3C8B9A4A3C}"/>
            </c:ext>
          </c:extLst>
        </c:ser>
        <c:ser>
          <c:idx val="10"/>
          <c:order val="10"/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12700">
                <a:solidFill>
                  <a:schemeClr val="tx1"/>
                </a:solidFill>
                <a:prstDash val="sysDot"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28575">
                  <a:solidFill>
                    <a:schemeClr val="tx1"/>
                  </a:solidFill>
                  <a:prstDash val="sysDot"/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C3-46A3-9A2B-F8AA1BB9579D}"/>
              </c:ext>
            </c:extLst>
          </c:dPt>
          <c:xVal>
            <c:numRef>
              <c:f>'Breakdown Yld'!$Y$8:$Y$9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'Breakdown Yld'!$Z$8:$Z$9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C3-46A3-9A2B-F8AA1BB9579D}"/>
            </c:ext>
          </c:extLst>
        </c:ser>
        <c:ser>
          <c:idx val="11"/>
          <c:order val="11"/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28575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</c:marker>
          <c:xVal>
            <c:numRef>
              <c:f>'Breakdown Yld'!$Y$11:$Y$12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'Breakdown Yld'!$Z$11:$Z$12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C3-46A3-9A2B-F8AA1BB95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</c:scatterChart>
      <c:valAx>
        <c:axId val="628797440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5014978271980749"/>
              <c:y val="0.954517988335159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%wt of</a:t>
                </a:r>
                <a:r>
                  <a:rPr lang="en-US" sz="2000" b="1" baseline="0"/>
                  <a:t> Feed</a:t>
                </a:r>
                <a:endParaRPr lang="en-US" sz="2000" b="1"/>
              </a:p>
            </c:rich>
          </c:tx>
          <c:layout>
            <c:manualLayout>
              <c:xMode val="edge"/>
              <c:yMode val="edge"/>
              <c:x val="3.6426311028905103E-2"/>
              <c:y val="0.451226334392137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89089972306825005"/>
          <c:y val="0.19752310389576391"/>
          <c:w val="0.10675367102378217"/>
          <c:h val="0.41987166480741794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7434252283779"/>
          <c:y val="0.22658432730016859"/>
          <c:w val="0.70588965801652126"/>
          <c:h val="0.63488739962207974"/>
        </c:manualLayout>
      </c:layout>
      <c:scatterChart>
        <c:scatterStyle val="lineMarker"/>
        <c:varyColors val="0"/>
        <c:ser>
          <c:idx val="20"/>
          <c:order val="0"/>
          <c:tx>
            <c:v>H2S_ART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7.6647622608161515E-17"/>
                  <c:y val="-1.0482751334280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0B-4581-BBD4-1287BD2F1F67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6"/>
              <c:pt idx="0">
                <c:v>6</c:v>
              </c:pt>
              <c:pt idx="1">
                <c:v>8</c:v>
              </c:pt>
              <c:pt idx="2">
                <c:v>10</c:v>
              </c:pt>
              <c:pt idx="3">
                <c:v>12</c:v>
              </c:pt>
              <c:pt idx="4">
                <c:v>13</c:v>
              </c:pt>
              <c:pt idx="5">
                <c:v>15</c:v>
              </c:pt>
            </c:numLit>
          </c:xVal>
          <c:yVal>
            <c:numRef>
              <c:f>('Master Template'!$K$227,'Master Template'!$M$227,'Master Template'!$O$227,'Master Template'!$Q$227,'Master Template'!$S$227,'Master Template'!$T$227)</c:f>
              <c:numCache>
                <c:formatCode>0.00</c:formatCode>
                <c:ptCount val="6"/>
                <c:pt idx="0">
                  <c:v>5.4</c:v>
                </c:pt>
                <c:pt idx="1">
                  <c:v>5.3</c:v>
                </c:pt>
                <c:pt idx="2">
                  <c:v>5.3</c:v>
                </c:pt>
                <c:pt idx="3">
                  <c:v>3.9</c:v>
                </c:pt>
                <c:pt idx="4">
                  <c:v>3.9</c:v>
                </c:pt>
                <c:pt idx="5">
                  <c:v>3.9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3BE-479C-B713-C8C537430883}"/>
            </c:ext>
          </c:extLst>
        </c:ser>
        <c:ser>
          <c:idx val="17"/>
          <c:order val="1"/>
          <c:tx>
            <c:v>H2S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D3BE-479C-B713-C8C537430883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BE-479C-B713-C8C537430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Template'!$F$226:$U$226</c:f>
              <c:numCache>
                <c:formatCode>0.00</c:formatCode>
                <c:ptCount val="16"/>
                <c:pt idx="0">
                  <c:v>4.3586047506461458</c:v>
                </c:pt>
                <c:pt idx="1">
                  <c:v>4.4776438627679482</c:v>
                </c:pt>
                <c:pt idx="2">
                  <c:v>4.4059811949534708</c:v>
                </c:pt>
                <c:pt idx="3">
                  <c:v>4.4044951717979206</c:v>
                </c:pt>
                <c:pt idx="4">
                  <c:v>5.2065096124024643</c:v>
                </c:pt>
                <c:pt idx="5">
                  <c:v>5.2731713539487108</c:v>
                </c:pt>
                <c:pt idx="6">
                  <c:v>5.0110897526733496</c:v>
                </c:pt>
                <c:pt idx="7">
                  <c:v>5.0540510105263134</c:v>
                </c:pt>
                <c:pt idx="8">
                  <c:v>5.0022180293669196</c:v>
                </c:pt>
                <c:pt idx="9">
                  <c:v>4.9544867629730085</c:v>
                </c:pt>
                <c:pt idx="10">
                  <c:v>4.5720924329603045</c:v>
                </c:pt>
                <c:pt idx="11">
                  <c:v>4.7464830544024794</c:v>
                </c:pt>
                <c:pt idx="12">
                  <c:v>4.6901182801499441</c:v>
                </c:pt>
                <c:pt idx="13">
                  <c:v>4.7326402863900432</c:v>
                </c:pt>
                <c:pt idx="14">
                  <c:v>4.6567776110055297</c:v>
                </c:pt>
                <c:pt idx="15">
                  <c:v>4.8205706530713801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BE-479C-B713-C8C537430883}"/>
            </c:ext>
          </c:extLst>
        </c:ser>
        <c:ser>
          <c:idx val="18"/>
          <c:order val="2"/>
          <c:tx>
            <c:v>C1_TOP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9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Lbls>
            <c:dLbl>
              <c:idx val="6"/>
              <c:layout>
                <c:manualLayout>
                  <c:x val="0"/>
                  <c:y val="-1.32262290354724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D3BE-479C-B713-C8C537430883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Template'!$F$213:$U$213</c:f>
              <c:numCache>
                <c:formatCode>0.00</c:formatCode>
                <c:ptCount val="16"/>
                <c:pt idx="0">
                  <c:v>0.458736868893591</c:v>
                </c:pt>
                <c:pt idx="1">
                  <c:v>0.26965001923473669</c:v>
                </c:pt>
                <c:pt idx="2">
                  <c:v>0.31768278003571337</c:v>
                </c:pt>
                <c:pt idx="3">
                  <c:v>0.4358721400534934</c:v>
                </c:pt>
                <c:pt idx="4">
                  <c:v>1.1721185339645743</c:v>
                </c:pt>
                <c:pt idx="5">
                  <c:v>1.1195159273923156</c:v>
                </c:pt>
                <c:pt idx="6">
                  <c:v>1.0210828855904404</c:v>
                </c:pt>
                <c:pt idx="7">
                  <c:v>0.9404329603224475</c:v>
                </c:pt>
                <c:pt idx="8">
                  <c:v>1.0249256055343356</c:v>
                </c:pt>
                <c:pt idx="9">
                  <c:v>1.0912678723297837</c:v>
                </c:pt>
                <c:pt idx="10">
                  <c:v>1.1931009467954974</c:v>
                </c:pt>
                <c:pt idx="11">
                  <c:v>1.3072145685502681</c:v>
                </c:pt>
                <c:pt idx="12">
                  <c:v>1.1795186991554152</c:v>
                </c:pt>
                <c:pt idx="13">
                  <c:v>1.223105283892477</c:v>
                </c:pt>
                <c:pt idx="14">
                  <c:v>1.1101349909012119</c:v>
                </c:pt>
                <c:pt idx="15">
                  <c:v>1.2244307599161801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BE-479C-B713-C8C537430883}"/>
            </c:ext>
          </c:extLst>
        </c:ser>
        <c:ser>
          <c:idx val="19"/>
          <c:order val="3"/>
          <c:tx>
            <c:v>C1_ART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8"/>
            <c:spPr>
              <a:solidFill>
                <a:schemeClr val="accent2"/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1.1411435254685831E-2"/>
                  <c:y val="-2.20179512316383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14</c:v>
              </c:pt>
            </c:numLit>
          </c:xVal>
          <c:yVal>
            <c:numRef>
              <c:f>('Master Template'!$K$214,'Master Template'!$M$214,'Master Template'!$Q$214,'Master Template'!$S$214)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1.1000000000000001</c:v>
                </c:pt>
                <c:pt idx="3">
                  <c:v>1.1000000000000001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3BE-479C-B713-C8C537430883}"/>
            </c:ext>
          </c:extLst>
        </c:ser>
        <c:ser>
          <c:idx val="14"/>
          <c:order val="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'Breakdown Yld'!$Y$8:$Y$9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'Breakdown Yld'!$Z$8:$Z$9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3BE-479C-B713-C8C537430883}"/>
            </c:ext>
          </c:extLst>
        </c:ser>
        <c:ser>
          <c:idx val="15"/>
          <c:order val="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'Breakdown Yld'!$Y$11:$Y$12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'Breakdown Yld'!$Z$11:$Z$12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3BE-479C-B713-C8C537430883}"/>
            </c:ext>
          </c:extLst>
        </c:ser>
        <c:ser>
          <c:idx val="22"/>
          <c:order val="15"/>
          <c:tx>
            <c:v>C2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8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Template'!$F$215:$U$215</c:f>
              <c:numCache>
                <c:formatCode>0.00</c:formatCode>
                <c:ptCount val="16"/>
                <c:pt idx="0">
                  <c:v>0.46374486215538846</c:v>
                </c:pt>
                <c:pt idx="1">
                  <c:v>0.21782283105022832</c:v>
                </c:pt>
                <c:pt idx="2">
                  <c:v>0.24877949061478188</c:v>
                </c:pt>
                <c:pt idx="3">
                  <c:v>0.33196273126580594</c:v>
                </c:pt>
                <c:pt idx="4">
                  <c:v>1.2389367701830423</c:v>
                </c:pt>
                <c:pt idx="5">
                  <c:v>0.84476644155008829</c:v>
                </c:pt>
                <c:pt idx="6">
                  <c:v>0.76773638476865158</c:v>
                </c:pt>
                <c:pt idx="7">
                  <c:v>0.73597279540394389</c:v>
                </c:pt>
                <c:pt idx="8">
                  <c:v>0.79446892010886971</c:v>
                </c:pt>
                <c:pt idx="9">
                  <c:v>0.78787649091627177</c:v>
                </c:pt>
                <c:pt idx="10">
                  <c:v>0.87363243243243249</c:v>
                </c:pt>
                <c:pt idx="11">
                  <c:v>0.9771922844558778</c:v>
                </c:pt>
                <c:pt idx="12">
                  <c:v>0.90243639080715821</c:v>
                </c:pt>
                <c:pt idx="13">
                  <c:v>0.9013777292152293</c:v>
                </c:pt>
                <c:pt idx="14">
                  <c:v>0.83117991246256617</c:v>
                </c:pt>
                <c:pt idx="15">
                  <c:v>0.81658733793267513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3BE-479C-B713-C8C537430883}"/>
            </c:ext>
          </c:extLst>
        </c:ser>
        <c:ser>
          <c:idx val="24"/>
          <c:order val="17"/>
          <c:tx>
            <c:v>C3</c:v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-2.0526416932903991E-3"/>
                  <c:y val="-1.0255770139696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D3BE-479C-B713-C8C537430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Template'!$F$219:$U$219</c:f>
              <c:numCache>
                <c:formatCode>0.00</c:formatCode>
                <c:ptCount val="16"/>
                <c:pt idx="0">
                  <c:v>0.60202485578688292</c:v>
                </c:pt>
                <c:pt idx="1">
                  <c:v>0.24654303785483878</c:v>
                </c:pt>
                <c:pt idx="2">
                  <c:v>0.27675284806313255</c:v>
                </c:pt>
                <c:pt idx="3">
                  <c:v>0.32907607883507767</c:v>
                </c:pt>
                <c:pt idx="4">
                  <c:v>0.81229247662038484</c:v>
                </c:pt>
                <c:pt idx="5">
                  <c:v>0.85251079763839177</c:v>
                </c:pt>
                <c:pt idx="6">
                  <c:v>0.74941886056587304</c:v>
                </c:pt>
                <c:pt idx="7">
                  <c:v>0.7789027064307642</c:v>
                </c:pt>
                <c:pt idx="8">
                  <c:v>0.79849829109717718</c:v>
                </c:pt>
                <c:pt idx="9">
                  <c:v>0.74774028478561849</c:v>
                </c:pt>
                <c:pt idx="10">
                  <c:v>0.9019021013930778</c:v>
                </c:pt>
                <c:pt idx="11">
                  <c:v>1.0055149575191531</c:v>
                </c:pt>
                <c:pt idx="12">
                  <c:v>0.93960921098334027</c:v>
                </c:pt>
                <c:pt idx="13">
                  <c:v>0.92192233979195803</c:v>
                </c:pt>
                <c:pt idx="14">
                  <c:v>0.83621997233424927</c:v>
                </c:pt>
                <c:pt idx="15">
                  <c:v>0.97510342747396761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3BE-479C-B713-C8C537430883}"/>
            </c:ext>
          </c:extLst>
        </c:ser>
        <c:ser>
          <c:idx val="26"/>
          <c:order val="18"/>
          <c:tx>
            <c:v>C4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Template'!$F$222:$U$222</c:f>
              <c:numCache>
                <c:formatCode>0.00</c:formatCode>
                <c:ptCount val="16"/>
                <c:pt idx="0">
                  <c:v>0.53319166349770675</c:v>
                </c:pt>
                <c:pt idx="1">
                  <c:v>0.21905342483680806</c:v>
                </c:pt>
                <c:pt idx="2">
                  <c:v>0.40210285672421986</c:v>
                </c:pt>
                <c:pt idx="3">
                  <c:v>0.19771852251838923</c:v>
                </c:pt>
                <c:pt idx="4">
                  <c:v>0.54520036543674122</c:v>
                </c:pt>
                <c:pt idx="5">
                  <c:v>0.51045580092019549</c:v>
                </c:pt>
                <c:pt idx="6">
                  <c:v>0.44975786224978676</c:v>
                </c:pt>
                <c:pt idx="7">
                  <c:v>0.49227486637441237</c:v>
                </c:pt>
                <c:pt idx="8">
                  <c:v>0.47424334390395589</c:v>
                </c:pt>
                <c:pt idx="9">
                  <c:v>0.42049370799119579</c:v>
                </c:pt>
                <c:pt idx="10">
                  <c:v>0.5458058011828788</c:v>
                </c:pt>
                <c:pt idx="11">
                  <c:v>0.62328961864930421</c:v>
                </c:pt>
                <c:pt idx="12">
                  <c:v>0.6050273153854594</c:v>
                </c:pt>
                <c:pt idx="13">
                  <c:v>0.55046704348121722</c:v>
                </c:pt>
                <c:pt idx="14">
                  <c:v>0.51268268633690672</c:v>
                </c:pt>
                <c:pt idx="15">
                  <c:v>0.62285505940803498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3BE-479C-B713-C8C537430883}"/>
            </c:ext>
          </c:extLst>
        </c:ser>
        <c:ser>
          <c:idx val="27"/>
          <c:order val="19"/>
          <c:tx>
            <c:v>C4_ART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4.427991349251887E-2"/>
                  <c:y val="6.50674540539466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13</c:v>
              </c:pt>
            </c:numLit>
          </c:xVal>
          <c:yVal>
            <c:numRef>
              <c:f>('Master Template'!$K$223,'Master Template'!$M$223,'Master Template'!$Q$223,'Master Template'!$R$223)</c:f>
              <c:numCache>
                <c:formatCode>0.00</c:formatCode>
                <c:ptCount val="4"/>
                <c:pt idx="0">
                  <c:v>0.81</c:v>
                </c:pt>
                <c:pt idx="1">
                  <c:v>0.83</c:v>
                </c:pt>
                <c:pt idx="2">
                  <c:v>0.75</c:v>
                </c:pt>
                <c:pt idx="3">
                  <c:v>0.75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D3BE-479C-B713-C8C537430883}"/>
            </c:ext>
          </c:extLst>
        </c:ser>
        <c:ser>
          <c:idx val="28"/>
          <c:order val="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D3BE-479C-B713-C8C537430883}"/>
              </c:ext>
            </c:extLst>
          </c:dPt>
          <c:xVal>
            <c:numRef>
              <c:f>'Breakdown Yld'!$Y$8:$Y$12</c:f>
              <c:numCache>
                <c:formatCode>General</c:formatCode>
                <c:ptCount val="5"/>
                <c:pt idx="0">
                  <c:v>4.5</c:v>
                </c:pt>
                <c:pt idx="1">
                  <c:v>4.5</c:v>
                </c:pt>
                <c:pt idx="3">
                  <c:v>10.5</c:v>
                </c:pt>
                <c:pt idx="4">
                  <c:v>10.5</c:v>
                </c:pt>
              </c:numCache>
            </c:numRef>
          </c:xVal>
          <c:yVal>
            <c:numRef>
              <c:f>'Breakdown Yld'!$Z$8:$Z$12</c:f>
              <c:numCache>
                <c:formatCode>General</c:formatCode>
                <c:ptCount val="5"/>
                <c:pt idx="0">
                  <c:v>-10</c:v>
                </c:pt>
                <c:pt idx="1">
                  <c:v>100</c:v>
                </c:pt>
                <c:pt idx="3">
                  <c:v>-10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3BE-479C-B713-C8C537430883}"/>
            </c:ext>
          </c:extLst>
        </c:ser>
        <c:ser>
          <c:idx val="2"/>
          <c:order val="23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CrkConv!$J$49:$J$50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CrkConv!$K$49:$K$50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D3BE-479C-B713-C8C537430883}"/>
            </c:ext>
          </c:extLst>
        </c:ser>
        <c:ser>
          <c:idx val="3"/>
          <c:order val="24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xVal>
            <c:numRef>
              <c:f>CrkConv!$J$52:$J$53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CrkConv!$K$52:$K$53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3BE-479C-B713-C8C537430883}"/>
            </c:ext>
          </c:extLst>
        </c:ser>
        <c:ser>
          <c:idx val="21"/>
          <c:order val="26"/>
          <c:tx>
            <c:v>NH3_ART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1.0116702640488493E-3"/>
                  <c:y val="1.02842986572759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14</c:v>
              </c:pt>
            </c:numLit>
          </c:xVal>
          <c:yVal>
            <c:numRef>
              <c:f>('Master Template'!$K$229,'Master Template'!$M$229,'Master Template'!$Q$229,'Master Template'!$S$229)</c:f>
              <c:numCache>
                <c:formatCode>0.00</c:formatCode>
                <c:ptCount val="4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D3BE-479C-B713-C8C537430883}"/>
            </c:ext>
          </c:extLst>
        </c:ser>
        <c:ser>
          <c:idx val="16"/>
          <c:order val="27"/>
          <c:tx>
            <c:v>NH3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4.0914829821691884E-3"/>
                  <c:y val="-2.906022881154647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3BE-479C-B713-C8C537430883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10B-4581-BBD4-1287BD2F1F67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3BE-479C-B713-C8C537430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Template'!$F$228:$U$228</c:f>
              <c:numCache>
                <c:formatCode>0.00</c:formatCode>
                <c:ptCount val="16"/>
                <c:pt idx="0">
                  <c:v>0.3195249321006598</c:v>
                </c:pt>
                <c:pt idx="1">
                  <c:v>0.32474481204506156</c:v>
                </c:pt>
                <c:pt idx="2">
                  <c:v>0.35873084341345679</c:v>
                </c:pt>
                <c:pt idx="3">
                  <c:v>0.3276390589504552</c:v>
                </c:pt>
                <c:pt idx="4">
                  <c:v>0.48740451146244906</c:v>
                </c:pt>
                <c:pt idx="5">
                  <c:v>0.44825446861686119</c:v>
                </c:pt>
                <c:pt idx="6">
                  <c:v>0.39374003490860859</c:v>
                </c:pt>
                <c:pt idx="7">
                  <c:v>0.40900913479976236</c:v>
                </c:pt>
                <c:pt idx="8">
                  <c:v>0.34830312776472866</c:v>
                </c:pt>
                <c:pt idx="9">
                  <c:v>0.3839648455813543</c:v>
                </c:pt>
                <c:pt idx="10">
                  <c:v>0.45701403215894448</c:v>
                </c:pt>
                <c:pt idx="11">
                  <c:v>0.40535973816623216</c:v>
                </c:pt>
                <c:pt idx="12">
                  <c:v>0.33157947805055943</c:v>
                </c:pt>
                <c:pt idx="13">
                  <c:v>0.3643581166526923</c:v>
                </c:pt>
                <c:pt idx="14">
                  <c:v>0.33788339941892431</c:v>
                </c:pt>
                <c:pt idx="15">
                  <c:v>0.46732334300133738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3BE-479C-B713-C8C537430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4"/>
                <c:tx>
                  <c:v>C4 minus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4"/>
                    <c:pt idx="0">
                      <c:v>6</c:v>
                    </c:pt>
                    <c:pt idx="1">
                      <c:v>8</c:v>
                    </c:pt>
                    <c:pt idx="2">
                      <c:v>12</c:v>
                    </c:pt>
                    <c:pt idx="3">
                      <c:v>13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Template'!$F$241:$U$241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1.6</c:v>
                      </c:pt>
                      <c:pt idx="1">
                        <c:v>1.7</c:v>
                      </c:pt>
                      <c:pt idx="2">
                        <c:v>1.6</c:v>
                      </c:pt>
                      <c:pt idx="3">
                        <c:v>1.7</c:v>
                      </c:pt>
                      <c:pt idx="4">
                        <c:v>3.5</c:v>
                      </c:pt>
                      <c:pt idx="5">
                        <c:v>3.6</c:v>
                      </c:pt>
                      <c:pt idx="6">
                        <c:v>4.0999999999999996</c:v>
                      </c:pt>
                      <c:pt idx="7">
                        <c:v>3.5</c:v>
                      </c:pt>
                      <c:pt idx="8">
                        <c:v>4.0999999999999996</c:v>
                      </c:pt>
                      <c:pt idx="9">
                        <c:v>3.8</c:v>
                      </c:pt>
                      <c:pt idx="10">
                        <c:v>4</c:v>
                      </c:pt>
                      <c:pt idx="11">
                        <c:v>3.8</c:v>
                      </c:pt>
                      <c:pt idx="12">
                        <c:v>3.8</c:v>
                      </c:pt>
                      <c:pt idx="13">
                        <c:v>4.05</c:v>
                      </c:pt>
                      <c:pt idx="14">
                        <c:v>4.09</c:v>
                      </c:pt>
                      <c:pt idx="15">
                        <c:v>4.0999999999999996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0-D3BE-479C-B713-C8C537430883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IBP-160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Template'!$F$253:$U$253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2.5968810886214557</c:v>
                      </c:pt>
                      <c:pt idx="1">
                        <c:v>3.2606596959412277</c:v>
                      </c:pt>
                      <c:pt idx="2">
                        <c:v>3.2016331425853761</c:v>
                      </c:pt>
                      <c:pt idx="3">
                        <c:v>2.0171338085176176</c:v>
                      </c:pt>
                      <c:pt idx="4">
                        <c:v>5.2672949833553293</c:v>
                      </c:pt>
                      <c:pt idx="5" formatCode="0">
                        <c:v>3.9626486227727034</c:v>
                      </c:pt>
                      <c:pt idx="6">
                        <c:v>3.996775867293616</c:v>
                      </c:pt>
                      <c:pt idx="7">
                        <c:v>3.9844214083957294</c:v>
                      </c:pt>
                      <c:pt idx="8">
                        <c:v>3.4367920850049569</c:v>
                      </c:pt>
                      <c:pt idx="9">
                        <c:v>3.4615297465687429</c:v>
                      </c:pt>
                      <c:pt idx="10">
                        <c:v>4.6586744214554336</c:v>
                      </c:pt>
                      <c:pt idx="11">
                        <c:v>4.8207816823665048</c:v>
                      </c:pt>
                      <c:pt idx="12">
                        <c:v>3.9777284993659281</c:v>
                      </c:pt>
                      <c:pt idx="13">
                        <c:v>4.7904010542234978</c:v>
                      </c:pt>
                      <c:pt idx="14">
                        <c:v>4.3962036535575333</c:v>
                      </c:pt>
                      <c:pt idx="15">
                        <c:v>5.30037584942139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D3BE-479C-B713-C8C537430883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IBP-160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Template'!$F$254:$U$254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2.2000000000000002</c:v>
                      </c:pt>
                      <c:pt idx="1">
                        <c:v>2</c:v>
                      </c:pt>
                      <c:pt idx="2">
                        <c:v>1.7</c:v>
                      </c:pt>
                      <c:pt idx="3">
                        <c:v>1.7</c:v>
                      </c:pt>
                      <c:pt idx="4">
                        <c:v>4.9000000000000004</c:v>
                      </c:pt>
                      <c:pt idx="5">
                        <c:v>5.0999999999999996</c:v>
                      </c:pt>
                      <c:pt idx="6">
                        <c:v>5.6</c:v>
                      </c:pt>
                      <c:pt idx="7">
                        <c:v>5.8</c:v>
                      </c:pt>
                      <c:pt idx="8">
                        <c:v>5.9</c:v>
                      </c:pt>
                      <c:pt idx="9">
                        <c:v>5.8</c:v>
                      </c:pt>
                      <c:pt idx="10">
                        <c:v>5.7</c:v>
                      </c:pt>
                      <c:pt idx="11">
                        <c:v>5.5</c:v>
                      </c:pt>
                      <c:pt idx="12">
                        <c:v>5.7</c:v>
                      </c:pt>
                      <c:pt idx="13">
                        <c:v>5.9</c:v>
                      </c:pt>
                      <c:pt idx="14">
                        <c:v>6</c:v>
                      </c:pt>
                      <c:pt idx="15">
                        <c:v>6.1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D3BE-479C-B713-C8C537430883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160-360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Template'!$F$256:$U$256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9.1078166179909221</c:v>
                      </c:pt>
                      <c:pt idx="1">
                        <c:v>9.2432289798269416</c:v>
                      </c:pt>
                      <c:pt idx="2">
                        <c:v>11.24758190929732</c:v>
                      </c:pt>
                      <c:pt idx="3">
                        <c:v>10.484340233588583</c:v>
                      </c:pt>
                      <c:pt idx="4">
                        <c:v>27.257483787944039</c:v>
                      </c:pt>
                      <c:pt idx="5">
                        <c:v>21.10325390871137</c:v>
                      </c:pt>
                      <c:pt idx="6">
                        <c:v>22.592844413846635</c:v>
                      </c:pt>
                      <c:pt idx="7">
                        <c:v>21.793632037229354</c:v>
                      </c:pt>
                      <c:pt idx="8">
                        <c:v>21.860955424079823</c:v>
                      </c:pt>
                      <c:pt idx="9">
                        <c:v>21.048322112435873</c:v>
                      </c:pt>
                      <c:pt idx="10">
                        <c:v>23.170598444730718</c:v>
                      </c:pt>
                      <c:pt idx="11">
                        <c:v>22.112488807980359</c:v>
                      </c:pt>
                      <c:pt idx="12">
                        <c:v>23.557206765036682</c:v>
                      </c:pt>
                      <c:pt idx="13">
                        <c:v>24.541844018372192</c:v>
                      </c:pt>
                      <c:pt idx="14">
                        <c:v>24.992841627237286</c:v>
                      </c:pt>
                      <c:pt idx="15">
                        <c:v>22.490791950312349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D3BE-479C-B713-C8C537430883}"/>
                  </c:ext>
                </c:extLst>
              </c15:ser>
            </c15:filteredScatterSeries>
            <c15:filteredScatterSeries>
              <c15:ser>
                <c:idx val="9"/>
                <c:order val="8"/>
                <c:tx>
                  <c:v>160-360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Template'!$F$257:$U$257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11.2</c:v>
                      </c:pt>
                      <c:pt idx="1">
                        <c:v>11.2</c:v>
                      </c:pt>
                      <c:pt idx="2">
                        <c:v>10.6</c:v>
                      </c:pt>
                      <c:pt idx="3">
                        <c:v>10.5</c:v>
                      </c:pt>
                      <c:pt idx="4">
                        <c:v>22.5</c:v>
                      </c:pt>
                      <c:pt idx="5">
                        <c:v>22.2</c:v>
                      </c:pt>
                      <c:pt idx="6">
                        <c:v>22.1</c:v>
                      </c:pt>
                      <c:pt idx="7">
                        <c:v>22.9</c:v>
                      </c:pt>
                      <c:pt idx="8">
                        <c:v>22.8</c:v>
                      </c:pt>
                      <c:pt idx="9">
                        <c:v>22.9</c:v>
                      </c:pt>
                      <c:pt idx="10">
                        <c:v>22.8</c:v>
                      </c:pt>
                      <c:pt idx="11">
                        <c:v>22.1</c:v>
                      </c:pt>
                      <c:pt idx="12">
                        <c:v>22.8</c:v>
                      </c:pt>
                      <c:pt idx="13">
                        <c:v>23.9</c:v>
                      </c:pt>
                      <c:pt idx="14">
                        <c:v>24</c:v>
                      </c:pt>
                      <c:pt idx="15">
                        <c:v>23.8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D3BE-479C-B713-C8C537430883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360-560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Template'!$F$259:$U$259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27.861717401079048</c:v>
                      </c:pt>
                      <c:pt idx="1">
                        <c:v>26.590853070175427</c:v>
                      </c:pt>
                      <c:pt idx="2">
                        <c:v>26.709643108472942</c:v>
                      </c:pt>
                      <c:pt idx="3">
                        <c:v>28.462723047627456</c:v>
                      </c:pt>
                      <c:pt idx="4">
                        <c:v>31.653230900491149</c:v>
                      </c:pt>
                      <c:pt idx="5">
                        <c:v>32.016206061900093</c:v>
                      </c:pt>
                      <c:pt idx="6">
                        <c:v>33.52558957598287</c:v>
                      </c:pt>
                      <c:pt idx="7">
                        <c:v>33.251005323768339</c:v>
                      </c:pt>
                      <c:pt idx="8">
                        <c:v>32.524569310682892</c:v>
                      </c:pt>
                      <c:pt idx="9">
                        <c:v>31.891354199092344</c:v>
                      </c:pt>
                      <c:pt idx="10">
                        <c:v>30.921782239547735</c:v>
                      </c:pt>
                      <c:pt idx="11">
                        <c:v>29.732082874472358</c:v>
                      </c:pt>
                      <c:pt idx="12">
                        <c:v>32.285279531046221</c:v>
                      </c:pt>
                      <c:pt idx="13">
                        <c:v>32.398611062463821</c:v>
                      </c:pt>
                      <c:pt idx="14">
                        <c:v>33.325964690743525</c:v>
                      </c:pt>
                      <c:pt idx="15">
                        <c:v>32.89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D3BE-479C-B713-C8C537430883}"/>
                  </c:ext>
                </c:extLst>
              </c15:ser>
            </c15:filteredScatterSeries>
            <c15:filteredScatterSeries>
              <c15:ser>
                <c:idx val="11"/>
                <c:order val="10"/>
                <c:tx>
                  <c:v>350-560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Template'!$F$260:$U$260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28.6</c:v>
                      </c:pt>
                      <c:pt idx="1">
                        <c:v>28.7</c:v>
                      </c:pt>
                      <c:pt idx="2">
                        <c:v>28.9</c:v>
                      </c:pt>
                      <c:pt idx="3">
                        <c:v>28.7</c:v>
                      </c:pt>
                      <c:pt idx="4">
                        <c:v>34.200000000000003</c:v>
                      </c:pt>
                      <c:pt idx="5">
                        <c:v>33.700000000000003</c:v>
                      </c:pt>
                      <c:pt idx="6">
                        <c:v>33</c:v>
                      </c:pt>
                      <c:pt idx="7">
                        <c:v>33.9</c:v>
                      </c:pt>
                      <c:pt idx="8">
                        <c:v>33</c:v>
                      </c:pt>
                      <c:pt idx="9">
                        <c:v>33.5</c:v>
                      </c:pt>
                      <c:pt idx="10">
                        <c:v>33</c:v>
                      </c:pt>
                      <c:pt idx="11">
                        <c:v>33</c:v>
                      </c:pt>
                      <c:pt idx="12">
                        <c:v>33.299999999999997</c:v>
                      </c:pt>
                      <c:pt idx="13">
                        <c:v>33.9</c:v>
                      </c:pt>
                      <c:pt idx="14">
                        <c:v>33.799999999999997</c:v>
                      </c:pt>
                      <c:pt idx="15">
                        <c:v>33.299999999999997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D3BE-479C-B713-C8C537430883}"/>
                  </c:ext>
                </c:extLst>
              </c15:ser>
            </c15:filteredScatterSeries>
            <c15:filteredScatterSeries>
              <c15:ser>
                <c:idx val="12"/>
                <c:order val="11"/>
                <c:tx>
                  <c:v>560 plus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Template'!$F$261:$U$261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55.28708346724823</c:v>
                      </c:pt>
                      <c:pt idx="1">
                        <c:v>56.080988569254188</c:v>
                      </c:pt>
                      <c:pt idx="2">
                        <c:v>54.08</c:v>
                      </c:pt>
                      <c:pt idx="3">
                        <c:v>54.46</c:v>
                      </c:pt>
                      <c:pt idx="4">
                        <c:v>29.809768156785545</c:v>
                      </c:pt>
                      <c:pt idx="5">
                        <c:v>34.53699005418877</c:v>
                      </c:pt>
                      <c:pt idx="6">
                        <c:v>32.998872240148316</c:v>
                      </c:pt>
                      <c:pt idx="7">
                        <c:v>33.713477471374041</c:v>
                      </c:pt>
                      <c:pt idx="8">
                        <c:v>34.879426352865842</c:v>
                      </c:pt>
                      <c:pt idx="9">
                        <c:v>35.438153376777251</c:v>
                      </c:pt>
                      <c:pt idx="10">
                        <c:v>32.892229729729735</c:v>
                      </c:pt>
                      <c:pt idx="11">
                        <c:v>34.983457866386033</c:v>
                      </c:pt>
                      <c:pt idx="12">
                        <c:v>32.818146561966294</c:v>
                      </c:pt>
                      <c:pt idx="13">
                        <c:v>30.44121037296037</c:v>
                      </c:pt>
                      <c:pt idx="14">
                        <c:v>30.606343997723478</c:v>
                      </c:pt>
                      <c:pt idx="15">
                        <c:v>30.715413286546923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D3BE-479C-B713-C8C537430883}"/>
                  </c:ext>
                </c:extLst>
              </c15:ser>
            </c15:filteredScatterSeries>
            <c15:filteredScatterSeries>
              <c15:ser>
                <c:idx val="13"/>
                <c:order val="12"/>
                <c:tx>
                  <c:v>560 plus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Template'!$F$262:$U$262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53</c:v>
                      </c:pt>
                      <c:pt idx="1">
                        <c:v>53</c:v>
                      </c:pt>
                      <c:pt idx="2">
                        <c:v>53.8</c:v>
                      </c:pt>
                      <c:pt idx="3">
                        <c:v>54.4</c:v>
                      </c:pt>
                      <c:pt idx="4">
                        <c:v>31</c:v>
                      </c:pt>
                      <c:pt idx="5">
                        <c:v>31.3</c:v>
                      </c:pt>
                      <c:pt idx="6">
                        <c:v>31.3</c:v>
                      </c:pt>
                      <c:pt idx="7">
                        <c:v>30</c:v>
                      </c:pt>
                      <c:pt idx="8">
                        <c:v>30.9</c:v>
                      </c:pt>
                      <c:pt idx="9">
                        <c:v>30</c:v>
                      </c:pt>
                      <c:pt idx="10">
                        <c:v>32</c:v>
                      </c:pt>
                      <c:pt idx="11">
                        <c:v>33.200000000000003</c:v>
                      </c:pt>
                      <c:pt idx="12">
                        <c:v>32</c:v>
                      </c:pt>
                      <c:pt idx="13">
                        <c:v>29.9</c:v>
                      </c:pt>
                      <c:pt idx="14">
                        <c:v>29</c:v>
                      </c:pt>
                      <c:pt idx="15">
                        <c:v>30.4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D3BE-479C-B713-C8C537430883}"/>
                  </c:ext>
                </c:extLst>
              </c15:ser>
            </c15:filteredScatterSeries>
            <c15:filteredScatterSeries>
              <c15:ser>
                <c:idx val="23"/>
                <c:order val="16"/>
                <c:tx>
                  <c:v>C2_ART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4"/>
                    <c:pt idx="0">
                      <c:v>6</c:v>
                    </c:pt>
                    <c:pt idx="1">
                      <c:v>8</c:v>
                    </c:pt>
                    <c:pt idx="2">
                      <c:v>12</c:v>
                    </c:pt>
                    <c:pt idx="3">
                      <c:v>14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Template'!$F$217:$U$217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0.4</c:v>
                      </c:pt>
                      <c:pt idx="1">
                        <c:v>0.4</c:v>
                      </c:pt>
                      <c:pt idx="2">
                        <c:v>0.4</c:v>
                      </c:pt>
                      <c:pt idx="3">
                        <c:v>0.4</c:v>
                      </c:pt>
                      <c:pt idx="4">
                        <c:v>0.89</c:v>
                      </c:pt>
                      <c:pt idx="5">
                        <c:v>0.89</c:v>
                      </c:pt>
                      <c:pt idx="6">
                        <c:v>0.89</c:v>
                      </c:pt>
                      <c:pt idx="7">
                        <c:v>0.84</c:v>
                      </c:pt>
                      <c:pt idx="8">
                        <c:v>0.9</c:v>
                      </c:pt>
                      <c:pt idx="9">
                        <c:v>0.9</c:v>
                      </c:pt>
                      <c:pt idx="10">
                        <c:v>0.9</c:v>
                      </c:pt>
                      <c:pt idx="11">
                        <c:v>0.89</c:v>
                      </c:pt>
                      <c:pt idx="12">
                        <c:v>0.89</c:v>
                      </c:pt>
                      <c:pt idx="13">
                        <c:v>0.89</c:v>
                      </c:pt>
                      <c:pt idx="14">
                        <c:v>0.9</c:v>
                      </c:pt>
                      <c:pt idx="15">
                        <c:v>0.9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3BE-479C-B713-C8C537430883}"/>
                  </c:ext>
                </c:extLst>
              </c15:ser>
            </c15:filteredScatterSeries>
            <c15:filteredScatterSeries>
              <c15:ser>
                <c:idx val="0"/>
                <c:order val="21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476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4.6136130829716477E-3"/>
                        <c:y val="3.028621065251875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9-D3BE-479C-B713-C8C537430883}"/>
                      </c:ext>
                    </c:extLst>
                  </c:dLbl>
                  <c:dLbl>
                    <c:idx val="8"/>
                    <c:layout>
                      <c:manualLayout>
                        <c:x val="-1.1534032707428907E-2"/>
                        <c:y val="3.975065148143091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A-D3BE-479C-B713-C8C53743088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Template'!$F$140:$U$140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38.617032080432409</c:v>
                      </c:pt>
                      <c:pt idx="1">
                        <c:v>36.960459791175097</c:v>
                      </c:pt>
                      <c:pt idx="2">
                        <c:v>39.346283596715722</c:v>
                      </c:pt>
                      <c:pt idx="3">
                        <c:v>39.106101437805535</c:v>
                      </c:pt>
                      <c:pt idx="4">
                        <c:v>69.515548902270027</c:v>
                      </c:pt>
                      <c:pt idx="5">
                        <c:v>64.603212456070878</c:v>
                      </c:pt>
                      <c:pt idx="6">
                        <c:v>66.089600096537808</c:v>
                      </c:pt>
                      <c:pt idx="7">
                        <c:v>65.198799755569965</c:v>
                      </c:pt>
                      <c:pt idx="8">
                        <c:v>63.739784646471811</c:v>
                      </c:pt>
                      <c:pt idx="9">
                        <c:v>63.158939021148072</c:v>
                      </c:pt>
                      <c:pt idx="10">
                        <c:v>64.894359645947233</c:v>
                      </c:pt>
                      <c:pt idx="11">
                        <c:v>63.138261069506271</c:v>
                      </c:pt>
                      <c:pt idx="12">
                        <c:v>65.34042509661657</c:v>
                      </c:pt>
                      <c:pt idx="13">
                        <c:v>67.909430253472095</c:v>
                      </c:pt>
                      <c:pt idx="14">
                        <c:v>67.334069056274643</c:v>
                      </c:pt>
                      <c:pt idx="15">
                        <c:v>67.217660188327102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D3BE-479C-B713-C8C537430883}"/>
                  </c:ext>
                </c:extLst>
              </c15:ser>
            </c15:filteredScatterSeries>
            <c15:filteredScatterSeries>
              <c15:ser>
                <c:idx val="1"/>
                <c:order val="22"/>
                <c:tx>
                  <c:v>ART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2857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6.920419624457429E-3"/>
                        <c:y val="-4.732220414456064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C-D3BE-479C-B713-C8C537430883}"/>
                      </c:ext>
                    </c:extLst>
                  </c:dLbl>
                  <c:dLbl>
                    <c:idx val="8"/>
                    <c:layout>
                      <c:manualLayout>
                        <c:x val="-5.7670163537144534E-3"/>
                        <c:y val="-5.300086864190788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D-D3BE-479C-B713-C8C537430883}"/>
                      </c:ext>
                    </c:extLst>
                  </c:dLbl>
                  <c:dLbl>
                    <c:idx val="13"/>
                    <c:layout>
                      <c:manualLayout>
                        <c:x val="-5.7670163537144534E-3"/>
                        <c:y val="-3.596487514986609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E-D3BE-479C-B713-C8C53743088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Template'!$F$142:$U$142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44</c:v>
                      </c:pt>
                      <c:pt idx="1">
                        <c:v>41.5</c:v>
                      </c:pt>
                      <c:pt idx="2">
                        <c:v>40.5</c:v>
                      </c:pt>
                      <c:pt idx="3">
                        <c:v>39.9</c:v>
                      </c:pt>
                      <c:pt idx="4">
                        <c:v>68</c:v>
                      </c:pt>
                      <c:pt idx="5">
                        <c:v>67.5</c:v>
                      </c:pt>
                      <c:pt idx="6">
                        <c:v>67.8</c:v>
                      </c:pt>
                      <c:pt idx="7">
                        <c:v>68.2</c:v>
                      </c:pt>
                      <c:pt idx="8">
                        <c:v>68</c:v>
                      </c:pt>
                      <c:pt idx="9">
                        <c:v>68.2</c:v>
                      </c:pt>
                      <c:pt idx="10">
                        <c:v>66.5</c:v>
                      </c:pt>
                      <c:pt idx="11">
                        <c:v>65.8</c:v>
                      </c:pt>
                      <c:pt idx="12">
                        <c:v>66.2</c:v>
                      </c:pt>
                      <c:pt idx="13">
                        <c:v>68.2</c:v>
                      </c:pt>
                      <c:pt idx="14">
                        <c:v>68.400000000000006</c:v>
                      </c:pt>
                      <c:pt idx="15">
                        <c:v>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D3BE-479C-B713-C8C537430883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v>C3_ART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1">
                        <a:lumMod val="95000"/>
                        <a:lumOff val="5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7"/>
                    <c:layout>
                      <c:manualLayout>
                        <c:x val="1.0320686483305721E-3"/>
                        <c:y val="-3.307080668030295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8-D3BE-479C-B713-C8C537430883}"/>
                      </c:ext>
                    </c:extLst>
                  </c:dLbl>
                  <c:dLbl>
                    <c:idx val="14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D3BE-479C-B713-C8C53743088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Template'!$F$220:$U$220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0.5</c:v>
                      </c:pt>
                      <c:pt idx="1">
                        <c:v>0.5</c:v>
                      </c:pt>
                      <c:pt idx="2">
                        <c:v>0.5</c:v>
                      </c:pt>
                      <c:pt idx="3">
                        <c:v>0.5</c:v>
                      </c:pt>
                      <c:pt idx="4">
                        <c:v>0.92</c:v>
                      </c:pt>
                      <c:pt idx="5">
                        <c:v>0.95</c:v>
                      </c:pt>
                      <c:pt idx="6">
                        <c:v>1</c:v>
                      </c:pt>
                      <c:pt idx="7">
                        <c:v>0.95</c:v>
                      </c:pt>
                      <c:pt idx="8">
                        <c:v>1.2</c:v>
                      </c:pt>
                      <c:pt idx="9">
                        <c:v>1.1000000000000001</c:v>
                      </c:pt>
                      <c:pt idx="10">
                        <c:v>1.1000000000000001</c:v>
                      </c:pt>
                      <c:pt idx="11">
                        <c:v>0.95</c:v>
                      </c:pt>
                      <c:pt idx="12">
                        <c:v>0.95</c:v>
                      </c:pt>
                      <c:pt idx="13">
                        <c:v>1.1000000000000001</c:v>
                      </c:pt>
                      <c:pt idx="14">
                        <c:v>1.1000000000000001</c:v>
                      </c:pt>
                      <c:pt idx="15">
                        <c:v>1.1000000000000001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D3BE-479C-B713-C8C537430883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3692302438556074"/>
              <c:y val="0.898463217301407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% wt of Feed</a:t>
                </a:r>
              </a:p>
            </c:rich>
          </c:tx>
          <c:layout>
            <c:manualLayout>
              <c:xMode val="edge"/>
              <c:yMode val="edge"/>
              <c:x val="4.3246590879763139E-2"/>
              <c:y val="0.316740721950183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ayout>
        <c:manualLayout>
          <c:xMode val="edge"/>
          <c:yMode val="edge"/>
          <c:x val="0.847989084438866"/>
          <c:y val="0.32137352370605327"/>
          <c:w val="6.7218744905694391E-2"/>
          <c:h val="0.41987166480741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55255905511811"/>
          <c:y val="0.26160130278588128"/>
          <c:w val="0.74259675979666939"/>
          <c:h val="0.61882603706213446"/>
        </c:manualLayout>
      </c:layout>
      <c:scatterChart>
        <c:scatterStyle val="lineMarker"/>
        <c:varyColors val="0"/>
        <c:ser>
          <c:idx val="0"/>
          <c:order val="1"/>
          <c:tx>
            <c:v>LTO TOP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9C-4E8B-8D38-1769DB81C640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9C-4E8B-8D38-1769DB81C6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'Master Template'!$F$6:$W$6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'LTO DAILY'!$H$9:$X$9</c:f>
              <c:numCache>
                <c:formatCode>0.00</c:formatCode>
                <c:ptCount val="17"/>
                <c:pt idx="0">
                  <c:v>44</c:v>
                </c:pt>
                <c:pt idx="1">
                  <c:v>43.8</c:v>
                </c:pt>
                <c:pt idx="2">
                  <c:v>45.66</c:v>
                </c:pt>
                <c:pt idx="3">
                  <c:v>44.2</c:v>
                </c:pt>
                <c:pt idx="4">
                  <c:v>43.75</c:v>
                </c:pt>
                <c:pt idx="5">
                  <c:v>43.8</c:v>
                </c:pt>
                <c:pt idx="6">
                  <c:v>45.4</c:v>
                </c:pt>
                <c:pt idx="7">
                  <c:v>45.62</c:v>
                </c:pt>
                <c:pt idx="8">
                  <c:v>45.25</c:v>
                </c:pt>
                <c:pt idx="9">
                  <c:v>45.86</c:v>
                </c:pt>
                <c:pt idx="10">
                  <c:v>47.55</c:v>
                </c:pt>
                <c:pt idx="11">
                  <c:v>45.6</c:v>
                </c:pt>
                <c:pt idx="12">
                  <c:v>44.61</c:v>
                </c:pt>
                <c:pt idx="13">
                  <c:v>45.7</c:v>
                </c:pt>
                <c:pt idx="14">
                  <c:v>46.37</c:v>
                </c:pt>
                <c:pt idx="15">
                  <c:v>47.2</c:v>
                </c:pt>
                <c:pt idx="16">
                  <c:v>43.4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9C-4E8B-8D38-1769DB81C640}"/>
            </c:ext>
          </c:extLst>
        </c:ser>
        <c:ser>
          <c:idx val="1"/>
          <c:order val="2"/>
          <c:tx>
            <c:v>LTO 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'HPS LTO DAILY '!$AC$11:$AC$26</c:f>
              <c:numCache>
                <c:formatCode>General</c:formatCode>
                <c:ptCount val="16"/>
                <c:pt idx="0">
                  <c:v>41.2</c:v>
                </c:pt>
                <c:pt idx="1">
                  <c:v>41.6</c:v>
                </c:pt>
                <c:pt idx="2">
                  <c:v>42</c:v>
                </c:pt>
                <c:pt idx="3">
                  <c:v>42.5</c:v>
                </c:pt>
                <c:pt idx="4">
                  <c:v>43</c:v>
                </c:pt>
                <c:pt idx="5">
                  <c:v>44.6</c:v>
                </c:pt>
                <c:pt idx="6">
                  <c:v>44.8</c:v>
                </c:pt>
                <c:pt idx="7">
                  <c:v>44.5</c:v>
                </c:pt>
                <c:pt idx="8">
                  <c:v>45</c:v>
                </c:pt>
                <c:pt idx="9">
                  <c:v>44.6</c:v>
                </c:pt>
                <c:pt idx="10">
                  <c:v>45</c:v>
                </c:pt>
                <c:pt idx="11">
                  <c:v>45</c:v>
                </c:pt>
                <c:pt idx="12">
                  <c:v>45.2</c:v>
                </c:pt>
                <c:pt idx="13">
                  <c:v>45.4</c:v>
                </c:pt>
                <c:pt idx="14">
                  <c:v>45.5</c:v>
                </c:pt>
                <c:pt idx="15">
                  <c:v>45.5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9C-4E8B-8D38-1769DB81C640}"/>
            </c:ext>
          </c:extLst>
        </c:ser>
        <c:ser>
          <c:idx val="5"/>
          <c:order val="5"/>
          <c:tx>
            <c:v>HPS 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LTO DAILY '!$AD$11:$AD$26</c:f>
              <c:numCache>
                <c:formatCode>General</c:formatCode>
                <c:ptCount val="16"/>
                <c:pt idx="0">
                  <c:v>12.4</c:v>
                </c:pt>
                <c:pt idx="1">
                  <c:v>12.2</c:v>
                </c:pt>
                <c:pt idx="2">
                  <c:v>11.5</c:v>
                </c:pt>
                <c:pt idx="3">
                  <c:v>11.3</c:v>
                </c:pt>
                <c:pt idx="4">
                  <c:v>16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15.7</c:v>
                </c:pt>
                <c:pt idx="9">
                  <c:v>15.7</c:v>
                </c:pt>
                <c:pt idx="10">
                  <c:v>15.6</c:v>
                </c:pt>
                <c:pt idx="11">
                  <c:v>15</c:v>
                </c:pt>
                <c:pt idx="12">
                  <c:v>15.6</c:v>
                </c:pt>
                <c:pt idx="13">
                  <c:v>15.6</c:v>
                </c:pt>
                <c:pt idx="14">
                  <c:v>15</c:v>
                </c:pt>
                <c:pt idx="15">
                  <c:v>15.1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9C-4E8B-8D38-1769DB81C640}"/>
            </c:ext>
          </c:extLst>
        </c:ser>
        <c:ser>
          <c:idx val="6"/>
          <c:order val="6"/>
          <c:tx>
            <c:v>HPS 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strRef>
              <c:f>'Master Template'!$F$6:$V$6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16_2</c:v>
                </c:pt>
              </c:strCache>
            </c:strRef>
          </c:xVal>
          <c:yVal>
            <c:numRef>
              <c:f>'HPS DAILY'!$J$10:$Z$10</c:f>
              <c:numCache>
                <c:formatCode>0.00</c:formatCode>
                <c:ptCount val="17"/>
                <c:pt idx="0">
                  <c:v>11.8</c:v>
                </c:pt>
                <c:pt idx="1">
                  <c:v>11.9</c:v>
                </c:pt>
                <c:pt idx="2">
                  <c:v>11.91</c:v>
                </c:pt>
                <c:pt idx="3">
                  <c:v>11.86</c:v>
                </c:pt>
                <c:pt idx="4">
                  <c:v>17.899999999999999</c:v>
                </c:pt>
                <c:pt idx="5">
                  <c:v>15.7</c:v>
                </c:pt>
                <c:pt idx="6">
                  <c:v>14.6</c:v>
                </c:pt>
                <c:pt idx="7">
                  <c:v>14.98</c:v>
                </c:pt>
                <c:pt idx="8">
                  <c:v>14.76</c:v>
                </c:pt>
                <c:pt idx="9">
                  <c:v>14.4</c:v>
                </c:pt>
                <c:pt idx="10">
                  <c:v>15.12</c:v>
                </c:pt>
                <c:pt idx="11">
                  <c:v>15.88</c:v>
                </c:pt>
                <c:pt idx="12">
                  <c:v>15.45</c:v>
                </c:pt>
                <c:pt idx="13">
                  <c:v>16.07</c:v>
                </c:pt>
                <c:pt idx="14">
                  <c:v>15.69</c:v>
                </c:pt>
                <c:pt idx="15" formatCode="General">
                  <c:v>15.1</c:v>
                </c:pt>
                <c:pt idx="16" formatCode="General">
                  <c:v>15.6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A9C-4E8B-8D38-1769DB81C640}"/>
            </c:ext>
          </c:extLst>
        </c:ser>
        <c:ser>
          <c:idx val="7"/>
          <c:order val="7"/>
          <c:tx>
            <c:v>Aging</c:v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9A9C-4E8B-8D38-1769DB81C640}"/>
              </c:ext>
            </c:extLst>
          </c:dPt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9A9C-4E8B-8D38-1769DB81C640}"/>
            </c:ext>
          </c:extLst>
        </c:ser>
        <c:ser>
          <c:idx val="8"/>
          <c:order val="8"/>
          <c:tx>
            <c:v>Change Cond.</c:v>
          </c:tx>
          <c:spPr>
            <a:ln w="381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9A9C-4E8B-8D38-1769DB81C640}"/>
            </c:ext>
          </c:extLst>
        </c:ser>
        <c:ser>
          <c:idx val="10"/>
          <c:order val="10"/>
          <c:tx>
            <c:v>SR Feed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API!$C$40:$Q$40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API!$C$41:$Q$41</c:f>
              <c:numCache>
                <c:formatCode>0.000</c:formatCode>
                <c:ptCount val="15"/>
                <c:pt idx="0">
                  <c:v>3.3589621291615117</c:v>
                </c:pt>
                <c:pt idx="1">
                  <c:v>3.3589621291615117</c:v>
                </c:pt>
                <c:pt idx="2">
                  <c:v>3.3589621291615117</c:v>
                </c:pt>
                <c:pt idx="3">
                  <c:v>3.3589621291615117</c:v>
                </c:pt>
                <c:pt idx="4" formatCode="0.00000">
                  <c:v>1.431499764927139</c:v>
                </c:pt>
                <c:pt idx="5" formatCode="0.00000">
                  <c:v>1.431499764927139</c:v>
                </c:pt>
                <c:pt idx="6" formatCode="0.00000">
                  <c:v>1.431499764927139</c:v>
                </c:pt>
                <c:pt idx="7" formatCode="0.00000">
                  <c:v>1.431499764927139</c:v>
                </c:pt>
                <c:pt idx="8" formatCode="0.00000">
                  <c:v>1.431499764927139</c:v>
                </c:pt>
                <c:pt idx="9" formatCode="0.00000">
                  <c:v>1.431499764927139</c:v>
                </c:pt>
                <c:pt idx="10" formatCode="0.00000">
                  <c:v>1.0609999999999999</c:v>
                </c:pt>
                <c:pt idx="11" formatCode="0.00000">
                  <c:v>1.0609999999999999</c:v>
                </c:pt>
                <c:pt idx="12" formatCode="0.00000">
                  <c:v>1.0609999999999999</c:v>
                </c:pt>
                <c:pt idx="13" formatCode="0.00000">
                  <c:v>1.0609999999999999</c:v>
                </c:pt>
                <c:pt idx="14" formatCode="0.00000">
                  <c:v>1.0609999999999999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3B-408D-9BBD-5FA1E3BD7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9A9C-4E8B-8D38-1769DB81C64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A9C-4E8B-8D38-1769DB81C64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A9C-4E8B-8D38-1769DB81C640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VR Feed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Template'!$F$103:$U$103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0.11602419641798126</c:v>
                      </c:pt>
                      <c:pt idx="1">
                        <c:v>0.11602419641798124</c:v>
                      </c:pt>
                      <c:pt idx="2">
                        <c:v>0.11602419641798124</c:v>
                      </c:pt>
                      <c:pt idx="3">
                        <c:v>0.11602419641798124</c:v>
                      </c:pt>
                      <c:pt idx="4">
                        <c:v>0.11516954193932183</c:v>
                      </c:pt>
                      <c:pt idx="5">
                        <c:v>0.11516954193932183</c:v>
                      </c:pt>
                      <c:pt idx="6">
                        <c:v>0.11516954193932183</c:v>
                      </c:pt>
                      <c:pt idx="7">
                        <c:v>0.11516954193932184</c:v>
                      </c:pt>
                      <c:pt idx="8">
                        <c:v>0.11516954193932183</c:v>
                      </c:pt>
                      <c:pt idx="9">
                        <c:v>0.11516954193932182</c:v>
                      </c:pt>
                      <c:pt idx="10">
                        <c:v>0.11563902669501537</c:v>
                      </c:pt>
                      <c:pt idx="11">
                        <c:v>0.11563902669501537</c:v>
                      </c:pt>
                      <c:pt idx="12">
                        <c:v>0.11563902669501537</c:v>
                      </c:pt>
                      <c:pt idx="13">
                        <c:v>0.11563902669501534</c:v>
                      </c:pt>
                      <c:pt idx="14">
                        <c:v>0.11563902669501536</c:v>
                      </c:pt>
                      <c:pt idx="15">
                        <c:v>0.11563902669501537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01E-4741-9062-DDDB0B03CB41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layout>
            <c:manualLayout>
              <c:xMode val="edge"/>
              <c:yMode val="edge"/>
              <c:x val="0.40550964566929132"/>
              <c:y val="0.92485530832962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API</a:t>
                </a:r>
              </a:p>
            </c:rich>
          </c:tx>
          <c:layout>
            <c:manualLayout>
              <c:xMode val="edge"/>
              <c:yMode val="edge"/>
              <c:x val="3.9582383604640184E-2"/>
              <c:y val="0.48467147946252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4303079457890673"/>
          <c:y val="0.3418276707740161"/>
          <c:w val="0.12873134429730498"/>
          <c:h val="0.23889323038752203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976469281501913E-2"/>
          <c:y val="0.2638248855252105"/>
          <c:w val="0.68265135355199713"/>
          <c:h val="0.5922410549750492"/>
        </c:manualLayout>
      </c:layout>
      <c:scatterChart>
        <c:scatterStyle val="lineMarker"/>
        <c:varyColors val="0"/>
        <c:ser>
          <c:idx val="8"/>
          <c:order val="1"/>
          <c:tx>
            <c:v>LTO_TOP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65-4284-8531-C8EA4A7B9C58}"/>
              </c:ext>
            </c:extLst>
          </c:dPt>
          <c:dLbls>
            <c:dLbl>
              <c:idx val="14"/>
              <c:layout>
                <c:manualLayout>
                  <c:x val="-1.5226206164575344E-2"/>
                  <c:y val="-3.62097496794344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3F6-44B1-898C-71078CFE9E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Template'!$BH$6:$BW$6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Template'!$BH$103:$BW$103</c:f>
              <c:numCache>
                <c:formatCode>0.000</c:formatCode>
                <c:ptCount val="16"/>
                <c:pt idx="0">
                  <c:v>0.15105184503965974</c:v>
                </c:pt>
                <c:pt idx="1">
                  <c:v>0.14212903973126376</c:v>
                </c:pt>
                <c:pt idx="2">
                  <c:v>0.15913284132841329</c:v>
                </c:pt>
                <c:pt idx="3">
                  <c:v>0.16261398176291791</c:v>
                </c:pt>
                <c:pt idx="4">
                  <c:v>0.15460943809853467</c:v>
                </c:pt>
                <c:pt idx="5">
                  <c:v>0.15445729641313238</c:v>
                </c:pt>
                <c:pt idx="6">
                  <c:v>0.16061517113783536</c:v>
                </c:pt>
                <c:pt idx="7">
                  <c:v>0.16107151069211312</c:v>
                </c:pt>
                <c:pt idx="8">
                  <c:v>0.16254952225588443</c:v>
                </c:pt>
                <c:pt idx="9">
                  <c:v>0.16005616005616005</c:v>
                </c:pt>
                <c:pt idx="10">
                  <c:v>0.16226806499942378</c:v>
                </c:pt>
                <c:pt idx="11">
                  <c:v>0.1593818475377696</c:v>
                </c:pt>
                <c:pt idx="12">
                  <c:v>0.15860184447227596</c:v>
                </c:pt>
                <c:pt idx="13">
                  <c:v>0.16047238624522406</c:v>
                </c:pt>
                <c:pt idx="14">
                  <c:v>0.16097278517660685</c:v>
                </c:pt>
                <c:pt idx="15">
                  <c:v>0.16219020172910661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F6-44B1-898C-71078CFE9E96}"/>
            </c:ext>
          </c:extLst>
        </c:ser>
        <c:ser>
          <c:idx val="7"/>
          <c:order val="2"/>
          <c:tx>
            <c:v>LTO_ART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3"/>
              <c:layout>
                <c:manualLayout>
                  <c:x val="-1.0940758806233993E-2"/>
                  <c:y val="3.511138880748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65-4284-8531-C8EA4A7B9C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Template'!$BH$6:$BW$6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Template'!$BH$104:$BW$104</c:f>
              <c:numCache>
                <c:formatCode>0.000</c:formatCode>
                <c:ptCount val="16"/>
                <c:pt idx="0">
                  <c:v>0.155</c:v>
                </c:pt>
                <c:pt idx="1">
                  <c:v>0.155</c:v>
                </c:pt>
                <c:pt idx="2">
                  <c:v>0.156</c:v>
                </c:pt>
                <c:pt idx="3">
                  <c:v>0.157</c:v>
                </c:pt>
                <c:pt idx="4">
                  <c:v>0.156</c:v>
                </c:pt>
                <c:pt idx="5">
                  <c:v>0.157</c:v>
                </c:pt>
                <c:pt idx="6">
                  <c:v>0.1565</c:v>
                </c:pt>
                <c:pt idx="7">
                  <c:v>0.156</c:v>
                </c:pt>
                <c:pt idx="8">
                  <c:v>0.155</c:v>
                </c:pt>
                <c:pt idx="9">
                  <c:v>0.159</c:v>
                </c:pt>
                <c:pt idx="10">
                  <c:v>0.156</c:v>
                </c:pt>
                <c:pt idx="11">
                  <c:v>0.1555</c:v>
                </c:pt>
                <c:pt idx="12">
                  <c:v>0.158</c:v>
                </c:pt>
                <c:pt idx="13">
                  <c:v>0.158</c:v>
                </c:pt>
                <c:pt idx="14">
                  <c:v>0.156</c:v>
                </c:pt>
                <c:pt idx="15">
                  <c:v>0.157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F6-44B1-898C-71078CFE9E96}"/>
            </c:ext>
          </c:extLst>
        </c:ser>
        <c:ser>
          <c:idx val="0"/>
          <c:order val="3"/>
          <c:tx>
            <c:v>HPS_TOP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1.8097156522630671E-2"/>
                  <c:y val="-1.41630300331663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972350412145643E-2"/>
                      <c:h val="2.137986002571353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540-4319-AC03-62C27BCD85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Template'!$AP$6:$BE$6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Template'!$AP$44:$BE$44</c:f>
              <c:numCache>
                <c:formatCode>General</c:formatCode>
                <c:ptCount val="16"/>
                <c:pt idx="0">
                  <c:v>0.12715712988192551</c:v>
                </c:pt>
                <c:pt idx="1">
                  <c:v>0.125</c:v>
                </c:pt>
                <c:pt idx="2">
                  <c:v>0.12501423203916659</c:v>
                </c:pt>
                <c:pt idx="3">
                  <c:v>0.13065326633165827</c:v>
                </c:pt>
                <c:pt idx="4">
                  <c:v>0.13101574000679425</c:v>
                </c:pt>
                <c:pt idx="5">
                  <c:v>0.12775130474245519</c:v>
                </c:pt>
                <c:pt idx="6">
                  <c:v>0.13043970988213963</c:v>
                </c:pt>
                <c:pt idx="7">
                  <c:v>0.12934253706008825</c:v>
                </c:pt>
                <c:pt idx="8">
                  <c:v>0.12932398824327379</c:v>
                </c:pt>
                <c:pt idx="9">
                  <c:v>0.12752055874732454</c:v>
                </c:pt>
                <c:pt idx="10">
                  <c:v>0.12840423137519694</c:v>
                </c:pt>
                <c:pt idx="11">
                  <c:v>0.1304642494069807</c:v>
                </c:pt>
                <c:pt idx="12">
                  <c:v>0.1313860381188677</c:v>
                </c:pt>
                <c:pt idx="13">
                  <c:v>0.13314415437003407</c:v>
                </c:pt>
                <c:pt idx="14">
                  <c:v>0.13296430185268865</c:v>
                </c:pt>
                <c:pt idx="15">
                  <c:v>0.13073005093378609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40-4319-AC03-62C27BCD8592}"/>
            </c:ext>
          </c:extLst>
        </c:ser>
        <c:ser>
          <c:idx val="1"/>
          <c:order val="4"/>
          <c:tx>
            <c:v>HPS_ART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9.4756284669970903E-5"/>
                  <c:y val="1.3508521835975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40-4319-AC03-62C27BCD85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Template'!$AP$6:$BE$6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Template'!$AP$104:$BE$104</c:f>
              <c:numCache>
                <c:formatCode>0.000</c:formatCode>
                <c:ptCount val="16"/>
                <c:pt idx="0">
                  <c:v>0.125</c:v>
                </c:pt>
                <c:pt idx="1">
                  <c:v>0.123</c:v>
                </c:pt>
                <c:pt idx="2">
                  <c:v>0.122</c:v>
                </c:pt>
                <c:pt idx="3">
                  <c:v>0.121</c:v>
                </c:pt>
                <c:pt idx="4">
                  <c:v>0.1275</c:v>
                </c:pt>
                <c:pt idx="5">
                  <c:v>0.122</c:v>
                </c:pt>
                <c:pt idx="6">
                  <c:v>0.128</c:v>
                </c:pt>
                <c:pt idx="7">
                  <c:v>0.125</c:v>
                </c:pt>
                <c:pt idx="8">
                  <c:v>0.127</c:v>
                </c:pt>
                <c:pt idx="9">
                  <c:v>0.123</c:v>
                </c:pt>
                <c:pt idx="10">
                  <c:v>0.121</c:v>
                </c:pt>
                <c:pt idx="11">
                  <c:v>0.123</c:v>
                </c:pt>
                <c:pt idx="12">
                  <c:v>0.126</c:v>
                </c:pt>
                <c:pt idx="13">
                  <c:v>0.123</c:v>
                </c:pt>
                <c:pt idx="14">
                  <c:v>0.124</c:v>
                </c:pt>
                <c:pt idx="15">
                  <c:v>0.123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40-4319-AC03-62C27BCD8592}"/>
            </c:ext>
          </c:extLst>
        </c:ser>
        <c:ser>
          <c:idx val="5"/>
          <c:order val="7"/>
          <c:tx>
            <c:v>Aging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2540-4319-AC03-62C27BCD8592}"/>
            </c:ext>
          </c:extLst>
        </c:ser>
        <c:ser>
          <c:idx val="6"/>
          <c:order val="8"/>
          <c:tx>
            <c:v>Change Cond.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2540-4319-AC03-62C27BCD8592}"/>
            </c:ext>
          </c:extLst>
        </c:ser>
        <c:ser>
          <c:idx val="9"/>
          <c:order val="9"/>
          <c:tx>
            <c:v>H/C Ratio_SR Feed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2"/>
              <c:layout>
                <c:manualLayout>
                  <c:x val="-2.0826063342717659E-2"/>
                  <c:y val="2.2208204540584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D9-48DE-BC88-D7013F48C974}"/>
                </c:ext>
              </c:extLst>
            </c:dLbl>
            <c:dLbl>
              <c:idx val="6"/>
              <c:layout>
                <c:manualLayout>
                  <c:x val="-2.9156488679804738E-2"/>
                  <c:y val="2.624605991159965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0.115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1D9-48DE-BC88-D7013F48C974}"/>
                </c:ext>
              </c:extLst>
            </c:dLbl>
            <c:dLbl>
              <c:idx val="13"/>
              <c:layout>
                <c:manualLayout>
                  <c:x val="-2.9156488679804686E-2"/>
                  <c:y val="3.028391528261490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0.116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1D9-48DE-BC88-D7013F48C9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Template'!$F$44:$U$44</c:f>
              <c:numCache>
                <c:formatCode>General</c:formatCode>
                <c:ptCount val="16"/>
                <c:pt idx="0">
                  <c:v>0.11600000000000001</c:v>
                </c:pt>
                <c:pt idx="1">
                  <c:v>0.11600000000000001</c:v>
                </c:pt>
                <c:pt idx="2">
                  <c:v>0.11600000000000001</c:v>
                </c:pt>
                <c:pt idx="3">
                  <c:v>0.11600000000000001</c:v>
                </c:pt>
                <c:pt idx="4">
                  <c:v>0.11516954193932184</c:v>
                </c:pt>
                <c:pt idx="5">
                  <c:v>0.11516954193932184</c:v>
                </c:pt>
                <c:pt idx="6">
                  <c:v>0.11516954193932184</c:v>
                </c:pt>
                <c:pt idx="7">
                  <c:v>0.11516954193932184</c:v>
                </c:pt>
                <c:pt idx="8">
                  <c:v>0.11516954193932184</c:v>
                </c:pt>
                <c:pt idx="9">
                  <c:v>0.11516954193932184</c:v>
                </c:pt>
                <c:pt idx="10">
                  <c:v>0.11563902669501536</c:v>
                </c:pt>
                <c:pt idx="11">
                  <c:v>0.11563902669501536</c:v>
                </c:pt>
                <c:pt idx="12">
                  <c:v>0.11563902669501536</c:v>
                </c:pt>
                <c:pt idx="13">
                  <c:v>0.11563902669501536</c:v>
                </c:pt>
                <c:pt idx="14">
                  <c:v>0.11563902669501536</c:v>
                </c:pt>
                <c:pt idx="15">
                  <c:v>0.11563902669501536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F6-44B1-898C-71078CFE9E96}"/>
            </c:ext>
          </c:extLst>
        </c:ser>
        <c:ser>
          <c:idx val="11"/>
          <c:order val="11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API!$X$40:$X$41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API!$Y$40:$Y$41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65-4284-8531-C8EA4A7B9C58}"/>
            </c:ext>
          </c:extLst>
        </c:ser>
        <c:ser>
          <c:idx val="12"/>
          <c:order val="12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API!$X$43:$X$44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API!$Y$43:$Y$44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65-4284-8531-C8EA4A7B9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Template'!$C$144</c15:sqref>
                        </c15:formulaRef>
                      </c:ext>
                    </c:extLst>
                    <c:strCache>
                      <c:ptCount val="1"/>
                      <c:pt idx="0">
                        <c:v>+5%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Template'!$F$144:$U$144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46.2</c:v>
                      </c:pt>
                      <c:pt idx="1">
                        <c:v>43.575000000000003</c:v>
                      </c:pt>
                      <c:pt idx="2">
                        <c:v>42.524999999999999</c:v>
                      </c:pt>
                      <c:pt idx="3">
                        <c:v>41.894999999999996</c:v>
                      </c:pt>
                      <c:pt idx="4">
                        <c:v>71.400000000000006</c:v>
                      </c:pt>
                      <c:pt idx="5">
                        <c:v>70.875</c:v>
                      </c:pt>
                      <c:pt idx="6">
                        <c:v>71.19</c:v>
                      </c:pt>
                      <c:pt idx="7">
                        <c:v>71.61</c:v>
                      </c:pt>
                      <c:pt idx="8">
                        <c:v>71.400000000000006</c:v>
                      </c:pt>
                      <c:pt idx="9">
                        <c:v>71.61</c:v>
                      </c:pt>
                      <c:pt idx="10">
                        <c:v>69.825000000000003</c:v>
                      </c:pt>
                      <c:pt idx="11">
                        <c:v>69.09</c:v>
                      </c:pt>
                      <c:pt idx="12">
                        <c:v>69.510000000000005</c:v>
                      </c:pt>
                      <c:pt idx="13">
                        <c:v>71.61</c:v>
                      </c:pt>
                      <c:pt idx="14">
                        <c:v>71.820000000000007</c:v>
                      </c:pt>
                      <c:pt idx="15">
                        <c:v>71.400000000000006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2540-4319-AC03-62C27BCD8592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Template'!$G$145:$L$145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39.424999999999997</c:v>
                      </c:pt>
                      <c:pt idx="1">
                        <c:v>38.475000000000001</c:v>
                      </c:pt>
                      <c:pt idx="2">
                        <c:v>37.905000000000001</c:v>
                      </c:pt>
                      <c:pt idx="3">
                        <c:v>64.599999999999994</c:v>
                      </c:pt>
                      <c:pt idx="4">
                        <c:v>64.125</c:v>
                      </c:pt>
                      <c:pt idx="5">
                        <c:v>64.41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540-4319-AC03-62C27BCD8592}"/>
                  </c:ext>
                </c:extLst>
              </c15:ser>
            </c15:filteredScatterSeries>
            <c15:filteredScatterSeries>
              <c15:ser>
                <c:idx val="4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Template'!$C$145</c15:sqref>
                        </c15:formulaRef>
                      </c:ext>
                    </c:extLst>
                    <c:strCache>
                      <c:ptCount val="1"/>
                      <c:pt idx="0">
                        <c:v>-5%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Template'!$F$145:$U$145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41.8</c:v>
                      </c:pt>
                      <c:pt idx="1">
                        <c:v>39.424999999999997</c:v>
                      </c:pt>
                      <c:pt idx="2">
                        <c:v>38.475000000000001</c:v>
                      </c:pt>
                      <c:pt idx="3">
                        <c:v>37.905000000000001</c:v>
                      </c:pt>
                      <c:pt idx="4">
                        <c:v>64.599999999999994</c:v>
                      </c:pt>
                      <c:pt idx="5">
                        <c:v>64.125</c:v>
                      </c:pt>
                      <c:pt idx="6">
                        <c:v>64.41</c:v>
                      </c:pt>
                      <c:pt idx="7">
                        <c:v>64.790000000000006</c:v>
                      </c:pt>
                      <c:pt idx="8">
                        <c:v>64.599999999999994</c:v>
                      </c:pt>
                      <c:pt idx="9">
                        <c:v>64.790000000000006</c:v>
                      </c:pt>
                      <c:pt idx="10">
                        <c:v>63.174999999999997</c:v>
                      </c:pt>
                      <c:pt idx="11">
                        <c:v>62.51</c:v>
                      </c:pt>
                      <c:pt idx="12">
                        <c:v>62.89</c:v>
                      </c:pt>
                      <c:pt idx="13">
                        <c:v>64.790000000000006</c:v>
                      </c:pt>
                      <c:pt idx="14">
                        <c:v>64.98</c:v>
                      </c:pt>
                      <c:pt idx="15">
                        <c:v>64.599999999999994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540-4319-AC03-62C27BCD8592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H/C Ratio VR Feed 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13"/>
                    <c:layout>
                      <c:manualLayout>
                        <c:x val="-2.3504594990462178E-2"/>
                        <c:y val="4.586568292728360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7665-4284-8531-C8EA4A7B9C5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Template'!$F$104:$U$104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0.113</c:v>
                      </c:pt>
                      <c:pt idx="1">
                        <c:v>0.113</c:v>
                      </c:pt>
                      <c:pt idx="2">
                        <c:v>0.113</c:v>
                      </c:pt>
                      <c:pt idx="3">
                        <c:v>0.113</c:v>
                      </c:pt>
                      <c:pt idx="4">
                        <c:v>0.113</c:v>
                      </c:pt>
                      <c:pt idx="5">
                        <c:v>0.113</c:v>
                      </c:pt>
                      <c:pt idx="6">
                        <c:v>0.113</c:v>
                      </c:pt>
                      <c:pt idx="7">
                        <c:v>0.113</c:v>
                      </c:pt>
                      <c:pt idx="8">
                        <c:v>0.113</c:v>
                      </c:pt>
                      <c:pt idx="9">
                        <c:v>0.113</c:v>
                      </c:pt>
                      <c:pt idx="10">
                        <c:v>0.11600000000000001</c:v>
                      </c:pt>
                      <c:pt idx="11">
                        <c:v>0.11600000000000001</c:v>
                      </c:pt>
                      <c:pt idx="12">
                        <c:v>0.11600000000000001</c:v>
                      </c:pt>
                      <c:pt idx="13">
                        <c:v>0.11600000000000001</c:v>
                      </c:pt>
                      <c:pt idx="14">
                        <c:v>0.11600000000000001</c:v>
                      </c:pt>
                      <c:pt idx="15">
                        <c:v>0.11600000000000001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3F6-44B1-898C-71078CFE9E96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layout>
            <c:manualLayout>
              <c:xMode val="edge"/>
              <c:yMode val="edge"/>
              <c:x val="0.44881340053370039"/>
              <c:y val="0.916732236737268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2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0036751287947228"/>
          <c:y val="0.31028291887538623"/>
          <c:w val="0.1996325037483859"/>
          <c:h val="0.39218736938973614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93475782611911"/>
          <c:y val="0.27671235535390043"/>
          <c:w val="0.81856694791595197"/>
          <c:h val="0.59203366413783087"/>
        </c:manualLayout>
      </c:layout>
      <c:scatterChart>
        <c:scatterStyle val="lineMarker"/>
        <c:varyColors val="0"/>
        <c:ser>
          <c:idx val="1"/>
          <c:order val="0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1"/>
            <c:spPr>
              <a:solidFill>
                <a:srgbClr val="2D0DA3"/>
              </a:solidFill>
              <a:ln w="6350">
                <a:noFill/>
              </a:ln>
              <a:effectLst/>
            </c:spPr>
          </c:marker>
          <c:dLbls>
            <c:dLbl>
              <c:idx val="2"/>
              <c:layout>
                <c:manualLayout>
                  <c:x val="-3.3192092702640013E-3"/>
                  <c:y val="-1.35773696251790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F7B-44A8-8D1D-327D0936FFEB}"/>
                </c:ext>
              </c:extLst>
            </c:dLbl>
            <c:dLbl>
              <c:idx val="8"/>
              <c:layout>
                <c:manualLayout>
                  <c:x val="-1.3500037537013822E-2"/>
                  <c:y val="-4.21319612837134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CF-4364-8B88-649A9E38448C}"/>
                </c:ext>
              </c:extLst>
            </c:dLbl>
            <c:dLbl>
              <c:idx val="14"/>
              <c:layout>
                <c:manualLayout>
                  <c:x val="-1.5187542229140549E-2"/>
                  <c:y val="-3.3705569026970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CF-4364-8B88-649A9E3844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Template'!$F$265:$U$265</c:f>
              <c:numCache>
                <c:formatCode>0.0</c:formatCode>
                <c:ptCount val="16"/>
                <c:pt idx="0">
                  <c:v>153.31</c:v>
                </c:pt>
                <c:pt idx="1">
                  <c:v>250.3</c:v>
                </c:pt>
                <c:pt idx="2">
                  <c:v>50</c:v>
                </c:pt>
                <c:pt idx="3" formatCode="0">
                  <c:v>224.78</c:v>
                </c:pt>
                <c:pt idx="4">
                  <c:v>428.74</c:v>
                </c:pt>
                <c:pt idx="5" formatCode="0">
                  <c:v>1832.7</c:v>
                </c:pt>
                <c:pt idx="6" formatCode="0">
                  <c:v>2657.3</c:v>
                </c:pt>
                <c:pt idx="7">
                  <c:v>3072</c:v>
                </c:pt>
                <c:pt idx="8" formatCode="0">
                  <c:v>4183.8</c:v>
                </c:pt>
                <c:pt idx="9">
                  <c:v>4329.1000000000004</c:v>
                </c:pt>
                <c:pt idx="10">
                  <c:v>5116.2</c:v>
                </c:pt>
                <c:pt idx="11" formatCode="0">
                  <c:v>9382.7999999999993</c:v>
                </c:pt>
                <c:pt idx="12" formatCode="0">
                  <c:v>11823</c:v>
                </c:pt>
                <c:pt idx="13">
                  <c:v>12960</c:v>
                </c:pt>
                <c:pt idx="14" formatCode="0">
                  <c:v>18485</c:v>
                </c:pt>
                <c:pt idx="15">
                  <c:v>16439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15-4F88-A6AA-6DE34875A758}"/>
            </c:ext>
          </c:extLst>
        </c:ser>
        <c:ser>
          <c:idx val="0"/>
          <c:order val="1"/>
          <c:tx>
            <c:v>ART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2"/>
              </a:solidFill>
              <a:ln w="6350">
                <a:noFill/>
              </a:ln>
              <a:effectLst/>
            </c:spPr>
          </c:marker>
          <c:dLbls>
            <c:dLbl>
              <c:idx val="8"/>
              <c:layout>
                <c:manualLayout>
                  <c:x val="-8.4375234606336377E-3"/>
                  <c:y val="-2.80879741891422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CF-4364-8B88-649A9E38448C}"/>
                </c:ext>
              </c:extLst>
            </c:dLbl>
            <c:dLbl>
              <c:idx val="14"/>
              <c:layout>
                <c:manualLayout>
                  <c:x val="-1.5187542229140672E-2"/>
                  <c:y val="-2.80879741891422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CF-4364-8B88-649A9E3844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Template'!$F$266:$U$266</c:f>
              <c:numCache>
                <c:formatCode>General</c:formatCode>
                <c:ptCount val="16"/>
                <c:pt idx="4">
                  <c:v>400</c:v>
                </c:pt>
                <c:pt idx="5">
                  <c:v>600</c:v>
                </c:pt>
                <c:pt idx="6">
                  <c:v>700</c:v>
                </c:pt>
                <c:pt idx="7">
                  <c:v>900</c:v>
                </c:pt>
                <c:pt idx="8">
                  <c:v>913</c:v>
                </c:pt>
                <c:pt idx="9">
                  <c:v>913</c:v>
                </c:pt>
                <c:pt idx="10">
                  <c:v>1600</c:v>
                </c:pt>
                <c:pt idx="11">
                  <c:v>5700</c:v>
                </c:pt>
                <c:pt idx="12">
                  <c:v>6400</c:v>
                </c:pt>
                <c:pt idx="13">
                  <c:v>7600</c:v>
                </c:pt>
                <c:pt idx="14">
                  <c:v>10044</c:v>
                </c:pt>
                <c:pt idx="15">
                  <c:v>9500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15-4F88-A6AA-6DE34875A758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SedM!$S$10:$S$11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SedM!$T$10:$T$11</c:f>
              <c:numCache>
                <c:formatCode>General</c:formatCode>
                <c:ptCount val="2"/>
                <c:pt idx="0">
                  <c:v>-5</c:v>
                </c:pt>
                <c:pt idx="1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EB-40B3-96EC-2962934A019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SedM!$S$13:$S$14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SedM!$T$13:$T$14</c:f>
              <c:numCache>
                <c:formatCode>General</c:formatCode>
                <c:ptCount val="2"/>
                <c:pt idx="0">
                  <c:v>-5</c:v>
                </c:pt>
                <c:pt idx="1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EB-40B3-96EC-2962934A0192}"/>
            </c:ext>
          </c:extLst>
        </c:ser>
        <c:ser>
          <c:idx val="4"/>
          <c:order val="4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ysDot"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5"/>
                </a:solidFill>
                <a:ln w="19050">
                  <a:solidFill>
                    <a:schemeClr val="accent5"/>
                  </a:solidFill>
                  <a:prstDash val="sysDot"/>
                </a:ln>
                <a:effectLst/>
              </c:spPr>
            </c:marker>
            <c:bubble3D val="0"/>
            <c:spPr>
              <a:ln w="19050" cap="rnd">
                <a:solidFill>
                  <a:schemeClr val="tx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CD8-4E2A-A5A4-D852D0639B45}"/>
              </c:ext>
            </c:extLst>
          </c:dPt>
          <c:xVal>
            <c:numRef>
              <c:f>SedM!$S$13:$S$14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SedM!$T$13:$T$14</c:f>
              <c:numCache>
                <c:formatCode>General</c:formatCode>
                <c:ptCount val="2"/>
                <c:pt idx="0">
                  <c:v>-5</c:v>
                </c:pt>
                <c:pt idx="1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EB-40B3-96EC-2962934A0192}"/>
            </c:ext>
          </c:extLst>
        </c:ser>
        <c:ser>
          <c:idx val="5"/>
          <c:order val="5"/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12700">
                  <a:solidFill>
                    <a:srgbClr val="FF0000"/>
                  </a:solidFill>
                  <a:prstDash val="sysDash"/>
                </a:ln>
                <a:effectLst/>
              </c:spPr>
            </c:marker>
            <c:bubble3D val="0"/>
            <c:spPr>
              <a:ln w="12700" cap="rnd">
                <a:solidFill>
                  <a:srgbClr val="FF000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D8-4E2A-A5A4-D852D0639B45}"/>
              </c:ext>
            </c:extLst>
          </c:dPt>
          <c:xVal>
            <c:numRef>
              <c:f>SedM!$O$10:$O$11</c:f>
              <c:numCache>
                <c:formatCode>General</c:formatCode>
                <c:ptCount val="2"/>
                <c:pt idx="0">
                  <c:v>-5</c:v>
                </c:pt>
                <c:pt idx="1">
                  <c:v>50</c:v>
                </c:pt>
              </c:numCache>
            </c:numRef>
          </c:xVal>
          <c:yVal>
            <c:numRef>
              <c:f>SedM!$P$10:$P$11</c:f>
              <c:numCache>
                <c:formatCode>General</c:formatCode>
                <c:ptCount val="2"/>
                <c:pt idx="0">
                  <c:v>2000</c:v>
                </c:pt>
                <c:pt idx="1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8-4E2A-A5A4-D852D0639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</c:scatterChart>
      <c:valAx>
        <c:axId val="1201496688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7596608211356911"/>
              <c:y val="0.936970673268380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2000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Sedimentation, ppm</a:t>
                </a:r>
              </a:p>
            </c:rich>
          </c:tx>
          <c:layout>
            <c:manualLayout>
              <c:xMode val="edge"/>
              <c:yMode val="edge"/>
              <c:x val="1.9739483358205447E-2"/>
              <c:y val="0.39854915415547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2952151979942836"/>
          <c:y val="0.35797475722875965"/>
          <c:w val="0.11453027622627003"/>
          <c:h val="9.39911229582771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8325210952363"/>
          <c:y val="0.25230805572380371"/>
          <c:w val="0.71086782288225125"/>
          <c:h val="0.57286553603876433"/>
        </c:manualLayout>
      </c:layout>
      <c:scatterChart>
        <c:scatterStyle val="lineMarker"/>
        <c:varyColors val="0"/>
        <c:ser>
          <c:idx val="18"/>
          <c:order val="2"/>
          <c:tx>
            <c:v>MoC Max of Rx1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rgbClr val="FF0000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28575">
                  <a:solidFill>
                    <a:schemeClr val="tx1">
                      <a:lumMod val="95000"/>
                      <a:lumOff val="5000"/>
                    </a:schemeClr>
                  </a:solidFill>
                  <a:prstDash val="sysDash"/>
                </a:ln>
                <a:effectLst/>
              </c:spPr>
            </c:marker>
            <c:bubble3D val="0"/>
            <c:spPr>
              <a:ln w="25400" cap="rnd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655-45C0-9475-B722CB3FBCE5}"/>
              </c:ext>
            </c:extLst>
          </c:dPt>
          <c:xVal>
            <c:numRef>
              <c:f>'MetConv(Ni+V)'!$AS$24:$AS$25</c:f>
              <c:numCache>
                <c:formatCode>General</c:formatCode>
                <c:ptCount val="2"/>
                <c:pt idx="0">
                  <c:v>-5</c:v>
                </c:pt>
                <c:pt idx="1">
                  <c:v>30</c:v>
                </c:pt>
              </c:numCache>
            </c:numRef>
          </c:xVal>
          <c:yVal>
            <c:numRef>
              <c:f>'MetConv(Ni+V)'!$AT$24:$AT$25</c:f>
              <c:numCache>
                <c:formatCode>General</c:formatCode>
                <c:ptCount val="2"/>
                <c:pt idx="0">
                  <c:v>15</c:v>
                </c:pt>
                <c:pt idx="1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655-45C0-9475-B722CB3FBCE5}"/>
            </c:ext>
          </c:extLst>
        </c:ser>
        <c:ser>
          <c:idx val="2"/>
          <c:order val="3"/>
          <c:tx>
            <c:v>MoC Rx1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1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Template'!$F$167:$U$167</c:f>
              <c:numCache>
                <c:formatCode>0.00</c:formatCode>
                <c:ptCount val="16"/>
                <c:pt idx="0">
                  <c:v>1.9631331071366735</c:v>
                </c:pt>
                <c:pt idx="1">
                  <c:v>3.9067301121866929</c:v>
                </c:pt>
                <c:pt idx="2">
                  <c:v>5.8223926970821314</c:v>
                </c:pt>
                <c:pt idx="3">
                  <c:v>7.7513623917964143</c:v>
                </c:pt>
                <c:pt idx="4">
                  <c:v>9.5300846750521782</c:v>
                </c:pt>
                <c:pt idx="5">
                  <c:v>11.484772640364838</c:v>
                </c:pt>
                <c:pt idx="6">
                  <c:v>13.572821101275562</c:v>
                </c:pt>
                <c:pt idx="7">
                  <c:v>15.525316117765145</c:v>
                </c:pt>
                <c:pt idx="8">
                  <c:v>17.42262812778306</c:v>
                </c:pt>
                <c:pt idx="9">
                  <c:v>19.350343039072719</c:v>
                </c:pt>
                <c:pt idx="10">
                  <c:v>22.690498554791116</c:v>
                </c:pt>
                <c:pt idx="11">
                  <c:v>25.977870192608897</c:v>
                </c:pt>
                <c:pt idx="12">
                  <c:v>29.287507031319798</c:v>
                </c:pt>
                <c:pt idx="13">
                  <c:v>32.546630111991512</c:v>
                </c:pt>
                <c:pt idx="14">
                  <c:v>35.511461666014348</c:v>
                </c:pt>
                <c:pt idx="15">
                  <c:v>38.674810235310133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FB-4898-840C-6F6F80E8F12F}"/>
            </c:ext>
          </c:extLst>
        </c:ser>
        <c:ser>
          <c:idx val="3"/>
          <c:order val="4"/>
          <c:tx>
            <c:v>MoC Rx2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Template'!$F$172:$U$172</c:f>
              <c:numCache>
                <c:formatCode>0.00</c:formatCode>
                <c:ptCount val="16"/>
                <c:pt idx="0">
                  <c:v>0.67200745847576493</c:v>
                </c:pt>
                <c:pt idx="1">
                  <c:v>1.3373274405577751</c:v>
                </c:pt>
                <c:pt idx="2">
                  <c:v>1.9930850864824299</c:v>
                </c:pt>
                <c:pt idx="3">
                  <c:v>2.6533979390899689</c:v>
                </c:pt>
                <c:pt idx="4">
                  <c:v>3.2622790366373184</c:v>
                </c:pt>
                <c:pt idx="5">
                  <c:v>3.9313956069338811</c:v>
                </c:pt>
                <c:pt idx="6">
                  <c:v>4.6461633087722243</c:v>
                </c:pt>
                <c:pt idx="7">
                  <c:v>5.3145292025304487</c:v>
                </c:pt>
                <c:pt idx="8">
                  <c:v>5.9640051943277381</c:v>
                </c:pt>
                <c:pt idx="9">
                  <c:v>6.6238885173139499</c:v>
                </c:pt>
                <c:pt idx="10">
                  <c:v>7.7672696822852858</c:v>
                </c:pt>
                <c:pt idx="11">
                  <c:v>8.8925821999970243</c:v>
                </c:pt>
                <c:pt idx="12">
                  <c:v>10.025516402153004</c:v>
                </c:pt>
                <c:pt idx="13">
                  <c:v>11.141159050295371</c:v>
                </c:pt>
                <c:pt idx="14">
                  <c:v>12.15606166193419</c:v>
                </c:pt>
                <c:pt idx="15">
                  <c:v>13.238919377795334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FB-4898-840C-6F6F80E8F12F}"/>
            </c:ext>
          </c:extLst>
        </c:ser>
        <c:ser>
          <c:idx val="4"/>
          <c:order val="5"/>
          <c:tx>
            <c:v>MoC Rx3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1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Template'!$F$177:$U$177</c:f>
              <c:numCache>
                <c:formatCode>0.00</c:formatCode>
                <c:ptCount val="16"/>
                <c:pt idx="0">
                  <c:v>0.26880298339030606</c:v>
                </c:pt>
                <c:pt idx="1">
                  <c:v>0.53493097622311014</c:v>
                </c:pt>
                <c:pt idx="2">
                  <c:v>0.79723403459297215</c:v>
                </c:pt>
                <c:pt idx="3">
                  <c:v>1.0613591756359877</c:v>
                </c:pt>
                <c:pt idx="4">
                  <c:v>1.3049116146549276</c:v>
                </c:pt>
                <c:pt idx="5">
                  <c:v>1.5725582427735525</c:v>
                </c:pt>
                <c:pt idx="6">
                  <c:v>1.8584653235088904</c:v>
                </c:pt>
                <c:pt idx="7">
                  <c:v>2.1258116810121797</c:v>
                </c:pt>
                <c:pt idx="8">
                  <c:v>2.3856020777310958</c:v>
                </c:pt>
                <c:pt idx="9">
                  <c:v>2.6495554069255807</c:v>
                </c:pt>
                <c:pt idx="10">
                  <c:v>3.1069078729141153</c:v>
                </c:pt>
                <c:pt idx="11">
                  <c:v>3.5570328799988116</c:v>
                </c:pt>
                <c:pt idx="12">
                  <c:v>4.0102065608612039</c:v>
                </c:pt>
                <c:pt idx="13">
                  <c:v>4.45646362011815</c:v>
                </c:pt>
                <c:pt idx="14">
                  <c:v>4.8624246647736769</c:v>
                </c:pt>
                <c:pt idx="15">
                  <c:v>5.2955677511181349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FB-4898-840C-6F6F80E8F12F}"/>
            </c:ext>
          </c:extLst>
        </c:ser>
        <c:ser>
          <c:idx val="5"/>
          <c:order val="6"/>
          <c:tx>
            <c:v>ART Rx1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6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Template'!$I$6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'Master Template'!$I$168</c:f>
              <c:numCache>
                <c:formatCode>0.00</c:formatCode>
                <c:ptCount val="1"/>
                <c:pt idx="0">
                  <c:v>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FB-4898-840C-6F6F80E8F12F}"/>
            </c:ext>
          </c:extLst>
        </c:ser>
        <c:ser>
          <c:idx val="6"/>
          <c:order val="7"/>
          <c:tx>
            <c:v>ART Rx1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Template'!$O$6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'Master Template'!$O$168</c:f>
              <c:numCache>
                <c:formatCode>0.00</c:formatCode>
                <c:ptCount val="1"/>
                <c:pt idx="0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EFB-4898-840C-6F6F80E8F12F}"/>
            </c:ext>
          </c:extLst>
        </c:ser>
        <c:ser>
          <c:idx val="7"/>
          <c:order val="8"/>
          <c:tx>
            <c:v>ART Rx1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Template'!$T$6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'Master Template'!$T$168</c:f>
              <c:numCache>
                <c:formatCode>0.00</c:formatCode>
                <c:ptCount val="1"/>
                <c:pt idx="0">
                  <c:v>29.8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EFB-4898-840C-6F6F80E8F12F}"/>
            </c:ext>
          </c:extLst>
        </c:ser>
        <c:ser>
          <c:idx val="8"/>
          <c:order val="9"/>
          <c:tx>
            <c:v>ART Rx2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3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Template'!$I$6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'Master Template'!$I$173</c:f>
              <c:numCache>
                <c:formatCode>0.00</c:formatCode>
                <c:ptCount val="1"/>
                <c:pt idx="0">
                  <c:v>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EFB-4898-840C-6F6F80E8F12F}"/>
            </c:ext>
          </c:extLst>
        </c:ser>
        <c:ser>
          <c:idx val="9"/>
          <c:order val="10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Template'!$O$6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'Master Template'!$O$173</c:f>
              <c:numCache>
                <c:formatCode>0.00</c:formatCode>
                <c:ptCount val="1"/>
                <c:pt idx="0">
                  <c:v>8.6999999999999993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EFB-4898-840C-6F6F80E8F12F}"/>
            </c:ext>
          </c:extLst>
        </c:ser>
        <c:ser>
          <c:idx val="10"/>
          <c:order val="11"/>
          <c:spPr>
            <a:ln w="25400" cap="rnd">
              <a:noFill/>
              <a:round/>
            </a:ln>
            <a:effectLst/>
          </c:spPr>
          <c:marker>
            <c:symbol val="diamond"/>
            <c:size val="16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Template'!$T$6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'Master Template'!$T$173</c:f>
              <c:numCache>
                <c:formatCode>0.00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EFB-4898-840C-6F6F80E8F12F}"/>
            </c:ext>
          </c:extLst>
        </c:ser>
        <c:ser>
          <c:idx val="11"/>
          <c:order val="12"/>
          <c:tx>
            <c:v>ART Rx3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3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Template'!$T$6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'Master Template'!$T$178</c:f>
              <c:numCache>
                <c:formatCode>0.00</c:formatCode>
                <c:ptCount val="1"/>
                <c:pt idx="0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EFB-4898-840C-6F6F80E8F12F}"/>
            </c:ext>
          </c:extLst>
        </c:ser>
        <c:ser>
          <c:idx val="12"/>
          <c:order val="13"/>
          <c:spPr>
            <a:ln w="25400" cap="rnd">
              <a:noFill/>
              <a:round/>
            </a:ln>
            <a:effectLst/>
          </c:spPr>
          <c:marker>
            <c:symbol val="square"/>
            <c:size val="11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Template'!$I$6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'Master Template'!$I$178</c:f>
              <c:numCache>
                <c:formatCode>0.00</c:formatCode>
                <c:ptCount val="1"/>
                <c:pt idx="0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EFB-4898-840C-6F6F80E8F12F}"/>
            </c:ext>
          </c:extLst>
        </c:ser>
        <c:ser>
          <c:idx val="13"/>
          <c:order val="14"/>
          <c:spPr>
            <a:ln w="25400" cap="rnd">
              <a:noFill/>
              <a:round/>
            </a:ln>
            <a:effectLst/>
          </c:spPr>
          <c:marker>
            <c:symbol val="square"/>
            <c:size val="11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'Master Template'!$O$6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'Master Template'!$O$178</c:f>
              <c:numCache>
                <c:formatCode>0.00</c:formatCode>
                <c:ptCount val="1"/>
                <c:pt idx="0">
                  <c:v>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EFB-4898-840C-6F6F80E8F12F}"/>
            </c:ext>
          </c:extLst>
        </c:ser>
        <c:ser>
          <c:idx val="14"/>
          <c:order val="15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3">
                    <a:lumMod val="80000"/>
                    <a:lumOff val="20000"/>
                  </a:schemeClr>
                </a:solidFill>
                <a:ln w="28575">
                  <a:solidFill>
                    <a:schemeClr val="bg1">
                      <a:lumMod val="50000"/>
                    </a:schemeClr>
                  </a:solidFill>
                  <a:prstDash val="sysDot"/>
                </a:ln>
                <a:effectLst/>
              </c:spPr>
            </c:marker>
            <c:bubble3D val="0"/>
            <c:spPr>
              <a:ln w="2540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EFB-4898-840C-6F6F80E8F12F}"/>
              </c:ext>
            </c:extLst>
          </c:dPt>
          <c:xVal>
            <c:numRef>
              <c:f>'MetConv(Ni+V)'!$AE$58:$AE$59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'MetConv(Ni+V)'!$AF$58:$AF$59</c:f>
              <c:numCache>
                <c:formatCode>General</c:formatCode>
                <c:ptCount val="2"/>
                <c:pt idx="0">
                  <c:v>-5</c:v>
                </c:pt>
                <c:pt idx="1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EFB-4898-840C-6F6F80E8F12F}"/>
            </c:ext>
          </c:extLst>
        </c:ser>
        <c:ser>
          <c:idx val="15"/>
          <c:order val="16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4">
                    <a:lumMod val="80000"/>
                    <a:lumOff val="20000"/>
                  </a:schemeClr>
                </a:solidFill>
                <a:ln w="9525">
                  <a:solidFill>
                    <a:schemeClr val="bg1">
                      <a:lumMod val="50000"/>
                    </a:schemeClr>
                  </a:solidFill>
                  <a:prstDash val="sysDot"/>
                </a:ln>
                <a:effectLst/>
              </c:spPr>
            </c:marker>
            <c:bubble3D val="0"/>
            <c:spPr>
              <a:ln w="2540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EFB-4898-840C-6F6F80E8F12F}"/>
              </c:ext>
            </c:extLst>
          </c:dPt>
          <c:xVal>
            <c:numRef>
              <c:f>'MetConv(Ni+V)'!$AE$61:$AE$62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'MetConv(Ni+V)'!$AF$61:$AF$62</c:f>
              <c:numCache>
                <c:formatCode>General</c:formatCode>
                <c:ptCount val="2"/>
                <c:pt idx="0">
                  <c:v>-5</c:v>
                </c:pt>
                <c:pt idx="1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EFB-4898-840C-6F6F80E8F12F}"/>
            </c:ext>
          </c:extLst>
        </c:ser>
        <c:ser>
          <c:idx val="17"/>
          <c:order val="17"/>
          <c:tx>
            <c:v>MoC Max of Rx2</c:v>
          </c:tx>
          <c:spPr>
            <a:ln w="25400" cap="rnd">
              <a:solidFill>
                <a:srgbClr val="2D0DA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28575">
                <a:solidFill>
                  <a:srgbClr val="2D0DA3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6">
                    <a:lumMod val="80000"/>
                    <a:lumOff val="20000"/>
                  </a:schemeClr>
                </a:solidFill>
                <a:ln w="28575">
                  <a:solidFill>
                    <a:srgbClr val="2D0DA3"/>
                  </a:solidFill>
                  <a:prstDash val="sysDash"/>
                </a:ln>
                <a:effectLst/>
              </c:spPr>
            </c:marker>
            <c:bubble3D val="0"/>
            <c:spPr>
              <a:ln w="25400" cap="rnd">
                <a:solidFill>
                  <a:srgbClr val="2D0DA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F655-45C0-9475-B722CB3FBCE5}"/>
              </c:ext>
            </c:extLst>
          </c:dPt>
          <c:xVal>
            <c:numRef>
              <c:f>'MetConv(Ni+V)'!$AS$20:$AS$21</c:f>
              <c:numCache>
                <c:formatCode>General</c:formatCode>
                <c:ptCount val="2"/>
                <c:pt idx="0">
                  <c:v>-5</c:v>
                </c:pt>
                <c:pt idx="1">
                  <c:v>30</c:v>
                </c:pt>
              </c:numCache>
            </c:numRef>
          </c:xVal>
          <c:yVal>
            <c:numRef>
              <c:f>'MetConv(Ni+V)'!$AT$20:$AT$21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655-45C0-9475-B722CB3FBCE5}"/>
            </c:ext>
          </c:extLst>
        </c:ser>
        <c:ser>
          <c:idx val="16"/>
          <c:order val="18"/>
          <c:tx>
            <c:v>MoC max of Rx3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rgbClr val="FF000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5">
                    <a:lumMod val="80000"/>
                    <a:lumOff val="20000"/>
                  </a:schemeClr>
                </a:solidFill>
                <a:ln w="317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31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6759-4F86-8D01-67D57A4D5EF7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5">
                    <a:lumMod val="80000"/>
                    <a:lumOff val="20000"/>
                  </a:schemeClr>
                </a:solidFill>
                <a:ln w="28575">
                  <a:solidFill>
                    <a:srgbClr val="FF0000"/>
                  </a:solidFill>
                  <a:prstDash val="sysDash"/>
                </a:ln>
                <a:effectLst/>
              </c:spPr>
            </c:marker>
            <c:bubble3D val="0"/>
            <c:spPr>
              <a:ln w="254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655-45C0-9475-B722CB3FBCE5}"/>
              </c:ext>
            </c:extLst>
          </c:dPt>
          <c:xVal>
            <c:numRef>
              <c:f>'MetConv(Ni+V)'!$AS$16:$AS$17</c:f>
              <c:numCache>
                <c:formatCode>General</c:formatCode>
                <c:ptCount val="2"/>
                <c:pt idx="0">
                  <c:v>-5</c:v>
                </c:pt>
                <c:pt idx="1">
                  <c:v>30</c:v>
                </c:pt>
              </c:numCache>
            </c:numRef>
          </c:xVal>
          <c:yVal>
            <c:numRef>
              <c:f>'MetConv(Ni+V)'!$AT$16:$AT$17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55-45C0-9475-B722CB3FB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78.072269550409914</c:v>
                      </c:pt>
                      <c:pt idx="1">
                        <c:v>79.901132240931815</c:v>
                      </c:pt>
                      <c:pt idx="2">
                        <c:v>80.115950339524659</c:v>
                      </c:pt>
                      <c:pt idx="3">
                        <c:v>80.61522293225029</c:v>
                      </c:pt>
                      <c:pt idx="4">
                        <c:v>94.111229621789718</c:v>
                      </c:pt>
                      <c:pt idx="5">
                        <c:v>92.344274622059316</c:v>
                      </c:pt>
                      <c:pt idx="6">
                        <c:v>90.542465472241489</c:v>
                      </c:pt>
                      <c:pt idx="7">
                        <c:v>91.228491345592857</c:v>
                      </c:pt>
                      <c:pt idx="8">
                        <c:v>89.246227622741543</c:v>
                      </c:pt>
                      <c:pt idx="9">
                        <c:v>89.473039000423952</c:v>
                      </c:pt>
                      <c:pt idx="10">
                        <c:v>94.066807730052702</c:v>
                      </c:pt>
                      <c:pt idx="11">
                        <c:v>92.125612856891621</c:v>
                      </c:pt>
                      <c:pt idx="12">
                        <c:v>88.348670633282524</c:v>
                      </c:pt>
                      <c:pt idx="13">
                        <c:v>91.035913042577661</c:v>
                      </c:pt>
                      <c:pt idx="14">
                        <c:v>85.400994196023262</c:v>
                      </c:pt>
                      <c:pt idx="15">
                        <c:v>89.198765796827644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3EFB-4898-840C-6F6F80E8F12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Template'!$F$179:$U$179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  <c:pt idx="7">
                        <c:v>95.5</c:v>
                      </c:pt>
                      <c:pt idx="8">
                        <c:v>95</c:v>
                      </c:pt>
                      <c:pt idx="9">
                        <c:v>94.6</c:v>
                      </c:pt>
                      <c:pt idx="10">
                        <c:v>94.6</c:v>
                      </c:pt>
                      <c:pt idx="11">
                        <c:v>91</c:v>
                      </c:pt>
                      <c:pt idx="12">
                        <c:v>90.5</c:v>
                      </c:pt>
                      <c:pt idx="13">
                        <c:v>92</c:v>
                      </c:pt>
                      <c:pt idx="14">
                        <c:v>91.5</c:v>
                      </c:pt>
                      <c:pt idx="15">
                        <c:v>90.7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EFB-4898-840C-6F6F80E8F12F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Day on 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1"/>
                  <a:t>%MoC</a:t>
                </a:r>
              </a:p>
            </c:rich>
          </c:tx>
          <c:layout>
            <c:manualLayout>
              <c:xMode val="edge"/>
              <c:yMode val="edge"/>
              <c:x val="1.6903670040179616E-2"/>
              <c:y val="0.4063281470270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ayout>
        <c:manualLayout>
          <c:xMode val="edge"/>
          <c:yMode val="edge"/>
          <c:x val="0.89055021331112327"/>
          <c:y val="0.27332381610874462"/>
          <c:w val="9.8558166012561968E-2"/>
          <c:h val="0.3643738506153210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03186562762042"/>
          <c:y val="0.24550471633808696"/>
          <c:w val="0.73745541026421857"/>
          <c:h val="0.61468804006525202"/>
        </c:manualLayout>
      </c:layout>
      <c:scatterChart>
        <c:scatterStyle val="lineMarker"/>
        <c:varyColors val="0"/>
        <c:ser>
          <c:idx val="1"/>
          <c:order val="0"/>
          <c:tx>
            <c:v>ART Reference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F8B-4D86-94F1-B095E2787CE4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8B-4D86-94F1-B095E2787C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Template'!$F$179:$U$179</c:f>
              <c:numCache>
                <c:formatCode>0.00</c:formatCode>
                <c:ptCount val="16"/>
                <c:pt idx="0">
                  <c:v>88</c:v>
                </c:pt>
                <c:pt idx="1">
                  <c:v>84.3</c:v>
                </c:pt>
                <c:pt idx="2">
                  <c:v>82.5</c:v>
                </c:pt>
                <c:pt idx="3">
                  <c:v>81.2</c:v>
                </c:pt>
                <c:pt idx="4">
                  <c:v>97.6</c:v>
                </c:pt>
                <c:pt idx="5">
                  <c:v>97</c:v>
                </c:pt>
                <c:pt idx="6">
                  <c:v>96</c:v>
                </c:pt>
                <c:pt idx="7">
                  <c:v>95.5</c:v>
                </c:pt>
                <c:pt idx="8">
                  <c:v>95</c:v>
                </c:pt>
                <c:pt idx="9">
                  <c:v>94.6</c:v>
                </c:pt>
                <c:pt idx="10">
                  <c:v>94.6</c:v>
                </c:pt>
                <c:pt idx="11">
                  <c:v>91</c:v>
                </c:pt>
                <c:pt idx="12">
                  <c:v>90.5</c:v>
                </c:pt>
                <c:pt idx="13">
                  <c:v>92</c:v>
                </c:pt>
                <c:pt idx="14">
                  <c:v>91.5</c:v>
                </c:pt>
                <c:pt idx="15">
                  <c:v>90.7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45-475F-9202-F43860BE5CB6}"/>
            </c:ext>
          </c:extLst>
        </c:ser>
        <c:ser>
          <c:idx val="0"/>
          <c:order val="1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8B-4D86-94F1-B095E2787CE4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8B-4D86-94F1-B095E2787C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Template'!$F$163:$U$163</c:f>
              <c:numCache>
                <c:formatCode>0.00</c:formatCode>
                <c:ptCount val="16"/>
                <c:pt idx="0">
                  <c:v>78.072269550409914</c:v>
                </c:pt>
                <c:pt idx="1">
                  <c:v>79.901132240931815</c:v>
                </c:pt>
                <c:pt idx="2">
                  <c:v>80.115950339524659</c:v>
                </c:pt>
                <c:pt idx="3">
                  <c:v>80.61522293225029</c:v>
                </c:pt>
                <c:pt idx="4">
                  <c:v>94.111229621789718</c:v>
                </c:pt>
                <c:pt idx="5">
                  <c:v>92.344274622059316</c:v>
                </c:pt>
                <c:pt idx="6">
                  <c:v>90.542465472241489</c:v>
                </c:pt>
                <c:pt idx="7">
                  <c:v>91.228491345592857</c:v>
                </c:pt>
                <c:pt idx="8">
                  <c:v>89.246227622741543</c:v>
                </c:pt>
                <c:pt idx="9">
                  <c:v>89.473039000423952</c:v>
                </c:pt>
                <c:pt idx="10">
                  <c:v>94.066807730052702</c:v>
                </c:pt>
                <c:pt idx="11">
                  <c:v>92.125612856891621</c:v>
                </c:pt>
                <c:pt idx="12">
                  <c:v>88.348670633282524</c:v>
                </c:pt>
                <c:pt idx="13">
                  <c:v>91.035913042577661</c:v>
                </c:pt>
                <c:pt idx="14">
                  <c:v>85.400994196023262</c:v>
                </c:pt>
                <c:pt idx="15">
                  <c:v>89.198765796827644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5-475F-9202-F43860BE5CB6}"/>
            </c:ext>
          </c:extLst>
        </c:ser>
        <c:ser>
          <c:idx val="2"/>
          <c:order val="2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'MetConv(Ni+V)'!$I$58:$I$59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'MetConv(Ni+V)'!$J$58:$J$59</c:f>
              <c:numCache>
                <c:formatCode>General</c:formatCode>
                <c:ptCount val="2"/>
                <c:pt idx="0">
                  <c:v>-5</c:v>
                </c:pt>
                <c:pt idx="1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90-4BF5-9505-F9C55703A251}"/>
            </c:ext>
          </c:extLst>
        </c:ser>
        <c:ser>
          <c:idx val="3"/>
          <c:order val="3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xVal>
            <c:numRef>
              <c:f>'MetConv(Ni+V)'!$I$61:$I$62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'MetConv(Ni+V)'!$J$61:$J$62</c:f>
              <c:numCache>
                <c:formatCode>General</c:formatCode>
                <c:ptCount val="2"/>
                <c:pt idx="0">
                  <c:v>-5</c:v>
                </c:pt>
                <c:pt idx="1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90-4BF5-9505-F9C55703A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</c:scatterChart>
      <c:valAx>
        <c:axId val="628797440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39740644180483492"/>
              <c:y val="0.932777403236159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%wt Conversion</a:t>
                </a:r>
              </a:p>
            </c:rich>
          </c:tx>
          <c:layout>
            <c:manualLayout>
              <c:xMode val="edge"/>
              <c:yMode val="edge"/>
              <c:x val="1.7931012725297468E-2"/>
              <c:y val="0.377994076059690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9549869727355835"/>
          <c:y val="0.27806754276770801"/>
          <c:w val="9.2079066336005322E-2"/>
          <c:h val="6.864539797211193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7434526246167"/>
          <c:y val="0.25322407554368004"/>
          <c:w val="0.71849024382536286"/>
          <c:h val="0.60740729954641759"/>
        </c:manualLayout>
      </c:layout>
      <c:scatterChart>
        <c:scatterStyle val="lineMarker"/>
        <c:varyColors val="0"/>
        <c:ser>
          <c:idx val="1"/>
          <c:order val="0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Template'!$F$199:$U$199</c:f>
              <c:numCache>
                <c:formatCode>0.0</c:formatCode>
                <c:ptCount val="16"/>
                <c:pt idx="0">
                  <c:v>47.705682757165718</c:v>
                </c:pt>
                <c:pt idx="1">
                  <c:v>49.620880932128486</c:v>
                </c:pt>
                <c:pt idx="2">
                  <c:v>49.683197888870907</c:v>
                </c:pt>
                <c:pt idx="3">
                  <c:v>49.651261793146482</c:v>
                </c:pt>
                <c:pt idx="4">
                  <c:v>74.060109817661484</c:v>
                </c:pt>
                <c:pt idx="5">
                  <c:v>63.489252396222099</c:v>
                </c:pt>
                <c:pt idx="6">
                  <c:v>61.570482773284532</c:v>
                </c:pt>
                <c:pt idx="7">
                  <c:v>62.174573502884058</c:v>
                </c:pt>
                <c:pt idx="8">
                  <c:v>61.779317173880806</c:v>
                </c:pt>
                <c:pt idx="9">
                  <c:v>60.485350664392257</c:v>
                </c:pt>
                <c:pt idx="10">
                  <c:v>63.954286372434169</c:v>
                </c:pt>
                <c:pt idx="11">
                  <c:v>65.187542592992855</c:v>
                </c:pt>
                <c:pt idx="12">
                  <c:v>62.807563599609892</c:v>
                </c:pt>
                <c:pt idx="13">
                  <c:v>65.432369314502154</c:v>
                </c:pt>
                <c:pt idx="14">
                  <c:v>62.303547213487683</c:v>
                </c:pt>
                <c:pt idx="15">
                  <c:v>67.734154304201553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A0-40CB-A648-BD056F619F5E}"/>
            </c:ext>
          </c:extLst>
        </c:ser>
        <c:ser>
          <c:idx val="0"/>
          <c:order val="1"/>
          <c:tx>
            <c:v>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Template'!$F$200:$U$200</c:f>
              <c:numCache>
                <c:formatCode>0.0</c:formatCode>
                <c:ptCount val="16"/>
                <c:pt idx="0">
                  <c:v>56</c:v>
                </c:pt>
                <c:pt idx="1">
                  <c:v>50</c:v>
                </c:pt>
                <c:pt idx="2">
                  <c:v>49</c:v>
                </c:pt>
                <c:pt idx="3">
                  <c:v>48</c:v>
                </c:pt>
                <c:pt idx="4">
                  <c:v>70</c:v>
                </c:pt>
                <c:pt idx="5">
                  <c:v>69</c:v>
                </c:pt>
                <c:pt idx="6">
                  <c:v>66</c:v>
                </c:pt>
                <c:pt idx="7">
                  <c:v>66.5</c:v>
                </c:pt>
                <c:pt idx="8">
                  <c:v>65.5</c:v>
                </c:pt>
                <c:pt idx="9">
                  <c:v>64.400000000000006</c:v>
                </c:pt>
                <c:pt idx="10">
                  <c:v>61.5</c:v>
                </c:pt>
                <c:pt idx="11">
                  <c:v>58.5</c:v>
                </c:pt>
                <c:pt idx="12">
                  <c:v>60.5</c:v>
                </c:pt>
                <c:pt idx="13">
                  <c:v>61.8</c:v>
                </c:pt>
                <c:pt idx="14">
                  <c:v>61</c:v>
                </c:pt>
                <c:pt idx="15">
                  <c:v>62.1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A0-40CB-A648-BD056F619F5E}"/>
            </c:ext>
          </c:extLst>
        </c:ser>
        <c:ser>
          <c:idx val="2"/>
          <c:order val="2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McrConv!$F$42:$F$43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McrConv!$G$42:$G$43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DB-4776-A5BA-602A9F58787F}"/>
            </c:ext>
          </c:extLst>
        </c:ser>
        <c:ser>
          <c:idx val="3"/>
          <c:order val="3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McrConv!$F$45:$F$46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McrConv!$G$45:$G$46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DB-4776-A5BA-602A9F587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0135575476419694"/>
              <c:y val="0.921034721261585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9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 wt Conversion</a:t>
                </a:r>
              </a:p>
            </c:rich>
          </c:tx>
          <c:layout>
            <c:manualLayout>
              <c:xMode val="edge"/>
              <c:yMode val="edge"/>
              <c:x val="3.701671649783729E-2"/>
              <c:y val="0.422395905381103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4507729285882072"/>
          <c:y val="0.42735313175732248"/>
          <c:w val="0.12221888003704993"/>
          <c:h val="0.15166573232084221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48968487386559"/>
          <c:y val="0.2443541011328266"/>
          <c:w val="0.70870663148881918"/>
          <c:h val="0.61752164216507233"/>
        </c:manualLayout>
      </c:layout>
      <c:scatterChart>
        <c:scatterStyle val="lineMarker"/>
        <c:varyColors val="0"/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MetConv_Ni_V!$G$47:$G$48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MetConv_Ni_V!$H$47:$H$48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EF-48DB-AE45-9BAB2E2647D7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MetConv_Ni_V!$G$50:$G$51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MetConv_Ni_V!$H$50:$H$51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EF-48DB-AE45-9BAB2E2647D7}"/>
            </c:ext>
          </c:extLst>
        </c:ser>
        <c:ser>
          <c:idx val="10"/>
          <c:order val="10"/>
          <c:tx>
            <c:v>LTO Split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2"/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Template'!$F$61:$U$61</c:f>
              <c:numCache>
                <c:formatCode>0.00</c:formatCode>
                <c:ptCount val="16"/>
                <c:pt idx="0">
                  <c:v>1.453428863868987</c:v>
                </c:pt>
                <c:pt idx="1">
                  <c:v>2.4116657319125072</c:v>
                </c:pt>
                <c:pt idx="2">
                  <c:v>6.0539350577875624</c:v>
                </c:pt>
                <c:pt idx="3">
                  <c:v>3.5926449787835932</c:v>
                </c:pt>
                <c:pt idx="4">
                  <c:v>15.805946791862285</c:v>
                </c:pt>
                <c:pt idx="5">
                  <c:v>4.2643923240938175</c:v>
                </c:pt>
                <c:pt idx="6">
                  <c:v>5.4579971523493116</c:v>
                </c:pt>
                <c:pt idx="7">
                  <c:v>4.9230769230769234</c:v>
                </c:pt>
                <c:pt idx="8">
                  <c:v>4.1815400305966337</c:v>
                </c:pt>
                <c:pt idx="9">
                  <c:v>4.6224961479198772</c:v>
                </c:pt>
                <c:pt idx="10">
                  <c:v>5.4067971163748707</c:v>
                </c:pt>
                <c:pt idx="11">
                  <c:v>5.4837040869115361</c:v>
                </c:pt>
                <c:pt idx="12">
                  <c:v>5.9874456784162247</c:v>
                </c:pt>
                <c:pt idx="13">
                  <c:v>5.7435897435897436</c:v>
                </c:pt>
                <c:pt idx="14">
                  <c:v>5.3724928366762184</c:v>
                </c:pt>
                <c:pt idx="15">
                  <c:v>8.4476773020333926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8EF-48DB-AE45-9BAB2E264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Template'!$F$163:$L$163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78.072269550409914</c:v>
                      </c:pt>
                      <c:pt idx="1">
                        <c:v>79.901132240931815</c:v>
                      </c:pt>
                      <c:pt idx="2">
                        <c:v>80.115950339524659</c:v>
                      </c:pt>
                      <c:pt idx="3">
                        <c:v>80.61522293225029</c:v>
                      </c:pt>
                      <c:pt idx="4">
                        <c:v>94.111229621789718</c:v>
                      </c:pt>
                      <c:pt idx="5">
                        <c:v>92.344274622059316</c:v>
                      </c:pt>
                      <c:pt idx="6">
                        <c:v>90.542465472241489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58EF-48DB-AE45-9BAB2E2647D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Template'!$F$179:$L$179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8EF-48DB-AE45-9BAB2E2647D7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V_TOP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Template'!$F$152:$U$152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82.393196663352413</c:v>
                      </c:pt>
                      <c:pt idx="1">
                        <c:v>83.745417317250343</c:v>
                      </c:pt>
                      <c:pt idx="2">
                        <c:v>83.673356241923699</c:v>
                      </c:pt>
                      <c:pt idx="3">
                        <c:v>84.120775648935904</c:v>
                      </c:pt>
                      <c:pt idx="4">
                        <c:v>96.437785995494835</c:v>
                      </c:pt>
                      <c:pt idx="5">
                        <c:v>95.098931432876725</c:v>
                      </c:pt>
                      <c:pt idx="6">
                        <c:v>93.544451041530891</c:v>
                      </c:pt>
                      <c:pt idx="7">
                        <c:v>94.195798984056921</c:v>
                      </c:pt>
                      <c:pt idx="8">
                        <c:v>92.583861588607917</c:v>
                      </c:pt>
                      <c:pt idx="9">
                        <c:v>92.564441410955297</c:v>
                      </c:pt>
                      <c:pt idx="10">
                        <c:v>96.170295347279151</c:v>
                      </c:pt>
                      <c:pt idx="11">
                        <c:v>94.569944887125672</c:v>
                      </c:pt>
                      <c:pt idx="12">
                        <c:v>91.338075818996401</c:v>
                      </c:pt>
                      <c:pt idx="13">
                        <c:v>93.785761888483108</c:v>
                      </c:pt>
                      <c:pt idx="14">
                        <c:v>88.734090659631264</c:v>
                      </c:pt>
                      <c:pt idx="15">
                        <c:v>91.726677632133274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8EF-48DB-AE45-9BAB2E2647D7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V_ART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Template'!$F$153:$U$153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8EF-48DB-AE45-9BAB2E2647D7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Ni_TOP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1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Template'!$F$148:$U$148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63.483696206104412</c:v>
                      </c:pt>
                      <c:pt idx="1">
                        <c:v>66.921826335884944</c:v>
                      </c:pt>
                      <c:pt idx="2">
                        <c:v>68.105223112220841</c:v>
                      </c:pt>
                      <c:pt idx="3">
                        <c:v>68.779565541382766</c:v>
                      </c:pt>
                      <c:pt idx="4">
                        <c:v>88.242298247189183</c:v>
                      </c:pt>
                      <c:pt idx="5">
                        <c:v>85.395424396041761</c:v>
                      </c:pt>
                      <c:pt idx="6">
                        <c:v>82.969707944065775</c:v>
                      </c:pt>
                      <c:pt idx="7">
                        <c:v>83.743211773475849</c:v>
                      </c:pt>
                      <c:pt idx="8">
                        <c:v>80.826769181676411</c:v>
                      </c:pt>
                      <c:pt idx="9">
                        <c:v>81.67472007562202</c:v>
                      </c:pt>
                      <c:pt idx="10">
                        <c:v>88.155430386603769</c:v>
                      </c:pt>
                      <c:pt idx="11">
                        <c:v>85.25636919457601</c:v>
                      </c:pt>
                      <c:pt idx="12">
                        <c:v>79.947621851013636</c:v>
                      </c:pt>
                      <c:pt idx="13">
                        <c:v>83.308083302829374</c:v>
                      </c:pt>
                      <c:pt idx="14">
                        <c:v>76.034078623455301</c:v>
                      </c:pt>
                      <c:pt idx="15">
                        <c:v>82.094639950265218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8EF-48DB-AE45-9BAB2E2647D7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Ni_ART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Template'!$F$149:$U$149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8EF-48DB-AE45-9BAB2E2647D7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8EF-48DB-AE45-9BAB2E2647D7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8EF-48DB-AE45-9BAB2E2647D7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4342749497534123"/>
              <c:y val="0.915622872974190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%wt LTO of  Liquid Recovery</a:t>
                </a:r>
              </a:p>
            </c:rich>
          </c:tx>
          <c:layout>
            <c:manualLayout>
              <c:xMode val="edge"/>
              <c:yMode val="edge"/>
              <c:x val="7.4630391476631572E-2"/>
              <c:y val="0.439215605863648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solidFill>
            <a:schemeClr val="bg1">
              <a:lumMod val="50000"/>
            </a:schemeClr>
          </a:solidFill>
          <a:prstDash val="sysDot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HPS Simdist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03623699252627"/>
          <c:y val="8.572117501901709E-2"/>
          <c:w val="0.76219950210754861"/>
          <c:h val="0.81184027107984258"/>
        </c:manualLayout>
      </c:layout>
      <c:scatterChart>
        <c:scatterStyle val="smoothMarker"/>
        <c:varyColors val="0"/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'HPS Comparing'!$D$10:$N$110</c:f>
              <c:multiLvlStrCache>
                <c:ptCount val="101"/>
                <c:lvl>
                  <c:pt idx="0">
                    <c:v>95.5</c:v>
                  </c:pt>
                  <c:pt idx="1">
                    <c:v>125.7</c:v>
                  </c:pt>
                  <c:pt idx="2">
                    <c:v>155.6</c:v>
                  </c:pt>
                  <c:pt idx="3">
                    <c:v>174.7</c:v>
                  </c:pt>
                  <c:pt idx="4">
                    <c:v>190.5</c:v>
                  </c:pt>
                  <c:pt idx="5">
                    <c:v>203.2</c:v>
                  </c:pt>
                  <c:pt idx="6">
                    <c:v>216</c:v>
                  </c:pt>
                  <c:pt idx="7">
                    <c:v>226</c:v>
                  </c:pt>
                  <c:pt idx="8">
                    <c:v>235.1</c:v>
                  </c:pt>
                  <c:pt idx="9">
                    <c:v>245.2</c:v>
                  </c:pt>
                  <c:pt idx="10">
                    <c:v>253.3</c:v>
                  </c:pt>
                  <c:pt idx="11">
                    <c:v>262.5</c:v>
                  </c:pt>
                  <c:pt idx="12">
                    <c:v>270.2</c:v>
                  </c:pt>
                  <c:pt idx="13">
                    <c:v>278.8</c:v>
                  </c:pt>
                  <c:pt idx="14">
                    <c:v>286.4</c:v>
                  </c:pt>
                  <c:pt idx="15">
                    <c:v>294.1</c:v>
                  </c:pt>
                  <c:pt idx="16">
                    <c:v>301</c:v>
                  </c:pt>
                  <c:pt idx="17">
                    <c:v>308</c:v>
                  </c:pt>
                  <c:pt idx="18">
                    <c:v>314.9</c:v>
                  </c:pt>
                  <c:pt idx="19">
                    <c:v>321.3</c:v>
                  </c:pt>
                  <c:pt idx="20">
                    <c:v>328.2</c:v>
                  </c:pt>
                  <c:pt idx="21">
                    <c:v>334.2</c:v>
                  </c:pt>
                  <c:pt idx="22">
                    <c:v>340.8</c:v>
                  </c:pt>
                  <c:pt idx="23">
                    <c:v>346.4</c:v>
                  </c:pt>
                  <c:pt idx="24">
                    <c:v>352.3</c:v>
                  </c:pt>
                  <c:pt idx="25">
                    <c:v>357.5</c:v>
                  </c:pt>
                  <c:pt idx="26">
                    <c:v>363.2</c:v>
                  </c:pt>
                  <c:pt idx="27">
                    <c:v>368.5</c:v>
                  </c:pt>
                  <c:pt idx="28">
                    <c:v>375.1</c:v>
                  </c:pt>
                  <c:pt idx="29">
                    <c:v>381.5</c:v>
                  </c:pt>
                  <c:pt idx="30">
                    <c:v>388.2</c:v>
                  </c:pt>
                  <c:pt idx="31">
                    <c:v>393.9</c:v>
                  </c:pt>
                  <c:pt idx="32">
                    <c:v>399.4</c:v>
                  </c:pt>
                  <c:pt idx="33">
                    <c:v>404.7</c:v>
                  </c:pt>
                  <c:pt idx="34">
                    <c:v>410</c:v>
                  </c:pt>
                  <c:pt idx="35">
                    <c:v>415.6</c:v>
                  </c:pt>
                  <c:pt idx="36">
                    <c:v>421</c:v>
                  </c:pt>
                  <c:pt idx="37">
                    <c:v>427</c:v>
                  </c:pt>
                  <c:pt idx="38">
                    <c:v>432.5</c:v>
                  </c:pt>
                  <c:pt idx="39">
                    <c:v>438.1</c:v>
                  </c:pt>
                  <c:pt idx="40">
                    <c:v>443.3</c:v>
                  </c:pt>
                  <c:pt idx="41">
                    <c:v>448.5</c:v>
                  </c:pt>
                  <c:pt idx="42">
                    <c:v>454.3</c:v>
                  </c:pt>
                  <c:pt idx="43">
                    <c:v>459.9</c:v>
                  </c:pt>
                  <c:pt idx="44">
                    <c:v>465.4</c:v>
                  </c:pt>
                  <c:pt idx="45">
                    <c:v>471</c:v>
                  </c:pt>
                  <c:pt idx="46">
                    <c:v>476.4</c:v>
                  </c:pt>
                  <c:pt idx="47">
                    <c:v>481.9</c:v>
                  </c:pt>
                  <c:pt idx="48">
                    <c:v>487.5</c:v>
                  </c:pt>
                  <c:pt idx="49">
                    <c:v>493.2</c:v>
                  </c:pt>
                  <c:pt idx="50">
                    <c:v>498.4</c:v>
                  </c:pt>
                  <c:pt idx="51">
                    <c:v>503.4</c:v>
                  </c:pt>
                  <c:pt idx="52">
                    <c:v>508.3</c:v>
                  </c:pt>
                  <c:pt idx="53">
                    <c:v>513.7</c:v>
                  </c:pt>
                  <c:pt idx="54">
                    <c:v>519.1</c:v>
                  </c:pt>
                  <c:pt idx="55">
                    <c:v>524.2</c:v>
                  </c:pt>
                  <c:pt idx="56">
                    <c:v>529.1</c:v>
                  </c:pt>
                  <c:pt idx="57">
                    <c:v>533.9</c:v>
                  </c:pt>
                  <c:pt idx="58">
                    <c:v>538.7</c:v>
                  </c:pt>
                  <c:pt idx="59">
                    <c:v>543.3</c:v>
                  </c:pt>
                  <c:pt idx="60">
                    <c:v>548.1</c:v>
                  </c:pt>
                  <c:pt idx="61">
                    <c:v>552.8</c:v>
                  </c:pt>
                  <c:pt idx="62">
                    <c:v>557.4</c:v>
                  </c:pt>
                  <c:pt idx="63">
                    <c:v>561.8</c:v>
                  </c:pt>
                  <c:pt idx="64">
                    <c:v>566.1</c:v>
                  </c:pt>
                  <c:pt idx="65">
                    <c:v>570.2</c:v>
                  </c:pt>
                  <c:pt idx="66">
                    <c:v>574.2</c:v>
                  </c:pt>
                  <c:pt idx="67">
                    <c:v>578.5</c:v>
                  </c:pt>
                  <c:pt idx="68">
                    <c:v>582.9</c:v>
                  </c:pt>
                  <c:pt idx="69">
                    <c:v>587.2</c:v>
                  </c:pt>
                  <c:pt idx="70">
                    <c:v>591.6</c:v>
                  </c:pt>
                  <c:pt idx="71">
                    <c:v>596</c:v>
                  </c:pt>
                  <c:pt idx="72">
                    <c:v>600.5</c:v>
                  </c:pt>
                  <c:pt idx="73">
                    <c:v>605.3</c:v>
                  </c:pt>
                  <c:pt idx="74">
                    <c:v>610.3</c:v>
                  </c:pt>
                  <c:pt idx="75">
                    <c:v>615.3</c:v>
                  </c:pt>
                  <c:pt idx="76">
                    <c:v>620.9</c:v>
                  </c:pt>
                  <c:pt idx="77">
                    <c:v>626.4</c:v>
                  </c:pt>
                  <c:pt idx="78">
                    <c:v>632.1</c:v>
                  </c:pt>
                  <c:pt idx="79">
                    <c:v>638</c:v>
                  </c:pt>
                  <c:pt idx="80">
                    <c:v>644.6</c:v>
                  </c:pt>
                  <c:pt idx="81">
                    <c:v>651.6</c:v>
                  </c:pt>
                  <c:pt idx="82">
                    <c:v>658.6</c:v>
                  </c:pt>
                  <c:pt idx="83">
                    <c:v>667.9</c:v>
                  </c:pt>
                  <c:pt idx="84">
                    <c:v>677.4</c:v>
                  </c:pt>
                  <c:pt idx="85">
                    <c:v>688.1</c:v>
                  </c:pt>
                  <c:pt idx="86">
                    <c:v>698.6</c:v>
                  </c:pt>
                  <c:pt idx="87">
                    <c:v>709.6</c:v>
                  </c:pt>
                  <c:pt idx="88">
                    <c:v>722.6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133.6</c:v>
                  </c:pt>
                  <c:pt idx="1">
                    <c:v>179.1</c:v>
                  </c:pt>
                  <c:pt idx="2">
                    <c:v>224.9</c:v>
                  </c:pt>
                  <c:pt idx="3">
                    <c:v>255.3</c:v>
                  </c:pt>
                  <c:pt idx="4">
                    <c:v>279.7</c:v>
                  </c:pt>
                  <c:pt idx="5">
                    <c:v>300.9</c:v>
                  </c:pt>
                  <c:pt idx="6">
                    <c:v>317.7</c:v>
                  </c:pt>
                  <c:pt idx="7">
                    <c:v>332.7</c:v>
                  </c:pt>
                  <c:pt idx="8">
                    <c:v>345.9</c:v>
                  </c:pt>
                  <c:pt idx="9">
                    <c:v>357.3</c:v>
                  </c:pt>
                  <c:pt idx="10">
                    <c:v>367.8</c:v>
                  </c:pt>
                  <c:pt idx="11">
                    <c:v>379.7</c:v>
                  </c:pt>
                  <c:pt idx="12">
                    <c:v>391.3</c:v>
                  </c:pt>
                  <c:pt idx="13">
                    <c:v>400</c:v>
                  </c:pt>
                  <c:pt idx="14">
                    <c:v>408.3</c:v>
                  </c:pt>
                  <c:pt idx="15">
                    <c:v>417</c:v>
                  </c:pt>
                  <c:pt idx="16">
                    <c:v>426.3</c:v>
                  </c:pt>
                  <c:pt idx="17">
                    <c:v>434.6</c:v>
                  </c:pt>
                  <c:pt idx="18">
                    <c:v>442.1</c:v>
                  </c:pt>
                  <c:pt idx="19">
                    <c:v>449.4</c:v>
                  </c:pt>
                  <c:pt idx="20">
                    <c:v>457.4</c:v>
                  </c:pt>
                  <c:pt idx="21">
                    <c:v>465.2</c:v>
                  </c:pt>
                  <c:pt idx="22">
                    <c:v>472.3</c:v>
                  </c:pt>
                  <c:pt idx="23">
                    <c:v>479</c:v>
                  </c:pt>
                  <c:pt idx="24">
                    <c:v>486.1</c:v>
                  </c:pt>
                  <c:pt idx="25">
                    <c:v>493.1</c:v>
                  </c:pt>
                  <c:pt idx="26">
                    <c:v>499.3</c:v>
                  </c:pt>
                  <c:pt idx="27">
                    <c:v>505</c:v>
                  </c:pt>
                  <c:pt idx="28">
                    <c:v>510.6</c:v>
                  </c:pt>
                  <c:pt idx="29">
                    <c:v>516.6</c:v>
                  </c:pt>
                  <c:pt idx="30">
                    <c:v>522.4</c:v>
                  </c:pt>
                  <c:pt idx="31">
                    <c:v>527.4</c:v>
                  </c:pt>
                  <c:pt idx="32">
                    <c:v>532.2</c:v>
                  </c:pt>
                  <c:pt idx="33">
                    <c:v>536.7</c:v>
                  </c:pt>
                  <c:pt idx="34">
                    <c:v>541.2</c:v>
                  </c:pt>
                  <c:pt idx="35">
                    <c:v>545.5</c:v>
                  </c:pt>
                  <c:pt idx="36">
                    <c:v>549.8</c:v>
                  </c:pt>
                  <c:pt idx="37">
                    <c:v>554</c:v>
                  </c:pt>
                  <c:pt idx="38">
                    <c:v>557.9</c:v>
                  </c:pt>
                  <c:pt idx="39">
                    <c:v>561.4</c:v>
                  </c:pt>
                  <c:pt idx="40">
                    <c:v>564.9</c:v>
                  </c:pt>
                  <c:pt idx="41">
                    <c:v>568.1</c:v>
                  </c:pt>
                  <c:pt idx="42">
                    <c:v>571.2</c:v>
                  </c:pt>
                  <c:pt idx="43">
                    <c:v>574.2</c:v>
                  </c:pt>
                  <c:pt idx="44">
                    <c:v>577.2</c:v>
                  </c:pt>
                  <c:pt idx="45">
                    <c:v>580.2</c:v>
                  </c:pt>
                  <c:pt idx="46">
                    <c:v>583.1</c:v>
                  </c:pt>
                  <c:pt idx="47">
                    <c:v>586</c:v>
                  </c:pt>
                  <c:pt idx="48">
                    <c:v>588.8</c:v>
                  </c:pt>
                  <c:pt idx="49">
                    <c:v>591.6</c:v>
                  </c:pt>
                  <c:pt idx="50">
                    <c:v>594.3</c:v>
                  </c:pt>
                  <c:pt idx="51">
                    <c:v>597</c:v>
                  </c:pt>
                  <c:pt idx="52">
                    <c:v>599.8</c:v>
                  </c:pt>
                  <c:pt idx="53">
                    <c:v>602.6</c:v>
                  </c:pt>
                  <c:pt idx="54">
                    <c:v>605.4</c:v>
                  </c:pt>
                  <c:pt idx="55">
                    <c:v>608.2</c:v>
                  </c:pt>
                  <c:pt idx="56">
                    <c:v>611</c:v>
                  </c:pt>
                  <c:pt idx="57">
                    <c:v>613.9</c:v>
                  </c:pt>
                  <c:pt idx="58">
                    <c:v>616.8</c:v>
                  </c:pt>
                  <c:pt idx="59">
                    <c:v>619.7</c:v>
                  </c:pt>
                  <c:pt idx="60">
                    <c:v>622.7</c:v>
                  </c:pt>
                  <c:pt idx="61">
                    <c:v>625.7</c:v>
                  </c:pt>
                  <c:pt idx="62">
                    <c:v>628.7</c:v>
                  </c:pt>
                  <c:pt idx="63">
                    <c:v>631.6</c:v>
                  </c:pt>
                  <c:pt idx="64">
                    <c:v>634.5</c:v>
                  </c:pt>
                  <c:pt idx="65">
                    <c:v>637.6</c:v>
                  </c:pt>
                  <c:pt idx="66">
                    <c:v>640.7</c:v>
                  </c:pt>
                  <c:pt idx="67">
                    <c:v>644</c:v>
                  </c:pt>
                  <c:pt idx="68">
                    <c:v>647.4</c:v>
                  </c:pt>
                  <c:pt idx="69">
                    <c:v>650.5</c:v>
                  </c:pt>
                  <c:pt idx="70">
                    <c:v>653.7</c:v>
                  </c:pt>
                  <c:pt idx="71">
                    <c:v>656.8</c:v>
                  </c:pt>
                  <c:pt idx="72">
                    <c:v>660.6</c:v>
                  </c:pt>
                  <c:pt idx="73">
                    <c:v>664.8</c:v>
                  </c:pt>
                  <c:pt idx="74">
                    <c:v>669.2</c:v>
                  </c:pt>
                  <c:pt idx="75">
                    <c:v>673.1</c:v>
                  </c:pt>
                  <c:pt idx="76">
                    <c:v>677.4</c:v>
                  </c:pt>
                  <c:pt idx="77">
                    <c:v>682.2</c:v>
                  </c:pt>
                  <c:pt idx="78">
                    <c:v>686.5</c:v>
                  </c:pt>
                  <c:pt idx="79">
                    <c:v>691.2</c:v>
                  </c:pt>
                  <c:pt idx="80">
                    <c:v>694.8</c:v>
                  </c:pt>
                  <c:pt idx="81">
                    <c:v>699.9</c:v>
                  </c:pt>
                  <c:pt idx="82">
                    <c:v>704</c:v>
                  </c:pt>
                  <c:pt idx="83">
                    <c:v>708.8</c:v>
                  </c:pt>
                  <c:pt idx="84">
                    <c:v>714.2</c:v>
                  </c:pt>
                  <c:pt idx="85">
                    <c:v>719.8</c:v>
                  </c:pt>
                  <c:pt idx="86">
                    <c:v>726.2</c:v>
                  </c:pt>
                  <c:pt idx="87">
                    <c:v>733.5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152.5</c:v>
                  </c:pt>
                  <c:pt idx="1">
                    <c:v>185.3</c:v>
                  </c:pt>
                  <c:pt idx="2">
                    <c:v>226.6</c:v>
                  </c:pt>
                  <c:pt idx="3">
                    <c:v>255</c:v>
                  </c:pt>
                  <c:pt idx="4">
                    <c:v>279.1</c:v>
                  </c:pt>
                  <c:pt idx="5">
                    <c:v>299.2</c:v>
                  </c:pt>
                  <c:pt idx="6">
                    <c:v>317.3</c:v>
                  </c:pt>
                  <c:pt idx="7">
                    <c:v>332.5</c:v>
                  </c:pt>
                  <c:pt idx="8">
                    <c:v>345.5</c:v>
                  </c:pt>
                  <c:pt idx="9">
                    <c:v>356.3</c:v>
                  </c:pt>
                  <c:pt idx="10">
                    <c:v>366.7</c:v>
                  </c:pt>
                  <c:pt idx="11">
                    <c:v>378.3</c:v>
                  </c:pt>
                  <c:pt idx="12">
                    <c:v>390.2</c:v>
                  </c:pt>
                  <c:pt idx="13">
                    <c:v>398.9</c:v>
                  </c:pt>
                  <c:pt idx="14">
                    <c:v>407.3</c:v>
                  </c:pt>
                  <c:pt idx="15">
                    <c:v>415.7</c:v>
                  </c:pt>
                  <c:pt idx="16">
                    <c:v>424.9</c:v>
                  </c:pt>
                  <c:pt idx="17">
                    <c:v>433.3</c:v>
                  </c:pt>
                  <c:pt idx="18">
                    <c:v>440.7</c:v>
                  </c:pt>
                  <c:pt idx="19">
                    <c:v>448</c:v>
                  </c:pt>
                  <c:pt idx="20">
                    <c:v>455.9</c:v>
                  </c:pt>
                  <c:pt idx="21">
                    <c:v>463.6</c:v>
                  </c:pt>
                  <c:pt idx="22">
                    <c:v>470.6</c:v>
                  </c:pt>
                  <c:pt idx="23">
                    <c:v>477.3</c:v>
                  </c:pt>
                  <c:pt idx="24">
                    <c:v>484.2</c:v>
                  </c:pt>
                  <c:pt idx="25">
                    <c:v>491.3</c:v>
                  </c:pt>
                  <c:pt idx="26">
                    <c:v>497.8</c:v>
                  </c:pt>
                  <c:pt idx="27">
                    <c:v>503.3</c:v>
                  </c:pt>
                  <c:pt idx="28">
                    <c:v>508.7</c:v>
                  </c:pt>
                  <c:pt idx="29">
                    <c:v>514.7</c:v>
                  </c:pt>
                  <c:pt idx="30">
                    <c:v>520.6</c:v>
                  </c:pt>
                  <c:pt idx="31">
                    <c:v>525.7</c:v>
                  </c:pt>
                  <c:pt idx="32">
                    <c:v>530.5</c:v>
                  </c:pt>
                  <c:pt idx="33">
                    <c:v>535.2</c:v>
                  </c:pt>
                  <c:pt idx="34">
                    <c:v>539.6</c:v>
                  </c:pt>
                  <c:pt idx="35">
                    <c:v>543.9</c:v>
                  </c:pt>
                  <c:pt idx="36">
                    <c:v>548.2</c:v>
                  </c:pt>
                  <c:pt idx="37">
                    <c:v>552.4</c:v>
                  </c:pt>
                  <c:pt idx="38">
                    <c:v>556.4</c:v>
                  </c:pt>
                  <c:pt idx="39">
                    <c:v>560</c:v>
                  </c:pt>
                  <c:pt idx="40">
                    <c:v>563.5</c:v>
                  </c:pt>
                  <c:pt idx="41">
                    <c:v>566.8</c:v>
                  </c:pt>
                  <c:pt idx="42">
                    <c:v>569.9</c:v>
                  </c:pt>
                  <c:pt idx="43">
                    <c:v>572.9</c:v>
                  </c:pt>
                  <c:pt idx="44">
                    <c:v>575.8</c:v>
                  </c:pt>
                  <c:pt idx="45">
                    <c:v>578.8</c:v>
                  </c:pt>
                  <c:pt idx="46">
                    <c:v>581.7</c:v>
                  </c:pt>
                  <c:pt idx="47">
                    <c:v>584.6</c:v>
                  </c:pt>
                  <c:pt idx="48">
                    <c:v>587.4</c:v>
                  </c:pt>
                  <c:pt idx="49">
                    <c:v>590.1</c:v>
                  </c:pt>
                  <c:pt idx="50">
                    <c:v>592.8</c:v>
                  </c:pt>
                  <c:pt idx="51">
                    <c:v>595.5</c:v>
                  </c:pt>
                  <c:pt idx="52">
                    <c:v>598.1</c:v>
                  </c:pt>
                  <c:pt idx="53">
                    <c:v>600.8</c:v>
                  </c:pt>
                  <c:pt idx="54">
                    <c:v>603.6</c:v>
                  </c:pt>
                  <c:pt idx="55">
                    <c:v>606.3</c:v>
                  </c:pt>
                  <c:pt idx="56">
                    <c:v>609</c:v>
                  </c:pt>
                  <c:pt idx="57">
                    <c:v>611.7</c:v>
                  </c:pt>
                  <c:pt idx="58">
                    <c:v>614.5</c:v>
                  </c:pt>
                  <c:pt idx="59">
                    <c:v>617.3</c:v>
                  </c:pt>
                  <c:pt idx="60">
                    <c:v>620.1</c:v>
                  </c:pt>
                  <c:pt idx="61">
                    <c:v>623</c:v>
                  </c:pt>
                  <c:pt idx="62">
                    <c:v>625.8</c:v>
                  </c:pt>
                  <c:pt idx="63">
                    <c:v>628.6</c:v>
                  </c:pt>
                  <c:pt idx="64">
                    <c:v>631.4</c:v>
                  </c:pt>
                  <c:pt idx="65">
                    <c:v>634.2</c:v>
                  </c:pt>
                  <c:pt idx="66">
                    <c:v>637.1</c:v>
                  </c:pt>
                  <c:pt idx="67">
                    <c:v>640</c:v>
                  </c:pt>
                  <c:pt idx="68">
                    <c:v>643.1</c:v>
                  </c:pt>
                  <c:pt idx="69">
                    <c:v>646.2</c:v>
                  </c:pt>
                  <c:pt idx="70">
                    <c:v>649.2</c:v>
                  </c:pt>
                  <c:pt idx="71">
                    <c:v>652.2</c:v>
                  </c:pt>
                  <c:pt idx="72">
                    <c:v>655.1</c:v>
                  </c:pt>
                  <c:pt idx="73">
                    <c:v>658.1</c:v>
                  </c:pt>
                  <c:pt idx="74">
                    <c:v>661.9</c:v>
                  </c:pt>
                  <c:pt idx="75">
                    <c:v>665.7</c:v>
                  </c:pt>
                  <c:pt idx="76">
                    <c:v>669.7</c:v>
                  </c:pt>
                  <c:pt idx="77">
                    <c:v>673.1</c:v>
                  </c:pt>
                  <c:pt idx="78">
                    <c:v>676.9</c:v>
                  </c:pt>
                  <c:pt idx="79">
                    <c:v>681.3</c:v>
                  </c:pt>
                  <c:pt idx="80">
                    <c:v>685</c:v>
                  </c:pt>
                  <c:pt idx="81">
                    <c:v>688.9</c:v>
                  </c:pt>
                  <c:pt idx="82">
                    <c:v>692.4</c:v>
                  </c:pt>
                  <c:pt idx="83">
                    <c:v>695.7</c:v>
                  </c:pt>
                  <c:pt idx="84">
                    <c:v>700</c:v>
                  </c:pt>
                  <c:pt idx="85">
                    <c:v>703.3</c:v>
                  </c:pt>
                  <c:pt idx="86">
                    <c:v>706.7</c:v>
                  </c:pt>
                  <c:pt idx="87">
                    <c:v>710.8</c:v>
                  </c:pt>
                  <c:pt idx="88">
                    <c:v>714.7</c:v>
                  </c:pt>
                  <c:pt idx="89">
                    <c:v>718.6</c:v>
                  </c:pt>
                  <c:pt idx="90">
                    <c:v>722.6</c:v>
                  </c:pt>
                  <c:pt idx="91">
                    <c:v>726.7</c:v>
                  </c:pt>
                  <c:pt idx="92">
                    <c:v>730.9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140.2</c:v>
                  </c:pt>
                  <c:pt idx="1">
                    <c:v>187.3</c:v>
                  </c:pt>
                  <c:pt idx="2">
                    <c:v>232</c:v>
                  </c:pt>
                  <c:pt idx="3">
                    <c:v>261.4</c:v>
                  </c:pt>
                  <c:pt idx="4">
                    <c:v>285.2</c:v>
                  </c:pt>
                  <c:pt idx="5">
                    <c:v>305.6</c:v>
                  </c:pt>
                  <c:pt idx="6">
                    <c:v>323.2</c:v>
                  </c:pt>
                  <c:pt idx="7">
                    <c:v>338.6</c:v>
                  </c:pt>
                  <c:pt idx="8">
                    <c:v>351.3</c:v>
                  </c:pt>
                  <c:pt idx="9">
                    <c:v>362.4</c:v>
                  </c:pt>
                  <c:pt idx="10">
                    <c:v>374.1</c:v>
                  </c:pt>
                  <c:pt idx="11">
                    <c:v>387.1</c:v>
                  </c:pt>
                  <c:pt idx="12">
                    <c:v>397.2</c:v>
                  </c:pt>
                  <c:pt idx="13">
                    <c:v>406</c:v>
                  </c:pt>
                  <c:pt idx="14">
                    <c:v>414.7</c:v>
                  </c:pt>
                  <c:pt idx="15">
                    <c:v>424.4</c:v>
                  </c:pt>
                  <c:pt idx="16">
                    <c:v>433.3</c:v>
                  </c:pt>
                  <c:pt idx="17">
                    <c:v>441.2</c:v>
                  </c:pt>
                  <c:pt idx="18">
                    <c:v>448.8</c:v>
                  </c:pt>
                  <c:pt idx="19">
                    <c:v>457.3</c:v>
                  </c:pt>
                  <c:pt idx="20">
                    <c:v>465.4</c:v>
                  </c:pt>
                  <c:pt idx="21">
                    <c:v>472.5</c:v>
                  </c:pt>
                  <c:pt idx="22">
                    <c:v>479.5</c:v>
                  </c:pt>
                  <c:pt idx="23">
                    <c:v>486.9</c:v>
                  </c:pt>
                  <c:pt idx="24">
                    <c:v>494.3</c:v>
                  </c:pt>
                  <c:pt idx="25">
                    <c:v>500.6</c:v>
                  </c:pt>
                  <c:pt idx="26">
                    <c:v>506.4</c:v>
                  </c:pt>
                  <c:pt idx="27">
                    <c:v>512.4</c:v>
                  </c:pt>
                  <c:pt idx="28">
                    <c:v>518.7</c:v>
                  </c:pt>
                  <c:pt idx="29">
                    <c:v>524.4</c:v>
                  </c:pt>
                  <c:pt idx="30">
                    <c:v>529.6</c:v>
                  </c:pt>
                  <c:pt idx="31">
                    <c:v>534.6</c:v>
                  </c:pt>
                  <c:pt idx="32">
                    <c:v>539.3</c:v>
                  </c:pt>
                  <c:pt idx="33">
                    <c:v>543.9</c:v>
                  </c:pt>
                  <c:pt idx="34">
                    <c:v>548.6</c:v>
                  </c:pt>
                  <c:pt idx="35">
                    <c:v>553.1</c:v>
                  </c:pt>
                  <c:pt idx="36">
                    <c:v>557.3</c:v>
                  </c:pt>
                  <c:pt idx="37">
                    <c:v>561.1</c:v>
                  </c:pt>
                  <c:pt idx="38">
                    <c:v>564.8</c:v>
                  </c:pt>
                  <c:pt idx="39">
                    <c:v>568.2</c:v>
                  </c:pt>
                  <c:pt idx="40">
                    <c:v>571.4</c:v>
                  </c:pt>
                  <c:pt idx="41">
                    <c:v>574.6</c:v>
                  </c:pt>
                  <c:pt idx="42">
                    <c:v>577.8</c:v>
                  </c:pt>
                  <c:pt idx="43">
                    <c:v>580.9</c:v>
                  </c:pt>
                  <c:pt idx="44">
                    <c:v>584.1</c:v>
                  </c:pt>
                  <c:pt idx="45">
                    <c:v>587</c:v>
                  </c:pt>
                  <c:pt idx="46">
                    <c:v>590</c:v>
                  </c:pt>
                  <c:pt idx="47">
                    <c:v>592.9</c:v>
                  </c:pt>
                  <c:pt idx="48">
                    <c:v>595.7</c:v>
                  </c:pt>
                  <c:pt idx="49">
                    <c:v>598.6</c:v>
                  </c:pt>
                  <c:pt idx="50">
                    <c:v>601.5</c:v>
                  </c:pt>
                  <c:pt idx="51">
                    <c:v>604.4</c:v>
                  </c:pt>
                  <c:pt idx="52">
                    <c:v>607.4</c:v>
                  </c:pt>
                  <c:pt idx="53">
                    <c:v>610.3</c:v>
                  </c:pt>
                  <c:pt idx="54">
                    <c:v>613.3</c:v>
                  </c:pt>
                  <c:pt idx="55">
                    <c:v>616.3</c:v>
                  </c:pt>
                  <c:pt idx="56">
                    <c:v>619.4</c:v>
                  </c:pt>
                  <c:pt idx="57">
                    <c:v>622.6</c:v>
                  </c:pt>
                  <c:pt idx="58">
                    <c:v>625.7</c:v>
                  </c:pt>
                  <c:pt idx="59">
                    <c:v>628.9</c:v>
                  </c:pt>
                  <c:pt idx="60">
                    <c:v>631.9</c:v>
                  </c:pt>
                  <c:pt idx="61">
                    <c:v>635.1</c:v>
                  </c:pt>
                  <c:pt idx="62">
                    <c:v>638.4</c:v>
                  </c:pt>
                  <c:pt idx="63">
                    <c:v>641.8</c:v>
                  </c:pt>
                  <c:pt idx="64">
                    <c:v>645.4</c:v>
                  </c:pt>
                  <c:pt idx="65">
                    <c:v>648.9</c:v>
                  </c:pt>
                  <c:pt idx="66">
                    <c:v>652.4</c:v>
                  </c:pt>
                  <c:pt idx="67">
                    <c:v>655.8</c:v>
                  </c:pt>
                  <c:pt idx="68">
                    <c:v>659.7</c:v>
                  </c:pt>
                  <c:pt idx="69">
                    <c:v>664.3</c:v>
                  </c:pt>
                  <c:pt idx="70">
                    <c:v>669.1</c:v>
                  </c:pt>
                  <c:pt idx="71">
                    <c:v>673.5</c:v>
                  </c:pt>
                  <c:pt idx="72">
                    <c:v>678.6</c:v>
                  </c:pt>
                  <c:pt idx="73">
                    <c:v>683.9</c:v>
                  </c:pt>
                  <c:pt idx="74">
                    <c:v>689.1</c:v>
                  </c:pt>
                  <c:pt idx="75">
                    <c:v>693.9</c:v>
                  </c:pt>
                  <c:pt idx="76">
                    <c:v>699.8</c:v>
                  </c:pt>
                  <c:pt idx="77">
                    <c:v>705.2</c:v>
                  </c:pt>
                  <c:pt idx="78">
                    <c:v>712.1</c:v>
                  </c:pt>
                  <c:pt idx="79">
                    <c:v>720.3</c:v>
                  </c:pt>
                  <c:pt idx="80">
                    <c:v>733.8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142.1</c:v>
                  </c:pt>
                  <c:pt idx="1">
                    <c:v>173.4</c:v>
                  </c:pt>
                  <c:pt idx="2">
                    <c:v>215</c:v>
                  </c:pt>
                  <c:pt idx="3">
                    <c:v>248.3</c:v>
                  </c:pt>
                  <c:pt idx="4">
                    <c:v>270.7</c:v>
                  </c:pt>
                  <c:pt idx="5">
                    <c:v>291.2</c:v>
                  </c:pt>
                  <c:pt idx="6">
                    <c:v>308.6</c:v>
                  </c:pt>
                  <c:pt idx="7">
                    <c:v>324.2</c:v>
                  </c:pt>
                  <c:pt idx="8">
                    <c:v>338.5</c:v>
                  </c:pt>
                  <c:pt idx="9">
                    <c:v>351.6</c:v>
                  </c:pt>
                  <c:pt idx="10">
                    <c:v>363.5</c:v>
                  </c:pt>
                  <c:pt idx="11">
                    <c:v>374.4</c:v>
                  </c:pt>
                  <c:pt idx="12">
                    <c:v>384.5</c:v>
                  </c:pt>
                  <c:pt idx="13">
                    <c:v>394.2</c:v>
                  </c:pt>
                  <c:pt idx="14">
                    <c:v>404</c:v>
                  </c:pt>
                  <c:pt idx="15">
                    <c:v>413.2</c:v>
                  </c:pt>
                  <c:pt idx="16">
                    <c:v>421.9</c:v>
                  </c:pt>
                  <c:pt idx="17">
                    <c:v>430.1</c:v>
                  </c:pt>
                  <c:pt idx="18">
                    <c:v>438.5</c:v>
                  </c:pt>
                  <c:pt idx="19">
                    <c:v>446.5</c:v>
                  </c:pt>
                  <c:pt idx="20">
                    <c:v>454.4</c:v>
                  </c:pt>
                  <c:pt idx="21">
                    <c:v>462</c:v>
                  </c:pt>
                  <c:pt idx="22">
                    <c:v>469.5</c:v>
                  </c:pt>
                  <c:pt idx="23">
                    <c:v>476.7</c:v>
                  </c:pt>
                  <c:pt idx="24">
                    <c:v>483.7</c:v>
                  </c:pt>
                  <c:pt idx="25">
                    <c:v>490.4</c:v>
                  </c:pt>
                  <c:pt idx="26">
                    <c:v>496.8</c:v>
                  </c:pt>
                  <c:pt idx="27">
                    <c:v>502.6</c:v>
                  </c:pt>
                  <c:pt idx="28">
                    <c:v>508.1</c:v>
                  </c:pt>
                  <c:pt idx="29">
                    <c:v>513.7</c:v>
                  </c:pt>
                  <c:pt idx="30">
                    <c:v>519.1</c:v>
                  </c:pt>
                  <c:pt idx="31">
                    <c:v>524.2</c:v>
                  </c:pt>
                  <c:pt idx="32">
                    <c:v>528.8</c:v>
                  </c:pt>
                  <c:pt idx="33">
                    <c:v>533.2</c:v>
                  </c:pt>
                  <c:pt idx="34">
                    <c:v>537.4</c:v>
                  </c:pt>
                  <c:pt idx="35">
                    <c:v>541.5</c:v>
                  </c:pt>
                  <c:pt idx="36">
                    <c:v>545.3</c:v>
                  </c:pt>
                  <c:pt idx="37">
                    <c:v>549.4</c:v>
                  </c:pt>
                  <c:pt idx="38">
                    <c:v>553.2</c:v>
                  </c:pt>
                  <c:pt idx="39">
                    <c:v>556.9</c:v>
                  </c:pt>
                  <c:pt idx="40">
                    <c:v>560.4</c:v>
                  </c:pt>
                  <c:pt idx="41">
                    <c:v>563.8</c:v>
                  </c:pt>
                  <c:pt idx="42">
                    <c:v>567</c:v>
                  </c:pt>
                  <c:pt idx="43">
                    <c:v>570</c:v>
                  </c:pt>
                  <c:pt idx="44">
                    <c:v>573</c:v>
                  </c:pt>
                  <c:pt idx="45">
                    <c:v>576.1</c:v>
                  </c:pt>
                  <c:pt idx="46">
                    <c:v>579.2</c:v>
                  </c:pt>
                  <c:pt idx="47">
                    <c:v>582.4</c:v>
                  </c:pt>
                  <c:pt idx="48">
                    <c:v>585.5</c:v>
                  </c:pt>
                  <c:pt idx="49">
                    <c:v>588.5</c:v>
                  </c:pt>
                  <c:pt idx="50">
                    <c:v>591.6</c:v>
                  </c:pt>
                  <c:pt idx="51">
                    <c:v>594.7</c:v>
                  </c:pt>
                  <c:pt idx="52">
                    <c:v>597.8</c:v>
                  </c:pt>
                  <c:pt idx="53">
                    <c:v>601</c:v>
                  </c:pt>
                  <c:pt idx="54">
                    <c:v>604.3</c:v>
                  </c:pt>
                  <c:pt idx="55">
                    <c:v>607.6</c:v>
                  </c:pt>
                  <c:pt idx="56">
                    <c:v>610.9</c:v>
                  </c:pt>
                  <c:pt idx="57">
                    <c:v>614.3</c:v>
                  </c:pt>
                  <c:pt idx="58">
                    <c:v>617.8</c:v>
                  </c:pt>
                  <c:pt idx="59">
                    <c:v>621.4</c:v>
                  </c:pt>
                  <c:pt idx="60">
                    <c:v>625</c:v>
                  </c:pt>
                  <c:pt idx="61">
                    <c:v>628.6</c:v>
                  </c:pt>
                  <c:pt idx="62">
                    <c:v>632</c:v>
                  </c:pt>
                  <c:pt idx="63">
                    <c:v>635.5</c:v>
                  </c:pt>
                  <c:pt idx="64">
                    <c:v>639.3</c:v>
                  </c:pt>
                  <c:pt idx="65">
                    <c:v>643.3</c:v>
                  </c:pt>
                  <c:pt idx="66">
                    <c:v>647.4</c:v>
                  </c:pt>
                  <c:pt idx="67">
                    <c:v>651.4</c:v>
                  </c:pt>
                  <c:pt idx="68">
                    <c:v>655.2</c:v>
                  </c:pt>
                  <c:pt idx="69">
                    <c:v>659.4</c:v>
                  </c:pt>
                  <c:pt idx="70">
                    <c:v>664.4</c:v>
                  </c:pt>
                  <c:pt idx="71">
                    <c:v>669.7</c:v>
                  </c:pt>
                  <c:pt idx="72">
                    <c:v>674.4</c:v>
                  </c:pt>
                  <c:pt idx="73">
                    <c:v>680</c:v>
                  </c:pt>
                  <c:pt idx="74">
                    <c:v>685.4</c:v>
                  </c:pt>
                  <c:pt idx="75">
                    <c:v>691</c:v>
                  </c:pt>
                  <c:pt idx="76">
                    <c:v>696</c:v>
                  </c:pt>
                  <c:pt idx="77">
                    <c:v>702.3</c:v>
                  </c:pt>
                  <c:pt idx="78">
                    <c:v>708.5</c:v>
                  </c:pt>
                  <c:pt idx="79">
                    <c:v>716.3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436.7</c:v>
                  </c:pt>
                  <c:pt idx="1">
                    <c:v>499.2</c:v>
                  </c:pt>
                  <c:pt idx="2">
                    <c:v>527.2</c:v>
                  </c:pt>
                  <c:pt idx="3">
                    <c:v>538.6</c:v>
                  </c:pt>
                  <c:pt idx="4">
                    <c:v>546.5</c:v>
                  </c:pt>
                  <c:pt idx="5">
                    <c:v>553.1</c:v>
                  </c:pt>
                  <c:pt idx="6">
                    <c:v>558.5</c:v>
                  </c:pt>
                  <c:pt idx="7">
                    <c:v>563.2</c:v>
                  </c:pt>
                  <c:pt idx="8">
                    <c:v>567.4</c:v>
                  </c:pt>
                  <c:pt idx="9">
                    <c:v>571.1</c:v>
                  </c:pt>
                  <c:pt idx="10">
                    <c:v>574.7</c:v>
                  </c:pt>
                  <c:pt idx="11">
                    <c:v>578.2</c:v>
                  </c:pt>
                  <c:pt idx="12">
                    <c:v>581.7</c:v>
                  </c:pt>
                  <c:pt idx="13">
                    <c:v>585.1</c:v>
                  </c:pt>
                  <c:pt idx="14">
                    <c:v>588.4</c:v>
                  </c:pt>
                  <c:pt idx="15">
                    <c:v>591.6</c:v>
                  </c:pt>
                  <c:pt idx="16">
                    <c:v>594.8</c:v>
                  </c:pt>
                  <c:pt idx="17">
                    <c:v>598</c:v>
                  </c:pt>
                  <c:pt idx="18">
                    <c:v>601.2</c:v>
                  </c:pt>
                  <c:pt idx="19">
                    <c:v>604.6</c:v>
                  </c:pt>
                  <c:pt idx="20">
                    <c:v>607.9</c:v>
                  </c:pt>
                  <c:pt idx="21">
                    <c:v>611.2</c:v>
                  </c:pt>
                  <c:pt idx="22">
                    <c:v>614.5</c:v>
                  </c:pt>
                  <c:pt idx="23">
                    <c:v>618</c:v>
                  </c:pt>
                  <c:pt idx="24">
                    <c:v>621.5</c:v>
                  </c:pt>
                  <c:pt idx="25">
                    <c:v>624.9</c:v>
                  </c:pt>
                  <c:pt idx="26">
                    <c:v>628.4</c:v>
                  </c:pt>
                  <c:pt idx="27">
                    <c:v>631.8</c:v>
                  </c:pt>
                  <c:pt idx="28">
                    <c:v>635.2</c:v>
                  </c:pt>
                  <c:pt idx="29">
                    <c:v>638.8</c:v>
                  </c:pt>
                  <c:pt idx="30">
                    <c:v>642.6</c:v>
                  </c:pt>
                  <c:pt idx="31">
                    <c:v>646.5</c:v>
                  </c:pt>
                  <c:pt idx="32">
                    <c:v>650.2</c:v>
                  </c:pt>
                  <c:pt idx="33">
                    <c:v>654</c:v>
                  </c:pt>
                  <c:pt idx="34">
                    <c:v>657.6</c:v>
                  </c:pt>
                  <c:pt idx="35">
                    <c:v>662.3</c:v>
                  </c:pt>
                  <c:pt idx="36">
                    <c:v>667.3</c:v>
                  </c:pt>
                  <c:pt idx="37">
                    <c:v>672.1</c:v>
                  </c:pt>
                  <c:pt idx="38">
                    <c:v>677.2</c:v>
                  </c:pt>
                  <c:pt idx="39">
                    <c:v>683</c:v>
                  </c:pt>
                  <c:pt idx="40">
                    <c:v>688.5</c:v>
                  </c:pt>
                  <c:pt idx="41">
                    <c:v>693.9</c:v>
                  </c:pt>
                  <c:pt idx="42">
                    <c:v>700.7</c:v>
                  </c:pt>
                  <c:pt idx="43">
                    <c:v>708.3</c:v>
                  </c:pt>
                  <c:pt idx="44">
                    <c:v>721.3</c:v>
                  </c:pt>
                  <c:pt idx="45">
                    <c:v>-</c:v>
                  </c:pt>
                  <c:pt idx="46">
                    <c:v>-</c:v>
                  </c:pt>
                  <c:pt idx="47">
                    <c:v>-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462.3</c:v>
                  </c:pt>
                  <c:pt idx="1">
                    <c:v>528.9</c:v>
                  </c:pt>
                  <c:pt idx="2">
                    <c:v>546.9</c:v>
                  </c:pt>
                  <c:pt idx="3">
                    <c:v>555.2</c:v>
                  </c:pt>
                  <c:pt idx="4">
                    <c:v>561</c:v>
                  </c:pt>
                  <c:pt idx="5">
                    <c:v>565.7</c:v>
                  </c:pt>
                  <c:pt idx="6">
                    <c:v>569.7</c:v>
                  </c:pt>
                  <c:pt idx="7">
                    <c:v>573.2</c:v>
                  </c:pt>
                  <c:pt idx="8">
                    <c:v>576.7</c:v>
                  </c:pt>
                  <c:pt idx="9">
                    <c:v>580.1</c:v>
                  </c:pt>
                  <c:pt idx="10">
                    <c:v>583.4</c:v>
                  </c:pt>
                  <c:pt idx="11">
                    <c:v>586.6</c:v>
                  </c:pt>
                  <c:pt idx="12">
                    <c:v>589.6</c:v>
                  </c:pt>
                  <c:pt idx="13">
                    <c:v>592.6</c:v>
                  </c:pt>
                  <c:pt idx="14">
                    <c:v>595.6</c:v>
                  </c:pt>
                  <c:pt idx="15">
                    <c:v>598.5</c:v>
                  </c:pt>
                  <c:pt idx="16">
                    <c:v>601.4</c:v>
                  </c:pt>
                  <c:pt idx="17">
                    <c:v>604.4</c:v>
                  </c:pt>
                  <c:pt idx="18">
                    <c:v>607.3</c:v>
                  </c:pt>
                  <c:pt idx="19">
                    <c:v>610.2</c:v>
                  </c:pt>
                  <c:pt idx="20">
                    <c:v>613.1</c:v>
                  </c:pt>
                  <c:pt idx="21">
                    <c:v>616.1</c:v>
                  </c:pt>
                  <c:pt idx="22">
                    <c:v>619.2</c:v>
                  </c:pt>
                  <c:pt idx="23">
                    <c:v>622.3</c:v>
                  </c:pt>
                  <c:pt idx="24">
                    <c:v>625.3</c:v>
                  </c:pt>
                  <c:pt idx="25">
                    <c:v>628.4</c:v>
                  </c:pt>
                  <c:pt idx="26">
                    <c:v>631.4</c:v>
                  </c:pt>
                  <c:pt idx="27">
                    <c:v>634.4</c:v>
                  </c:pt>
                  <c:pt idx="28">
                    <c:v>637.5</c:v>
                  </c:pt>
                  <c:pt idx="29">
                    <c:v>640.8</c:v>
                  </c:pt>
                  <c:pt idx="30">
                    <c:v>644.2</c:v>
                  </c:pt>
                  <c:pt idx="31">
                    <c:v>647.6</c:v>
                  </c:pt>
                  <c:pt idx="32">
                    <c:v>650.9</c:v>
                  </c:pt>
                  <c:pt idx="33">
                    <c:v>654.2</c:v>
                  </c:pt>
                  <c:pt idx="34">
                    <c:v>657.5</c:v>
                  </c:pt>
                  <c:pt idx="35">
                    <c:v>661.5</c:v>
                  </c:pt>
                  <c:pt idx="36">
                    <c:v>665.8</c:v>
                  </c:pt>
                  <c:pt idx="37">
                    <c:v>670.3</c:v>
                  </c:pt>
                  <c:pt idx="38">
                    <c:v>674.2</c:v>
                  </c:pt>
                  <c:pt idx="39">
                    <c:v>679.2</c:v>
                  </c:pt>
                  <c:pt idx="40">
                    <c:v>683.9</c:v>
                  </c:pt>
                  <c:pt idx="41">
                    <c:v>688.5</c:v>
                  </c:pt>
                  <c:pt idx="42">
                    <c:v>693</c:v>
                  </c:pt>
                  <c:pt idx="43">
                    <c:v>697.8</c:v>
                  </c:pt>
                  <c:pt idx="44">
                    <c:v>702.9</c:v>
                  </c:pt>
                  <c:pt idx="45">
                    <c:v>708.2</c:v>
                  </c:pt>
                  <c:pt idx="46">
                    <c:v>715.3</c:v>
                  </c:pt>
                  <c:pt idx="47">
                    <c:v>724.1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375.98</c:v>
                  </c:pt>
                  <c:pt idx="1">
                    <c:v>402</c:v>
                  </c:pt>
                  <c:pt idx="2">
                    <c:v>422</c:v>
                  </c:pt>
                  <c:pt idx="3">
                    <c:v>462</c:v>
                  </c:pt>
                  <c:pt idx="4">
                    <c:v>489</c:v>
                  </c:pt>
                  <c:pt idx="5">
                    <c:v>510</c:v>
                  </c:pt>
                  <c:pt idx="6">
                    <c:v>518</c:v>
                  </c:pt>
                  <c:pt idx="7">
                    <c:v>525</c:v>
                  </c:pt>
                  <c:pt idx="8">
                    <c:v>533</c:v>
                  </c:pt>
                  <c:pt idx="9">
                    <c:v>538</c:v>
                  </c:pt>
                  <c:pt idx="10">
                    <c:v>543.5</c:v>
                  </c:pt>
                  <c:pt idx="11">
                    <c:v>548</c:v>
                  </c:pt>
                  <c:pt idx="12">
                    <c:v>553</c:v>
                  </c:pt>
                  <c:pt idx="13">
                    <c:v>556</c:v>
                  </c:pt>
                  <c:pt idx="14">
                    <c:v>560</c:v>
                  </c:pt>
                  <c:pt idx="15">
                    <c:v>563</c:v>
                  </c:pt>
                  <c:pt idx="16">
                    <c:v>566</c:v>
                  </c:pt>
                  <c:pt idx="17">
                    <c:v>569</c:v>
                  </c:pt>
                  <c:pt idx="18">
                    <c:v>572</c:v>
                  </c:pt>
                  <c:pt idx="19">
                    <c:v>575</c:v>
                  </c:pt>
                  <c:pt idx="20">
                    <c:v>578</c:v>
                  </c:pt>
                  <c:pt idx="21">
                    <c:v>581</c:v>
                  </c:pt>
                  <c:pt idx="22">
                    <c:v>584</c:v>
                  </c:pt>
                  <c:pt idx="23">
                    <c:v>587</c:v>
                  </c:pt>
                  <c:pt idx="24">
                    <c:v>590</c:v>
                  </c:pt>
                  <c:pt idx="25">
                    <c:v>593</c:v>
                  </c:pt>
                  <c:pt idx="26">
                    <c:v>595</c:v>
                  </c:pt>
                  <c:pt idx="27">
                    <c:v>598</c:v>
                  </c:pt>
                  <c:pt idx="28">
                    <c:v>600</c:v>
                  </c:pt>
                  <c:pt idx="29">
                    <c:v>602</c:v>
                  </c:pt>
                  <c:pt idx="30">
                    <c:v>606</c:v>
                  </c:pt>
                  <c:pt idx="31">
                    <c:v>609</c:v>
                  </c:pt>
                  <c:pt idx="32">
                    <c:v>611</c:v>
                  </c:pt>
                  <c:pt idx="33">
                    <c:v>614</c:v>
                  </c:pt>
                  <c:pt idx="34">
                    <c:v>617</c:v>
                  </c:pt>
                  <c:pt idx="35">
                    <c:v>620</c:v>
                  </c:pt>
                  <c:pt idx="36">
                    <c:v>622</c:v>
                  </c:pt>
                  <c:pt idx="37">
                    <c:v>626</c:v>
                  </c:pt>
                  <c:pt idx="38">
                    <c:v>630</c:v>
                  </c:pt>
                  <c:pt idx="39">
                    <c:v>632</c:v>
                  </c:pt>
                  <c:pt idx="40">
                    <c:v>635</c:v>
                  </c:pt>
                  <c:pt idx="41">
                    <c:v>638</c:v>
                  </c:pt>
                  <c:pt idx="42">
                    <c:v>641</c:v>
                  </c:pt>
                  <c:pt idx="43">
                    <c:v>644</c:v>
                  </c:pt>
                  <c:pt idx="44">
                    <c:v>647</c:v>
                  </c:pt>
                  <c:pt idx="45">
                    <c:v>650</c:v>
                  </c:pt>
                  <c:pt idx="46">
                    <c:v>654</c:v>
                  </c:pt>
                  <c:pt idx="47">
                    <c:v>657</c:v>
                  </c:pt>
                  <c:pt idx="48">
                    <c:v>661</c:v>
                  </c:pt>
                  <c:pt idx="49">
                    <c:v>664</c:v>
                  </c:pt>
                  <c:pt idx="50">
                    <c:v>667</c:v>
                  </c:pt>
                  <c:pt idx="51">
                    <c:v>671</c:v>
                  </c:pt>
                  <c:pt idx="52">
                    <c:v>675</c:v>
                  </c:pt>
                  <c:pt idx="53">
                    <c:v>678</c:v>
                  </c:pt>
                  <c:pt idx="54">
                    <c:v>682</c:v>
                  </c:pt>
                  <c:pt idx="55">
                    <c:v>687</c:v>
                  </c:pt>
                  <c:pt idx="56">
                    <c:v>691</c:v>
                  </c:pt>
                  <c:pt idx="57">
                    <c:v>694</c:v>
                  </c:pt>
                  <c:pt idx="58">
                    <c:v>698</c:v>
                  </c:pt>
                  <c:pt idx="59">
                    <c:v>702</c:v>
                  </c:pt>
                  <c:pt idx="60">
                    <c:v>705</c:v>
                  </c:pt>
                  <c:pt idx="61">
                    <c:v>708</c:v>
                  </c:pt>
                  <c:pt idx="62">
                    <c:v>713</c:v>
                  </c:pt>
                  <c:pt idx="63">
                    <c:v>718</c:v>
                  </c:pt>
                  <c:pt idx="64">
                    <c:v>720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560</c:v>
                  </c:pt>
                  <c:pt idx="1">
                    <c:v>560</c:v>
                  </c:pt>
                  <c:pt idx="2">
                    <c:v>560</c:v>
                  </c:pt>
                  <c:pt idx="3">
                    <c:v>560</c:v>
                  </c:pt>
                  <c:pt idx="4">
                    <c:v>560</c:v>
                  </c:pt>
                  <c:pt idx="5">
                    <c:v>560</c:v>
                  </c:pt>
                  <c:pt idx="6">
                    <c:v>560</c:v>
                  </c:pt>
                  <c:pt idx="7">
                    <c:v>560</c:v>
                  </c:pt>
                  <c:pt idx="8">
                    <c:v>560</c:v>
                  </c:pt>
                  <c:pt idx="9">
                    <c:v>560</c:v>
                  </c:pt>
                  <c:pt idx="10">
                    <c:v>560</c:v>
                  </c:pt>
                  <c:pt idx="11">
                    <c:v>560</c:v>
                  </c:pt>
                  <c:pt idx="12">
                    <c:v>560</c:v>
                  </c:pt>
                  <c:pt idx="13">
                    <c:v>560</c:v>
                  </c:pt>
                  <c:pt idx="14">
                    <c:v>560</c:v>
                  </c:pt>
                  <c:pt idx="15">
                    <c:v>560</c:v>
                  </c:pt>
                  <c:pt idx="16">
                    <c:v>560</c:v>
                  </c:pt>
                  <c:pt idx="17">
                    <c:v>560</c:v>
                  </c:pt>
                  <c:pt idx="18">
                    <c:v>560</c:v>
                  </c:pt>
                  <c:pt idx="19">
                    <c:v>560</c:v>
                  </c:pt>
                  <c:pt idx="20">
                    <c:v>560</c:v>
                  </c:pt>
                  <c:pt idx="21">
                    <c:v>560</c:v>
                  </c:pt>
                  <c:pt idx="22">
                    <c:v>560</c:v>
                  </c:pt>
                  <c:pt idx="23">
                    <c:v>560</c:v>
                  </c:pt>
                  <c:pt idx="24">
                    <c:v>560</c:v>
                  </c:pt>
                  <c:pt idx="25">
                    <c:v>560</c:v>
                  </c:pt>
                  <c:pt idx="26">
                    <c:v>560</c:v>
                  </c:pt>
                  <c:pt idx="27">
                    <c:v>560</c:v>
                  </c:pt>
                  <c:pt idx="28">
                    <c:v>560</c:v>
                  </c:pt>
                  <c:pt idx="29">
                    <c:v>560</c:v>
                  </c:pt>
                  <c:pt idx="30">
                    <c:v>560</c:v>
                  </c:pt>
                  <c:pt idx="31">
                    <c:v>560</c:v>
                  </c:pt>
                  <c:pt idx="32">
                    <c:v>560</c:v>
                  </c:pt>
                  <c:pt idx="33">
                    <c:v>560</c:v>
                  </c:pt>
                  <c:pt idx="34">
                    <c:v>560</c:v>
                  </c:pt>
                  <c:pt idx="35">
                    <c:v>560</c:v>
                  </c:pt>
                  <c:pt idx="36">
                    <c:v>560</c:v>
                  </c:pt>
                  <c:pt idx="37">
                    <c:v>560</c:v>
                  </c:pt>
                  <c:pt idx="38">
                    <c:v>560</c:v>
                  </c:pt>
                  <c:pt idx="39">
                    <c:v>560</c:v>
                  </c:pt>
                  <c:pt idx="40">
                    <c:v>560</c:v>
                  </c:pt>
                  <c:pt idx="41">
                    <c:v>560</c:v>
                  </c:pt>
                  <c:pt idx="42">
                    <c:v>560</c:v>
                  </c:pt>
                  <c:pt idx="43">
                    <c:v>560</c:v>
                  </c:pt>
                  <c:pt idx="44">
                    <c:v>560</c:v>
                  </c:pt>
                  <c:pt idx="45">
                    <c:v>560</c:v>
                  </c:pt>
                  <c:pt idx="46">
                    <c:v>560</c:v>
                  </c:pt>
                  <c:pt idx="47">
                    <c:v>560</c:v>
                  </c:pt>
                  <c:pt idx="48">
                    <c:v>560</c:v>
                  </c:pt>
                  <c:pt idx="49">
                    <c:v>560</c:v>
                  </c:pt>
                  <c:pt idx="50">
                    <c:v>560</c:v>
                  </c:pt>
                  <c:pt idx="51">
                    <c:v>560</c:v>
                  </c:pt>
                  <c:pt idx="52">
                    <c:v>560</c:v>
                  </c:pt>
                  <c:pt idx="53">
                    <c:v>560</c:v>
                  </c:pt>
                  <c:pt idx="54">
                    <c:v>560</c:v>
                  </c:pt>
                  <c:pt idx="55">
                    <c:v>560</c:v>
                  </c:pt>
                  <c:pt idx="56">
                    <c:v>560</c:v>
                  </c:pt>
                  <c:pt idx="57">
                    <c:v>560</c:v>
                  </c:pt>
                  <c:pt idx="58">
                    <c:v>560</c:v>
                  </c:pt>
                  <c:pt idx="59">
                    <c:v>560</c:v>
                  </c:pt>
                  <c:pt idx="60">
                    <c:v>560</c:v>
                  </c:pt>
                  <c:pt idx="61">
                    <c:v>560</c:v>
                  </c:pt>
                  <c:pt idx="62">
                    <c:v>560</c:v>
                  </c:pt>
                  <c:pt idx="63">
                    <c:v>560</c:v>
                  </c:pt>
                  <c:pt idx="64">
                    <c:v>560</c:v>
                  </c:pt>
                  <c:pt idx="65">
                    <c:v>560</c:v>
                  </c:pt>
                  <c:pt idx="66">
                    <c:v>560</c:v>
                  </c:pt>
                  <c:pt idx="67">
                    <c:v>560</c:v>
                  </c:pt>
                  <c:pt idx="68">
                    <c:v>560</c:v>
                  </c:pt>
                  <c:pt idx="69">
                    <c:v>560</c:v>
                  </c:pt>
                  <c:pt idx="70">
                    <c:v>560</c:v>
                  </c:pt>
                  <c:pt idx="71">
                    <c:v>560</c:v>
                  </c:pt>
                  <c:pt idx="72">
                    <c:v>560</c:v>
                  </c:pt>
                  <c:pt idx="73">
                    <c:v>560</c:v>
                  </c:pt>
                  <c:pt idx="74">
                    <c:v>560</c:v>
                  </c:pt>
                  <c:pt idx="75">
                    <c:v>560</c:v>
                  </c:pt>
                  <c:pt idx="76">
                    <c:v>560</c:v>
                  </c:pt>
                  <c:pt idx="77">
                    <c:v>560</c:v>
                  </c:pt>
                  <c:pt idx="78">
                    <c:v>560</c:v>
                  </c:pt>
                  <c:pt idx="79">
                    <c:v>560</c:v>
                  </c:pt>
                  <c:pt idx="80">
                    <c:v>560</c:v>
                  </c:pt>
                  <c:pt idx="81">
                    <c:v>560</c:v>
                  </c:pt>
                  <c:pt idx="82">
                    <c:v>560</c:v>
                  </c:pt>
                  <c:pt idx="83">
                    <c:v>560</c:v>
                  </c:pt>
                  <c:pt idx="84">
                    <c:v>560</c:v>
                  </c:pt>
                  <c:pt idx="85">
                    <c:v>560</c:v>
                  </c:pt>
                  <c:pt idx="86">
                    <c:v>560</c:v>
                  </c:pt>
                  <c:pt idx="87">
                    <c:v>560</c:v>
                  </c:pt>
                  <c:pt idx="88">
                    <c:v>560</c:v>
                  </c:pt>
                  <c:pt idx="89">
                    <c:v>560</c:v>
                  </c:pt>
                  <c:pt idx="90">
                    <c:v>560</c:v>
                  </c:pt>
                  <c:pt idx="91">
                    <c:v>560</c:v>
                  </c:pt>
                  <c:pt idx="92">
                    <c:v>560</c:v>
                  </c:pt>
                  <c:pt idx="93">
                    <c:v>560</c:v>
                  </c:pt>
                  <c:pt idx="94">
                    <c:v>560</c:v>
                  </c:pt>
                  <c:pt idx="95">
                    <c:v>560</c:v>
                  </c:pt>
                  <c:pt idx="96">
                    <c:v>560</c:v>
                  </c:pt>
                  <c:pt idx="97">
                    <c:v>560</c:v>
                  </c:pt>
                  <c:pt idx="98">
                    <c:v>560</c:v>
                  </c:pt>
                  <c:pt idx="99">
                    <c:v>560</c:v>
                  </c:pt>
                  <c:pt idx="100">
                    <c:v>560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500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500</c:v>
                  </c:pt>
                  <c:pt idx="10">
                    <c:v>500</c:v>
                  </c:pt>
                  <c:pt idx="11">
                    <c:v>500</c:v>
                  </c:pt>
                  <c:pt idx="12">
                    <c:v>500</c:v>
                  </c:pt>
                  <c:pt idx="13">
                    <c:v>500</c:v>
                  </c:pt>
                  <c:pt idx="14">
                    <c:v>500</c:v>
                  </c:pt>
                  <c:pt idx="15">
                    <c:v>500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500</c:v>
                  </c:pt>
                  <c:pt idx="21">
                    <c:v>500</c:v>
                  </c:pt>
                  <c:pt idx="22">
                    <c:v>500</c:v>
                  </c:pt>
                  <c:pt idx="23">
                    <c:v>500</c:v>
                  </c:pt>
                  <c:pt idx="24">
                    <c:v>500</c:v>
                  </c:pt>
                  <c:pt idx="25">
                    <c:v>500</c:v>
                  </c:pt>
                  <c:pt idx="26">
                    <c:v>500</c:v>
                  </c:pt>
                  <c:pt idx="27">
                    <c:v>500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500</c:v>
                  </c:pt>
                  <c:pt idx="33">
                    <c:v>500</c:v>
                  </c:pt>
                  <c:pt idx="34">
                    <c:v>500</c:v>
                  </c:pt>
                  <c:pt idx="35">
                    <c:v>500</c:v>
                  </c:pt>
                  <c:pt idx="36">
                    <c:v>500</c:v>
                  </c:pt>
                  <c:pt idx="37">
                    <c:v>500</c:v>
                  </c:pt>
                  <c:pt idx="38">
                    <c:v>500</c:v>
                  </c:pt>
                  <c:pt idx="39">
                    <c:v>500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500</c:v>
                  </c:pt>
                  <c:pt idx="45">
                    <c:v>500</c:v>
                  </c:pt>
                  <c:pt idx="46">
                    <c:v>500</c:v>
                  </c:pt>
                  <c:pt idx="47">
                    <c:v>500</c:v>
                  </c:pt>
                  <c:pt idx="48">
                    <c:v>500</c:v>
                  </c:pt>
                  <c:pt idx="49">
                    <c:v>500</c:v>
                  </c:pt>
                  <c:pt idx="50">
                    <c:v>500</c:v>
                  </c:pt>
                  <c:pt idx="51">
                    <c:v>500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500</c:v>
                  </c:pt>
                  <c:pt idx="57">
                    <c:v>500</c:v>
                  </c:pt>
                  <c:pt idx="58">
                    <c:v>500</c:v>
                  </c:pt>
                  <c:pt idx="59">
                    <c:v>500</c:v>
                  </c:pt>
                  <c:pt idx="60">
                    <c:v>500</c:v>
                  </c:pt>
                  <c:pt idx="61">
                    <c:v>500</c:v>
                  </c:pt>
                  <c:pt idx="62">
                    <c:v>500</c:v>
                  </c:pt>
                  <c:pt idx="63">
                    <c:v>500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500</c:v>
                  </c:pt>
                  <c:pt idx="69">
                    <c:v>500</c:v>
                  </c:pt>
                  <c:pt idx="70">
                    <c:v>500</c:v>
                  </c:pt>
                  <c:pt idx="71">
                    <c:v>500</c:v>
                  </c:pt>
                  <c:pt idx="72">
                    <c:v>500</c:v>
                  </c:pt>
                  <c:pt idx="73">
                    <c:v>500</c:v>
                  </c:pt>
                  <c:pt idx="74">
                    <c:v>500</c:v>
                  </c:pt>
                  <c:pt idx="75">
                    <c:v>500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500</c:v>
                  </c:pt>
                  <c:pt idx="81">
                    <c:v>500</c:v>
                  </c:pt>
                  <c:pt idx="82">
                    <c:v>500</c:v>
                  </c:pt>
                  <c:pt idx="83">
                    <c:v>500</c:v>
                  </c:pt>
                  <c:pt idx="84">
                    <c:v>500</c:v>
                  </c:pt>
                  <c:pt idx="85">
                    <c:v>500</c:v>
                  </c:pt>
                  <c:pt idx="86">
                    <c:v>500</c:v>
                  </c:pt>
                  <c:pt idx="87">
                    <c:v>500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500</c:v>
                  </c:pt>
                  <c:pt idx="93">
                    <c:v>500</c:v>
                  </c:pt>
                  <c:pt idx="94">
                    <c:v>500</c:v>
                  </c:pt>
                  <c:pt idx="95">
                    <c:v>500</c:v>
                  </c:pt>
                  <c:pt idx="96">
                    <c:v>500</c:v>
                  </c:pt>
                  <c:pt idx="97">
                    <c:v>500</c:v>
                  </c:pt>
                  <c:pt idx="98">
                    <c:v>500</c:v>
                  </c:pt>
                  <c:pt idx="99">
                    <c:v>500</c:v>
                  </c:pt>
                  <c:pt idx="100">
                    <c:v>500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82</c:v>
                  </c:pt>
                  <c:pt idx="83">
                    <c:v>83</c:v>
                  </c:pt>
                  <c:pt idx="84">
                    <c:v>84</c:v>
                  </c:pt>
                  <c:pt idx="85">
                    <c:v>85</c:v>
                  </c:pt>
                  <c:pt idx="86">
                    <c:v>86</c:v>
                  </c:pt>
                  <c:pt idx="87">
                    <c:v>87</c:v>
                  </c:pt>
                  <c:pt idx="88">
                    <c:v>88</c:v>
                  </c:pt>
                  <c:pt idx="89">
                    <c:v>89</c:v>
                  </c:pt>
                  <c:pt idx="90">
                    <c:v>90</c:v>
                  </c:pt>
                  <c:pt idx="91">
                    <c:v>91</c:v>
                  </c:pt>
                  <c:pt idx="92">
                    <c:v>92</c:v>
                  </c:pt>
                  <c:pt idx="93">
                    <c:v>93</c:v>
                  </c:pt>
                  <c:pt idx="94">
                    <c:v>94</c:v>
                  </c:pt>
                  <c:pt idx="95">
                    <c:v>95</c:v>
                  </c:pt>
                  <c:pt idx="96">
                    <c:v>96</c:v>
                  </c:pt>
                  <c:pt idx="97">
                    <c:v>97</c:v>
                  </c:pt>
                  <c:pt idx="98">
                    <c:v>98</c:v>
                  </c:pt>
                  <c:pt idx="99">
                    <c:v>99</c:v>
                  </c:pt>
                  <c:pt idx="100">
                    <c:v>100</c:v>
                  </c:pt>
                </c:lvl>
              </c:multiLvlStrCache>
            </c:multiLvlStrRef>
          </c:xVal>
          <c:yVal>
            <c:numRef>
              <c:f>'HPS Comparing'!$X$10:$X$110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A5C-4395-9C78-B97C184E9CD7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'HPS Comparing'!$D$10:$N$110</c:f>
              <c:multiLvlStrCache>
                <c:ptCount val="101"/>
                <c:lvl>
                  <c:pt idx="0">
                    <c:v>95.5</c:v>
                  </c:pt>
                  <c:pt idx="1">
                    <c:v>125.7</c:v>
                  </c:pt>
                  <c:pt idx="2">
                    <c:v>155.6</c:v>
                  </c:pt>
                  <c:pt idx="3">
                    <c:v>174.7</c:v>
                  </c:pt>
                  <c:pt idx="4">
                    <c:v>190.5</c:v>
                  </c:pt>
                  <c:pt idx="5">
                    <c:v>203.2</c:v>
                  </c:pt>
                  <c:pt idx="6">
                    <c:v>216</c:v>
                  </c:pt>
                  <c:pt idx="7">
                    <c:v>226</c:v>
                  </c:pt>
                  <c:pt idx="8">
                    <c:v>235.1</c:v>
                  </c:pt>
                  <c:pt idx="9">
                    <c:v>245.2</c:v>
                  </c:pt>
                  <c:pt idx="10">
                    <c:v>253.3</c:v>
                  </c:pt>
                  <c:pt idx="11">
                    <c:v>262.5</c:v>
                  </c:pt>
                  <c:pt idx="12">
                    <c:v>270.2</c:v>
                  </c:pt>
                  <c:pt idx="13">
                    <c:v>278.8</c:v>
                  </c:pt>
                  <c:pt idx="14">
                    <c:v>286.4</c:v>
                  </c:pt>
                  <c:pt idx="15">
                    <c:v>294.1</c:v>
                  </c:pt>
                  <c:pt idx="16">
                    <c:v>301</c:v>
                  </c:pt>
                  <c:pt idx="17">
                    <c:v>308</c:v>
                  </c:pt>
                  <c:pt idx="18">
                    <c:v>314.9</c:v>
                  </c:pt>
                  <c:pt idx="19">
                    <c:v>321.3</c:v>
                  </c:pt>
                  <c:pt idx="20">
                    <c:v>328.2</c:v>
                  </c:pt>
                  <c:pt idx="21">
                    <c:v>334.2</c:v>
                  </c:pt>
                  <c:pt idx="22">
                    <c:v>340.8</c:v>
                  </c:pt>
                  <c:pt idx="23">
                    <c:v>346.4</c:v>
                  </c:pt>
                  <c:pt idx="24">
                    <c:v>352.3</c:v>
                  </c:pt>
                  <c:pt idx="25">
                    <c:v>357.5</c:v>
                  </c:pt>
                  <c:pt idx="26">
                    <c:v>363.2</c:v>
                  </c:pt>
                  <c:pt idx="27">
                    <c:v>368.5</c:v>
                  </c:pt>
                  <c:pt idx="28">
                    <c:v>375.1</c:v>
                  </c:pt>
                  <c:pt idx="29">
                    <c:v>381.5</c:v>
                  </c:pt>
                  <c:pt idx="30">
                    <c:v>388.2</c:v>
                  </c:pt>
                  <c:pt idx="31">
                    <c:v>393.9</c:v>
                  </c:pt>
                  <c:pt idx="32">
                    <c:v>399.4</c:v>
                  </c:pt>
                  <c:pt idx="33">
                    <c:v>404.7</c:v>
                  </c:pt>
                  <c:pt idx="34">
                    <c:v>410</c:v>
                  </c:pt>
                  <c:pt idx="35">
                    <c:v>415.6</c:v>
                  </c:pt>
                  <c:pt idx="36">
                    <c:v>421</c:v>
                  </c:pt>
                  <c:pt idx="37">
                    <c:v>427</c:v>
                  </c:pt>
                  <c:pt idx="38">
                    <c:v>432.5</c:v>
                  </c:pt>
                  <c:pt idx="39">
                    <c:v>438.1</c:v>
                  </c:pt>
                  <c:pt idx="40">
                    <c:v>443.3</c:v>
                  </c:pt>
                  <c:pt idx="41">
                    <c:v>448.5</c:v>
                  </c:pt>
                  <c:pt idx="42">
                    <c:v>454.3</c:v>
                  </c:pt>
                  <c:pt idx="43">
                    <c:v>459.9</c:v>
                  </c:pt>
                  <c:pt idx="44">
                    <c:v>465.4</c:v>
                  </c:pt>
                  <c:pt idx="45">
                    <c:v>471</c:v>
                  </c:pt>
                  <c:pt idx="46">
                    <c:v>476.4</c:v>
                  </c:pt>
                  <c:pt idx="47">
                    <c:v>481.9</c:v>
                  </c:pt>
                  <c:pt idx="48">
                    <c:v>487.5</c:v>
                  </c:pt>
                  <c:pt idx="49">
                    <c:v>493.2</c:v>
                  </c:pt>
                  <c:pt idx="50">
                    <c:v>498.4</c:v>
                  </c:pt>
                  <c:pt idx="51">
                    <c:v>503.4</c:v>
                  </c:pt>
                  <c:pt idx="52">
                    <c:v>508.3</c:v>
                  </c:pt>
                  <c:pt idx="53">
                    <c:v>513.7</c:v>
                  </c:pt>
                  <c:pt idx="54">
                    <c:v>519.1</c:v>
                  </c:pt>
                  <c:pt idx="55">
                    <c:v>524.2</c:v>
                  </c:pt>
                  <c:pt idx="56">
                    <c:v>529.1</c:v>
                  </c:pt>
                  <c:pt idx="57">
                    <c:v>533.9</c:v>
                  </c:pt>
                  <c:pt idx="58">
                    <c:v>538.7</c:v>
                  </c:pt>
                  <c:pt idx="59">
                    <c:v>543.3</c:v>
                  </c:pt>
                  <c:pt idx="60">
                    <c:v>548.1</c:v>
                  </c:pt>
                  <c:pt idx="61">
                    <c:v>552.8</c:v>
                  </c:pt>
                  <c:pt idx="62">
                    <c:v>557.4</c:v>
                  </c:pt>
                  <c:pt idx="63">
                    <c:v>561.8</c:v>
                  </c:pt>
                  <c:pt idx="64">
                    <c:v>566.1</c:v>
                  </c:pt>
                  <c:pt idx="65">
                    <c:v>570.2</c:v>
                  </c:pt>
                  <c:pt idx="66">
                    <c:v>574.2</c:v>
                  </c:pt>
                  <c:pt idx="67">
                    <c:v>578.5</c:v>
                  </c:pt>
                  <c:pt idx="68">
                    <c:v>582.9</c:v>
                  </c:pt>
                  <c:pt idx="69">
                    <c:v>587.2</c:v>
                  </c:pt>
                  <c:pt idx="70">
                    <c:v>591.6</c:v>
                  </c:pt>
                  <c:pt idx="71">
                    <c:v>596</c:v>
                  </c:pt>
                  <c:pt idx="72">
                    <c:v>600.5</c:v>
                  </c:pt>
                  <c:pt idx="73">
                    <c:v>605.3</c:v>
                  </c:pt>
                  <c:pt idx="74">
                    <c:v>610.3</c:v>
                  </c:pt>
                  <c:pt idx="75">
                    <c:v>615.3</c:v>
                  </c:pt>
                  <c:pt idx="76">
                    <c:v>620.9</c:v>
                  </c:pt>
                  <c:pt idx="77">
                    <c:v>626.4</c:v>
                  </c:pt>
                  <c:pt idx="78">
                    <c:v>632.1</c:v>
                  </c:pt>
                  <c:pt idx="79">
                    <c:v>638</c:v>
                  </c:pt>
                  <c:pt idx="80">
                    <c:v>644.6</c:v>
                  </c:pt>
                  <c:pt idx="81">
                    <c:v>651.6</c:v>
                  </c:pt>
                  <c:pt idx="82">
                    <c:v>658.6</c:v>
                  </c:pt>
                  <c:pt idx="83">
                    <c:v>667.9</c:v>
                  </c:pt>
                  <c:pt idx="84">
                    <c:v>677.4</c:v>
                  </c:pt>
                  <c:pt idx="85">
                    <c:v>688.1</c:v>
                  </c:pt>
                  <c:pt idx="86">
                    <c:v>698.6</c:v>
                  </c:pt>
                  <c:pt idx="87">
                    <c:v>709.6</c:v>
                  </c:pt>
                  <c:pt idx="88">
                    <c:v>722.6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133.6</c:v>
                  </c:pt>
                  <c:pt idx="1">
                    <c:v>179.1</c:v>
                  </c:pt>
                  <c:pt idx="2">
                    <c:v>224.9</c:v>
                  </c:pt>
                  <c:pt idx="3">
                    <c:v>255.3</c:v>
                  </c:pt>
                  <c:pt idx="4">
                    <c:v>279.7</c:v>
                  </c:pt>
                  <c:pt idx="5">
                    <c:v>300.9</c:v>
                  </c:pt>
                  <c:pt idx="6">
                    <c:v>317.7</c:v>
                  </c:pt>
                  <c:pt idx="7">
                    <c:v>332.7</c:v>
                  </c:pt>
                  <c:pt idx="8">
                    <c:v>345.9</c:v>
                  </c:pt>
                  <c:pt idx="9">
                    <c:v>357.3</c:v>
                  </c:pt>
                  <c:pt idx="10">
                    <c:v>367.8</c:v>
                  </c:pt>
                  <c:pt idx="11">
                    <c:v>379.7</c:v>
                  </c:pt>
                  <c:pt idx="12">
                    <c:v>391.3</c:v>
                  </c:pt>
                  <c:pt idx="13">
                    <c:v>400</c:v>
                  </c:pt>
                  <c:pt idx="14">
                    <c:v>408.3</c:v>
                  </c:pt>
                  <c:pt idx="15">
                    <c:v>417</c:v>
                  </c:pt>
                  <c:pt idx="16">
                    <c:v>426.3</c:v>
                  </c:pt>
                  <c:pt idx="17">
                    <c:v>434.6</c:v>
                  </c:pt>
                  <c:pt idx="18">
                    <c:v>442.1</c:v>
                  </c:pt>
                  <c:pt idx="19">
                    <c:v>449.4</c:v>
                  </c:pt>
                  <c:pt idx="20">
                    <c:v>457.4</c:v>
                  </c:pt>
                  <c:pt idx="21">
                    <c:v>465.2</c:v>
                  </c:pt>
                  <c:pt idx="22">
                    <c:v>472.3</c:v>
                  </c:pt>
                  <c:pt idx="23">
                    <c:v>479</c:v>
                  </c:pt>
                  <c:pt idx="24">
                    <c:v>486.1</c:v>
                  </c:pt>
                  <c:pt idx="25">
                    <c:v>493.1</c:v>
                  </c:pt>
                  <c:pt idx="26">
                    <c:v>499.3</c:v>
                  </c:pt>
                  <c:pt idx="27">
                    <c:v>505</c:v>
                  </c:pt>
                  <c:pt idx="28">
                    <c:v>510.6</c:v>
                  </c:pt>
                  <c:pt idx="29">
                    <c:v>516.6</c:v>
                  </c:pt>
                  <c:pt idx="30">
                    <c:v>522.4</c:v>
                  </c:pt>
                  <c:pt idx="31">
                    <c:v>527.4</c:v>
                  </c:pt>
                  <c:pt idx="32">
                    <c:v>532.2</c:v>
                  </c:pt>
                  <c:pt idx="33">
                    <c:v>536.7</c:v>
                  </c:pt>
                  <c:pt idx="34">
                    <c:v>541.2</c:v>
                  </c:pt>
                  <c:pt idx="35">
                    <c:v>545.5</c:v>
                  </c:pt>
                  <c:pt idx="36">
                    <c:v>549.8</c:v>
                  </c:pt>
                  <c:pt idx="37">
                    <c:v>554</c:v>
                  </c:pt>
                  <c:pt idx="38">
                    <c:v>557.9</c:v>
                  </c:pt>
                  <c:pt idx="39">
                    <c:v>561.4</c:v>
                  </c:pt>
                  <c:pt idx="40">
                    <c:v>564.9</c:v>
                  </c:pt>
                  <c:pt idx="41">
                    <c:v>568.1</c:v>
                  </c:pt>
                  <c:pt idx="42">
                    <c:v>571.2</c:v>
                  </c:pt>
                  <c:pt idx="43">
                    <c:v>574.2</c:v>
                  </c:pt>
                  <c:pt idx="44">
                    <c:v>577.2</c:v>
                  </c:pt>
                  <c:pt idx="45">
                    <c:v>580.2</c:v>
                  </c:pt>
                  <c:pt idx="46">
                    <c:v>583.1</c:v>
                  </c:pt>
                  <c:pt idx="47">
                    <c:v>586</c:v>
                  </c:pt>
                  <c:pt idx="48">
                    <c:v>588.8</c:v>
                  </c:pt>
                  <c:pt idx="49">
                    <c:v>591.6</c:v>
                  </c:pt>
                  <c:pt idx="50">
                    <c:v>594.3</c:v>
                  </c:pt>
                  <c:pt idx="51">
                    <c:v>597</c:v>
                  </c:pt>
                  <c:pt idx="52">
                    <c:v>599.8</c:v>
                  </c:pt>
                  <c:pt idx="53">
                    <c:v>602.6</c:v>
                  </c:pt>
                  <c:pt idx="54">
                    <c:v>605.4</c:v>
                  </c:pt>
                  <c:pt idx="55">
                    <c:v>608.2</c:v>
                  </c:pt>
                  <c:pt idx="56">
                    <c:v>611</c:v>
                  </c:pt>
                  <c:pt idx="57">
                    <c:v>613.9</c:v>
                  </c:pt>
                  <c:pt idx="58">
                    <c:v>616.8</c:v>
                  </c:pt>
                  <c:pt idx="59">
                    <c:v>619.7</c:v>
                  </c:pt>
                  <c:pt idx="60">
                    <c:v>622.7</c:v>
                  </c:pt>
                  <c:pt idx="61">
                    <c:v>625.7</c:v>
                  </c:pt>
                  <c:pt idx="62">
                    <c:v>628.7</c:v>
                  </c:pt>
                  <c:pt idx="63">
                    <c:v>631.6</c:v>
                  </c:pt>
                  <c:pt idx="64">
                    <c:v>634.5</c:v>
                  </c:pt>
                  <c:pt idx="65">
                    <c:v>637.6</c:v>
                  </c:pt>
                  <c:pt idx="66">
                    <c:v>640.7</c:v>
                  </c:pt>
                  <c:pt idx="67">
                    <c:v>644</c:v>
                  </c:pt>
                  <c:pt idx="68">
                    <c:v>647.4</c:v>
                  </c:pt>
                  <c:pt idx="69">
                    <c:v>650.5</c:v>
                  </c:pt>
                  <c:pt idx="70">
                    <c:v>653.7</c:v>
                  </c:pt>
                  <c:pt idx="71">
                    <c:v>656.8</c:v>
                  </c:pt>
                  <c:pt idx="72">
                    <c:v>660.6</c:v>
                  </c:pt>
                  <c:pt idx="73">
                    <c:v>664.8</c:v>
                  </c:pt>
                  <c:pt idx="74">
                    <c:v>669.2</c:v>
                  </c:pt>
                  <c:pt idx="75">
                    <c:v>673.1</c:v>
                  </c:pt>
                  <c:pt idx="76">
                    <c:v>677.4</c:v>
                  </c:pt>
                  <c:pt idx="77">
                    <c:v>682.2</c:v>
                  </c:pt>
                  <c:pt idx="78">
                    <c:v>686.5</c:v>
                  </c:pt>
                  <c:pt idx="79">
                    <c:v>691.2</c:v>
                  </c:pt>
                  <c:pt idx="80">
                    <c:v>694.8</c:v>
                  </c:pt>
                  <c:pt idx="81">
                    <c:v>699.9</c:v>
                  </c:pt>
                  <c:pt idx="82">
                    <c:v>704</c:v>
                  </c:pt>
                  <c:pt idx="83">
                    <c:v>708.8</c:v>
                  </c:pt>
                  <c:pt idx="84">
                    <c:v>714.2</c:v>
                  </c:pt>
                  <c:pt idx="85">
                    <c:v>719.8</c:v>
                  </c:pt>
                  <c:pt idx="86">
                    <c:v>726.2</c:v>
                  </c:pt>
                  <c:pt idx="87">
                    <c:v>733.5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152.5</c:v>
                  </c:pt>
                  <c:pt idx="1">
                    <c:v>185.3</c:v>
                  </c:pt>
                  <c:pt idx="2">
                    <c:v>226.6</c:v>
                  </c:pt>
                  <c:pt idx="3">
                    <c:v>255</c:v>
                  </c:pt>
                  <c:pt idx="4">
                    <c:v>279.1</c:v>
                  </c:pt>
                  <c:pt idx="5">
                    <c:v>299.2</c:v>
                  </c:pt>
                  <c:pt idx="6">
                    <c:v>317.3</c:v>
                  </c:pt>
                  <c:pt idx="7">
                    <c:v>332.5</c:v>
                  </c:pt>
                  <c:pt idx="8">
                    <c:v>345.5</c:v>
                  </c:pt>
                  <c:pt idx="9">
                    <c:v>356.3</c:v>
                  </c:pt>
                  <c:pt idx="10">
                    <c:v>366.7</c:v>
                  </c:pt>
                  <c:pt idx="11">
                    <c:v>378.3</c:v>
                  </c:pt>
                  <c:pt idx="12">
                    <c:v>390.2</c:v>
                  </c:pt>
                  <c:pt idx="13">
                    <c:v>398.9</c:v>
                  </c:pt>
                  <c:pt idx="14">
                    <c:v>407.3</c:v>
                  </c:pt>
                  <c:pt idx="15">
                    <c:v>415.7</c:v>
                  </c:pt>
                  <c:pt idx="16">
                    <c:v>424.9</c:v>
                  </c:pt>
                  <c:pt idx="17">
                    <c:v>433.3</c:v>
                  </c:pt>
                  <c:pt idx="18">
                    <c:v>440.7</c:v>
                  </c:pt>
                  <c:pt idx="19">
                    <c:v>448</c:v>
                  </c:pt>
                  <c:pt idx="20">
                    <c:v>455.9</c:v>
                  </c:pt>
                  <c:pt idx="21">
                    <c:v>463.6</c:v>
                  </c:pt>
                  <c:pt idx="22">
                    <c:v>470.6</c:v>
                  </c:pt>
                  <c:pt idx="23">
                    <c:v>477.3</c:v>
                  </c:pt>
                  <c:pt idx="24">
                    <c:v>484.2</c:v>
                  </c:pt>
                  <c:pt idx="25">
                    <c:v>491.3</c:v>
                  </c:pt>
                  <c:pt idx="26">
                    <c:v>497.8</c:v>
                  </c:pt>
                  <c:pt idx="27">
                    <c:v>503.3</c:v>
                  </c:pt>
                  <c:pt idx="28">
                    <c:v>508.7</c:v>
                  </c:pt>
                  <c:pt idx="29">
                    <c:v>514.7</c:v>
                  </c:pt>
                  <c:pt idx="30">
                    <c:v>520.6</c:v>
                  </c:pt>
                  <c:pt idx="31">
                    <c:v>525.7</c:v>
                  </c:pt>
                  <c:pt idx="32">
                    <c:v>530.5</c:v>
                  </c:pt>
                  <c:pt idx="33">
                    <c:v>535.2</c:v>
                  </c:pt>
                  <c:pt idx="34">
                    <c:v>539.6</c:v>
                  </c:pt>
                  <c:pt idx="35">
                    <c:v>543.9</c:v>
                  </c:pt>
                  <c:pt idx="36">
                    <c:v>548.2</c:v>
                  </c:pt>
                  <c:pt idx="37">
                    <c:v>552.4</c:v>
                  </c:pt>
                  <c:pt idx="38">
                    <c:v>556.4</c:v>
                  </c:pt>
                  <c:pt idx="39">
                    <c:v>560</c:v>
                  </c:pt>
                  <c:pt idx="40">
                    <c:v>563.5</c:v>
                  </c:pt>
                  <c:pt idx="41">
                    <c:v>566.8</c:v>
                  </c:pt>
                  <c:pt idx="42">
                    <c:v>569.9</c:v>
                  </c:pt>
                  <c:pt idx="43">
                    <c:v>572.9</c:v>
                  </c:pt>
                  <c:pt idx="44">
                    <c:v>575.8</c:v>
                  </c:pt>
                  <c:pt idx="45">
                    <c:v>578.8</c:v>
                  </c:pt>
                  <c:pt idx="46">
                    <c:v>581.7</c:v>
                  </c:pt>
                  <c:pt idx="47">
                    <c:v>584.6</c:v>
                  </c:pt>
                  <c:pt idx="48">
                    <c:v>587.4</c:v>
                  </c:pt>
                  <c:pt idx="49">
                    <c:v>590.1</c:v>
                  </c:pt>
                  <c:pt idx="50">
                    <c:v>592.8</c:v>
                  </c:pt>
                  <c:pt idx="51">
                    <c:v>595.5</c:v>
                  </c:pt>
                  <c:pt idx="52">
                    <c:v>598.1</c:v>
                  </c:pt>
                  <c:pt idx="53">
                    <c:v>600.8</c:v>
                  </c:pt>
                  <c:pt idx="54">
                    <c:v>603.6</c:v>
                  </c:pt>
                  <c:pt idx="55">
                    <c:v>606.3</c:v>
                  </c:pt>
                  <c:pt idx="56">
                    <c:v>609</c:v>
                  </c:pt>
                  <c:pt idx="57">
                    <c:v>611.7</c:v>
                  </c:pt>
                  <c:pt idx="58">
                    <c:v>614.5</c:v>
                  </c:pt>
                  <c:pt idx="59">
                    <c:v>617.3</c:v>
                  </c:pt>
                  <c:pt idx="60">
                    <c:v>620.1</c:v>
                  </c:pt>
                  <c:pt idx="61">
                    <c:v>623</c:v>
                  </c:pt>
                  <c:pt idx="62">
                    <c:v>625.8</c:v>
                  </c:pt>
                  <c:pt idx="63">
                    <c:v>628.6</c:v>
                  </c:pt>
                  <c:pt idx="64">
                    <c:v>631.4</c:v>
                  </c:pt>
                  <c:pt idx="65">
                    <c:v>634.2</c:v>
                  </c:pt>
                  <c:pt idx="66">
                    <c:v>637.1</c:v>
                  </c:pt>
                  <c:pt idx="67">
                    <c:v>640</c:v>
                  </c:pt>
                  <c:pt idx="68">
                    <c:v>643.1</c:v>
                  </c:pt>
                  <c:pt idx="69">
                    <c:v>646.2</c:v>
                  </c:pt>
                  <c:pt idx="70">
                    <c:v>649.2</c:v>
                  </c:pt>
                  <c:pt idx="71">
                    <c:v>652.2</c:v>
                  </c:pt>
                  <c:pt idx="72">
                    <c:v>655.1</c:v>
                  </c:pt>
                  <c:pt idx="73">
                    <c:v>658.1</c:v>
                  </c:pt>
                  <c:pt idx="74">
                    <c:v>661.9</c:v>
                  </c:pt>
                  <c:pt idx="75">
                    <c:v>665.7</c:v>
                  </c:pt>
                  <c:pt idx="76">
                    <c:v>669.7</c:v>
                  </c:pt>
                  <c:pt idx="77">
                    <c:v>673.1</c:v>
                  </c:pt>
                  <c:pt idx="78">
                    <c:v>676.9</c:v>
                  </c:pt>
                  <c:pt idx="79">
                    <c:v>681.3</c:v>
                  </c:pt>
                  <c:pt idx="80">
                    <c:v>685</c:v>
                  </c:pt>
                  <c:pt idx="81">
                    <c:v>688.9</c:v>
                  </c:pt>
                  <c:pt idx="82">
                    <c:v>692.4</c:v>
                  </c:pt>
                  <c:pt idx="83">
                    <c:v>695.7</c:v>
                  </c:pt>
                  <c:pt idx="84">
                    <c:v>700</c:v>
                  </c:pt>
                  <c:pt idx="85">
                    <c:v>703.3</c:v>
                  </c:pt>
                  <c:pt idx="86">
                    <c:v>706.7</c:v>
                  </c:pt>
                  <c:pt idx="87">
                    <c:v>710.8</c:v>
                  </c:pt>
                  <c:pt idx="88">
                    <c:v>714.7</c:v>
                  </c:pt>
                  <c:pt idx="89">
                    <c:v>718.6</c:v>
                  </c:pt>
                  <c:pt idx="90">
                    <c:v>722.6</c:v>
                  </c:pt>
                  <c:pt idx="91">
                    <c:v>726.7</c:v>
                  </c:pt>
                  <c:pt idx="92">
                    <c:v>730.9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140.2</c:v>
                  </c:pt>
                  <c:pt idx="1">
                    <c:v>187.3</c:v>
                  </c:pt>
                  <c:pt idx="2">
                    <c:v>232</c:v>
                  </c:pt>
                  <c:pt idx="3">
                    <c:v>261.4</c:v>
                  </c:pt>
                  <c:pt idx="4">
                    <c:v>285.2</c:v>
                  </c:pt>
                  <c:pt idx="5">
                    <c:v>305.6</c:v>
                  </c:pt>
                  <c:pt idx="6">
                    <c:v>323.2</c:v>
                  </c:pt>
                  <c:pt idx="7">
                    <c:v>338.6</c:v>
                  </c:pt>
                  <c:pt idx="8">
                    <c:v>351.3</c:v>
                  </c:pt>
                  <c:pt idx="9">
                    <c:v>362.4</c:v>
                  </c:pt>
                  <c:pt idx="10">
                    <c:v>374.1</c:v>
                  </c:pt>
                  <c:pt idx="11">
                    <c:v>387.1</c:v>
                  </c:pt>
                  <c:pt idx="12">
                    <c:v>397.2</c:v>
                  </c:pt>
                  <c:pt idx="13">
                    <c:v>406</c:v>
                  </c:pt>
                  <c:pt idx="14">
                    <c:v>414.7</c:v>
                  </c:pt>
                  <c:pt idx="15">
                    <c:v>424.4</c:v>
                  </c:pt>
                  <c:pt idx="16">
                    <c:v>433.3</c:v>
                  </c:pt>
                  <c:pt idx="17">
                    <c:v>441.2</c:v>
                  </c:pt>
                  <c:pt idx="18">
                    <c:v>448.8</c:v>
                  </c:pt>
                  <c:pt idx="19">
                    <c:v>457.3</c:v>
                  </c:pt>
                  <c:pt idx="20">
                    <c:v>465.4</c:v>
                  </c:pt>
                  <c:pt idx="21">
                    <c:v>472.5</c:v>
                  </c:pt>
                  <c:pt idx="22">
                    <c:v>479.5</c:v>
                  </c:pt>
                  <c:pt idx="23">
                    <c:v>486.9</c:v>
                  </c:pt>
                  <c:pt idx="24">
                    <c:v>494.3</c:v>
                  </c:pt>
                  <c:pt idx="25">
                    <c:v>500.6</c:v>
                  </c:pt>
                  <c:pt idx="26">
                    <c:v>506.4</c:v>
                  </c:pt>
                  <c:pt idx="27">
                    <c:v>512.4</c:v>
                  </c:pt>
                  <c:pt idx="28">
                    <c:v>518.7</c:v>
                  </c:pt>
                  <c:pt idx="29">
                    <c:v>524.4</c:v>
                  </c:pt>
                  <c:pt idx="30">
                    <c:v>529.6</c:v>
                  </c:pt>
                  <c:pt idx="31">
                    <c:v>534.6</c:v>
                  </c:pt>
                  <c:pt idx="32">
                    <c:v>539.3</c:v>
                  </c:pt>
                  <c:pt idx="33">
                    <c:v>543.9</c:v>
                  </c:pt>
                  <c:pt idx="34">
                    <c:v>548.6</c:v>
                  </c:pt>
                  <c:pt idx="35">
                    <c:v>553.1</c:v>
                  </c:pt>
                  <c:pt idx="36">
                    <c:v>557.3</c:v>
                  </c:pt>
                  <c:pt idx="37">
                    <c:v>561.1</c:v>
                  </c:pt>
                  <c:pt idx="38">
                    <c:v>564.8</c:v>
                  </c:pt>
                  <c:pt idx="39">
                    <c:v>568.2</c:v>
                  </c:pt>
                  <c:pt idx="40">
                    <c:v>571.4</c:v>
                  </c:pt>
                  <c:pt idx="41">
                    <c:v>574.6</c:v>
                  </c:pt>
                  <c:pt idx="42">
                    <c:v>577.8</c:v>
                  </c:pt>
                  <c:pt idx="43">
                    <c:v>580.9</c:v>
                  </c:pt>
                  <c:pt idx="44">
                    <c:v>584.1</c:v>
                  </c:pt>
                  <c:pt idx="45">
                    <c:v>587</c:v>
                  </c:pt>
                  <c:pt idx="46">
                    <c:v>590</c:v>
                  </c:pt>
                  <c:pt idx="47">
                    <c:v>592.9</c:v>
                  </c:pt>
                  <c:pt idx="48">
                    <c:v>595.7</c:v>
                  </c:pt>
                  <c:pt idx="49">
                    <c:v>598.6</c:v>
                  </c:pt>
                  <c:pt idx="50">
                    <c:v>601.5</c:v>
                  </c:pt>
                  <c:pt idx="51">
                    <c:v>604.4</c:v>
                  </c:pt>
                  <c:pt idx="52">
                    <c:v>607.4</c:v>
                  </c:pt>
                  <c:pt idx="53">
                    <c:v>610.3</c:v>
                  </c:pt>
                  <c:pt idx="54">
                    <c:v>613.3</c:v>
                  </c:pt>
                  <c:pt idx="55">
                    <c:v>616.3</c:v>
                  </c:pt>
                  <c:pt idx="56">
                    <c:v>619.4</c:v>
                  </c:pt>
                  <c:pt idx="57">
                    <c:v>622.6</c:v>
                  </c:pt>
                  <c:pt idx="58">
                    <c:v>625.7</c:v>
                  </c:pt>
                  <c:pt idx="59">
                    <c:v>628.9</c:v>
                  </c:pt>
                  <c:pt idx="60">
                    <c:v>631.9</c:v>
                  </c:pt>
                  <c:pt idx="61">
                    <c:v>635.1</c:v>
                  </c:pt>
                  <c:pt idx="62">
                    <c:v>638.4</c:v>
                  </c:pt>
                  <c:pt idx="63">
                    <c:v>641.8</c:v>
                  </c:pt>
                  <c:pt idx="64">
                    <c:v>645.4</c:v>
                  </c:pt>
                  <c:pt idx="65">
                    <c:v>648.9</c:v>
                  </c:pt>
                  <c:pt idx="66">
                    <c:v>652.4</c:v>
                  </c:pt>
                  <c:pt idx="67">
                    <c:v>655.8</c:v>
                  </c:pt>
                  <c:pt idx="68">
                    <c:v>659.7</c:v>
                  </c:pt>
                  <c:pt idx="69">
                    <c:v>664.3</c:v>
                  </c:pt>
                  <c:pt idx="70">
                    <c:v>669.1</c:v>
                  </c:pt>
                  <c:pt idx="71">
                    <c:v>673.5</c:v>
                  </c:pt>
                  <c:pt idx="72">
                    <c:v>678.6</c:v>
                  </c:pt>
                  <c:pt idx="73">
                    <c:v>683.9</c:v>
                  </c:pt>
                  <c:pt idx="74">
                    <c:v>689.1</c:v>
                  </c:pt>
                  <c:pt idx="75">
                    <c:v>693.9</c:v>
                  </c:pt>
                  <c:pt idx="76">
                    <c:v>699.8</c:v>
                  </c:pt>
                  <c:pt idx="77">
                    <c:v>705.2</c:v>
                  </c:pt>
                  <c:pt idx="78">
                    <c:v>712.1</c:v>
                  </c:pt>
                  <c:pt idx="79">
                    <c:v>720.3</c:v>
                  </c:pt>
                  <c:pt idx="80">
                    <c:v>733.8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142.1</c:v>
                  </c:pt>
                  <c:pt idx="1">
                    <c:v>173.4</c:v>
                  </c:pt>
                  <c:pt idx="2">
                    <c:v>215</c:v>
                  </c:pt>
                  <c:pt idx="3">
                    <c:v>248.3</c:v>
                  </c:pt>
                  <c:pt idx="4">
                    <c:v>270.7</c:v>
                  </c:pt>
                  <c:pt idx="5">
                    <c:v>291.2</c:v>
                  </c:pt>
                  <c:pt idx="6">
                    <c:v>308.6</c:v>
                  </c:pt>
                  <c:pt idx="7">
                    <c:v>324.2</c:v>
                  </c:pt>
                  <c:pt idx="8">
                    <c:v>338.5</c:v>
                  </c:pt>
                  <c:pt idx="9">
                    <c:v>351.6</c:v>
                  </c:pt>
                  <c:pt idx="10">
                    <c:v>363.5</c:v>
                  </c:pt>
                  <c:pt idx="11">
                    <c:v>374.4</c:v>
                  </c:pt>
                  <c:pt idx="12">
                    <c:v>384.5</c:v>
                  </c:pt>
                  <c:pt idx="13">
                    <c:v>394.2</c:v>
                  </c:pt>
                  <c:pt idx="14">
                    <c:v>404</c:v>
                  </c:pt>
                  <c:pt idx="15">
                    <c:v>413.2</c:v>
                  </c:pt>
                  <c:pt idx="16">
                    <c:v>421.9</c:v>
                  </c:pt>
                  <c:pt idx="17">
                    <c:v>430.1</c:v>
                  </c:pt>
                  <c:pt idx="18">
                    <c:v>438.5</c:v>
                  </c:pt>
                  <c:pt idx="19">
                    <c:v>446.5</c:v>
                  </c:pt>
                  <c:pt idx="20">
                    <c:v>454.4</c:v>
                  </c:pt>
                  <c:pt idx="21">
                    <c:v>462</c:v>
                  </c:pt>
                  <c:pt idx="22">
                    <c:v>469.5</c:v>
                  </c:pt>
                  <c:pt idx="23">
                    <c:v>476.7</c:v>
                  </c:pt>
                  <c:pt idx="24">
                    <c:v>483.7</c:v>
                  </c:pt>
                  <c:pt idx="25">
                    <c:v>490.4</c:v>
                  </c:pt>
                  <c:pt idx="26">
                    <c:v>496.8</c:v>
                  </c:pt>
                  <c:pt idx="27">
                    <c:v>502.6</c:v>
                  </c:pt>
                  <c:pt idx="28">
                    <c:v>508.1</c:v>
                  </c:pt>
                  <c:pt idx="29">
                    <c:v>513.7</c:v>
                  </c:pt>
                  <c:pt idx="30">
                    <c:v>519.1</c:v>
                  </c:pt>
                  <c:pt idx="31">
                    <c:v>524.2</c:v>
                  </c:pt>
                  <c:pt idx="32">
                    <c:v>528.8</c:v>
                  </c:pt>
                  <c:pt idx="33">
                    <c:v>533.2</c:v>
                  </c:pt>
                  <c:pt idx="34">
                    <c:v>537.4</c:v>
                  </c:pt>
                  <c:pt idx="35">
                    <c:v>541.5</c:v>
                  </c:pt>
                  <c:pt idx="36">
                    <c:v>545.3</c:v>
                  </c:pt>
                  <c:pt idx="37">
                    <c:v>549.4</c:v>
                  </c:pt>
                  <c:pt idx="38">
                    <c:v>553.2</c:v>
                  </c:pt>
                  <c:pt idx="39">
                    <c:v>556.9</c:v>
                  </c:pt>
                  <c:pt idx="40">
                    <c:v>560.4</c:v>
                  </c:pt>
                  <c:pt idx="41">
                    <c:v>563.8</c:v>
                  </c:pt>
                  <c:pt idx="42">
                    <c:v>567</c:v>
                  </c:pt>
                  <c:pt idx="43">
                    <c:v>570</c:v>
                  </c:pt>
                  <c:pt idx="44">
                    <c:v>573</c:v>
                  </c:pt>
                  <c:pt idx="45">
                    <c:v>576.1</c:v>
                  </c:pt>
                  <c:pt idx="46">
                    <c:v>579.2</c:v>
                  </c:pt>
                  <c:pt idx="47">
                    <c:v>582.4</c:v>
                  </c:pt>
                  <c:pt idx="48">
                    <c:v>585.5</c:v>
                  </c:pt>
                  <c:pt idx="49">
                    <c:v>588.5</c:v>
                  </c:pt>
                  <c:pt idx="50">
                    <c:v>591.6</c:v>
                  </c:pt>
                  <c:pt idx="51">
                    <c:v>594.7</c:v>
                  </c:pt>
                  <c:pt idx="52">
                    <c:v>597.8</c:v>
                  </c:pt>
                  <c:pt idx="53">
                    <c:v>601</c:v>
                  </c:pt>
                  <c:pt idx="54">
                    <c:v>604.3</c:v>
                  </c:pt>
                  <c:pt idx="55">
                    <c:v>607.6</c:v>
                  </c:pt>
                  <c:pt idx="56">
                    <c:v>610.9</c:v>
                  </c:pt>
                  <c:pt idx="57">
                    <c:v>614.3</c:v>
                  </c:pt>
                  <c:pt idx="58">
                    <c:v>617.8</c:v>
                  </c:pt>
                  <c:pt idx="59">
                    <c:v>621.4</c:v>
                  </c:pt>
                  <c:pt idx="60">
                    <c:v>625</c:v>
                  </c:pt>
                  <c:pt idx="61">
                    <c:v>628.6</c:v>
                  </c:pt>
                  <c:pt idx="62">
                    <c:v>632</c:v>
                  </c:pt>
                  <c:pt idx="63">
                    <c:v>635.5</c:v>
                  </c:pt>
                  <c:pt idx="64">
                    <c:v>639.3</c:v>
                  </c:pt>
                  <c:pt idx="65">
                    <c:v>643.3</c:v>
                  </c:pt>
                  <c:pt idx="66">
                    <c:v>647.4</c:v>
                  </c:pt>
                  <c:pt idx="67">
                    <c:v>651.4</c:v>
                  </c:pt>
                  <c:pt idx="68">
                    <c:v>655.2</c:v>
                  </c:pt>
                  <c:pt idx="69">
                    <c:v>659.4</c:v>
                  </c:pt>
                  <c:pt idx="70">
                    <c:v>664.4</c:v>
                  </c:pt>
                  <c:pt idx="71">
                    <c:v>669.7</c:v>
                  </c:pt>
                  <c:pt idx="72">
                    <c:v>674.4</c:v>
                  </c:pt>
                  <c:pt idx="73">
                    <c:v>680</c:v>
                  </c:pt>
                  <c:pt idx="74">
                    <c:v>685.4</c:v>
                  </c:pt>
                  <c:pt idx="75">
                    <c:v>691</c:v>
                  </c:pt>
                  <c:pt idx="76">
                    <c:v>696</c:v>
                  </c:pt>
                  <c:pt idx="77">
                    <c:v>702.3</c:v>
                  </c:pt>
                  <c:pt idx="78">
                    <c:v>708.5</c:v>
                  </c:pt>
                  <c:pt idx="79">
                    <c:v>716.3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436.7</c:v>
                  </c:pt>
                  <c:pt idx="1">
                    <c:v>499.2</c:v>
                  </c:pt>
                  <c:pt idx="2">
                    <c:v>527.2</c:v>
                  </c:pt>
                  <c:pt idx="3">
                    <c:v>538.6</c:v>
                  </c:pt>
                  <c:pt idx="4">
                    <c:v>546.5</c:v>
                  </c:pt>
                  <c:pt idx="5">
                    <c:v>553.1</c:v>
                  </c:pt>
                  <c:pt idx="6">
                    <c:v>558.5</c:v>
                  </c:pt>
                  <c:pt idx="7">
                    <c:v>563.2</c:v>
                  </c:pt>
                  <c:pt idx="8">
                    <c:v>567.4</c:v>
                  </c:pt>
                  <c:pt idx="9">
                    <c:v>571.1</c:v>
                  </c:pt>
                  <c:pt idx="10">
                    <c:v>574.7</c:v>
                  </c:pt>
                  <c:pt idx="11">
                    <c:v>578.2</c:v>
                  </c:pt>
                  <c:pt idx="12">
                    <c:v>581.7</c:v>
                  </c:pt>
                  <c:pt idx="13">
                    <c:v>585.1</c:v>
                  </c:pt>
                  <c:pt idx="14">
                    <c:v>588.4</c:v>
                  </c:pt>
                  <c:pt idx="15">
                    <c:v>591.6</c:v>
                  </c:pt>
                  <c:pt idx="16">
                    <c:v>594.8</c:v>
                  </c:pt>
                  <c:pt idx="17">
                    <c:v>598</c:v>
                  </c:pt>
                  <c:pt idx="18">
                    <c:v>601.2</c:v>
                  </c:pt>
                  <c:pt idx="19">
                    <c:v>604.6</c:v>
                  </c:pt>
                  <c:pt idx="20">
                    <c:v>607.9</c:v>
                  </c:pt>
                  <c:pt idx="21">
                    <c:v>611.2</c:v>
                  </c:pt>
                  <c:pt idx="22">
                    <c:v>614.5</c:v>
                  </c:pt>
                  <c:pt idx="23">
                    <c:v>618</c:v>
                  </c:pt>
                  <c:pt idx="24">
                    <c:v>621.5</c:v>
                  </c:pt>
                  <c:pt idx="25">
                    <c:v>624.9</c:v>
                  </c:pt>
                  <c:pt idx="26">
                    <c:v>628.4</c:v>
                  </c:pt>
                  <c:pt idx="27">
                    <c:v>631.8</c:v>
                  </c:pt>
                  <c:pt idx="28">
                    <c:v>635.2</c:v>
                  </c:pt>
                  <c:pt idx="29">
                    <c:v>638.8</c:v>
                  </c:pt>
                  <c:pt idx="30">
                    <c:v>642.6</c:v>
                  </c:pt>
                  <c:pt idx="31">
                    <c:v>646.5</c:v>
                  </c:pt>
                  <c:pt idx="32">
                    <c:v>650.2</c:v>
                  </c:pt>
                  <c:pt idx="33">
                    <c:v>654</c:v>
                  </c:pt>
                  <c:pt idx="34">
                    <c:v>657.6</c:v>
                  </c:pt>
                  <c:pt idx="35">
                    <c:v>662.3</c:v>
                  </c:pt>
                  <c:pt idx="36">
                    <c:v>667.3</c:v>
                  </c:pt>
                  <c:pt idx="37">
                    <c:v>672.1</c:v>
                  </c:pt>
                  <c:pt idx="38">
                    <c:v>677.2</c:v>
                  </c:pt>
                  <c:pt idx="39">
                    <c:v>683</c:v>
                  </c:pt>
                  <c:pt idx="40">
                    <c:v>688.5</c:v>
                  </c:pt>
                  <c:pt idx="41">
                    <c:v>693.9</c:v>
                  </c:pt>
                  <c:pt idx="42">
                    <c:v>700.7</c:v>
                  </c:pt>
                  <c:pt idx="43">
                    <c:v>708.3</c:v>
                  </c:pt>
                  <c:pt idx="44">
                    <c:v>721.3</c:v>
                  </c:pt>
                  <c:pt idx="45">
                    <c:v>-</c:v>
                  </c:pt>
                  <c:pt idx="46">
                    <c:v>-</c:v>
                  </c:pt>
                  <c:pt idx="47">
                    <c:v>-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462.3</c:v>
                  </c:pt>
                  <c:pt idx="1">
                    <c:v>528.9</c:v>
                  </c:pt>
                  <c:pt idx="2">
                    <c:v>546.9</c:v>
                  </c:pt>
                  <c:pt idx="3">
                    <c:v>555.2</c:v>
                  </c:pt>
                  <c:pt idx="4">
                    <c:v>561</c:v>
                  </c:pt>
                  <c:pt idx="5">
                    <c:v>565.7</c:v>
                  </c:pt>
                  <c:pt idx="6">
                    <c:v>569.7</c:v>
                  </c:pt>
                  <c:pt idx="7">
                    <c:v>573.2</c:v>
                  </c:pt>
                  <c:pt idx="8">
                    <c:v>576.7</c:v>
                  </c:pt>
                  <c:pt idx="9">
                    <c:v>580.1</c:v>
                  </c:pt>
                  <c:pt idx="10">
                    <c:v>583.4</c:v>
                  </c:pt>
                  <c:pt idx="11">
                    <c:v>586.6</c:v>
                  </c:pt>
                  <c:pt idx="12">
                    <c:v>589.6</c:v>
                  </c:pt>
                  <c:pt idx="13">
                    <c:v>592.6</c:v>
                  </c:pt>
                  <c:pt idx="14">
                    <c:v>595.6</c:v>
                  </c:pt>
                  <c:pt idx="15">
                    <c:v>598.5</c:v>
                  </c:pt>
                  <c:pt idx="16">
                    <c:v>601.4</c:v>
                  </c:pt>
                  <c:pt idx="17">
                    <c:v>604.4</c:v>
                  </c:pt>
                  <c:pt idx="18">
                    <c:v>607.3</c:v>
                  </c:pt>
                  <c:pt idx="19">
                    <c:v>610.2</c:v>
                  </c:pt>
                  <c:pt idx="20">
                    <c:v>613.1</c:v>
                  </c:pt>
                  <c:pt idx="21">
                    <c:v>616.1</c:v>
                  </c:pt>
                  <c:pt idx="22">
                    <c:v>619.2</c:v>
                  </c:pt>
                  <c:pt idx="23">
                    <c:v>622.3</c:v>
                  </c:pt>
                  <c:pt idx="24">
                    <c:v>625.3</c:v>
                  </c:pt>
                  <c:pt idx="25">
                    <c:v>628.4</c:v>
                  </c:pt>
                  <c:pt idx="26">
                    <c:v>631.4</c:v>
                  </c:pt>
                  <c:pt idx="27">
                    <c:v>634.4</c:v>
                  </c:pt>
                  <c:pt idx="28">
                    <c:v>637.5</c:v>
                  </c:pt>
                  <c:pt idx="29">
                    <c:v>640.8</c:v>
                  </c:pt>
                  <c:pt idx="30">
                    <c:v>644.2</c:v>
                  </c:pt>
                  <c:pt idx="31">
                    <c:v>647.6</c:v>
                  </c:pt>
                  <c:pt idx="32">
                    <c:v>650.9</c:v>
                  </c:pt>
                  <c:pt idx="33">
                    <c:v>654.2</c:v>
                  </c:pt>
                  <c:pt idx="34">
                    <c:v>657.5</c:v>
                  </c:pt>
                  <c:pt idx="35">
                    <c:v>661.5</c:v>
                  </c:pt>
                  <c:pt idx="36">
                    <c:v>665.8</c:v>
                  </c:pt>
                  <c:pt idx="37">
                    <c:v>670.3</c:v>
                  </c:pt>
                  <c:pt idx="38">
                    <c:v>674.2</c:v>
                  </c:pt>
                  <c:pt idx="39">
                    <c:v>679.2</c:v>
                  </c:pt>
                  <c:pt idx="40">
                    <c:v>683.9</c:v>
                  </c:pt>
                  <c:pt idx="41">
                    <c:v>688.5</c:v>
                  </c:pt>
                  <c:pt idx="42">
                    <c:v>693</c:v>
                  </c:pt>
                  <c:pt idx="43">
                    <c:v>697.8</c:v>
                  </c:pt>
                  <c:pt idx="44">
                    <c:v>702.9</c:v>
                  </c:pt>
                  <c:pt idx="45">
                    <c:v>708.2</c:v>
                  </c:pt>
                  <c:pt idx="46">
                    <c:v>715.3</c:v>
                  </c:pt>
                  <c:pt idx="47">
                    <c:v>724.1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375.98</c:v>
                  </c:pt>
                  <c:pt idx="1">
                    <c:v>402</c:v>
                  </c:pt>
                  <c:pt idx="2">
                    <c:v>422</c:v>
                  </c:pt>
                  <c:pt idx="3">
                    <c:v>462</c:v>
                  </c:pt>
                  <c:pt idx="4">
                    <c:v>489</c:v>
                  </c:pt>
                  <c:pt idx="5">
                    <c:v>510</c:v>
                  </c:pt>
                  <c:pt idx="6">
                    <c:v>518</c:v>
                  </c:pt>
                  <c:pt idx="7">
                    <c:v>525</c:v>
                  </c:pt>
                  <c:pt idx="8">
                    <c:v>533</c:v>
                  </c:pt>
                  <c:pt idx="9">
                    <c:v>538</c:v>
                  </c:pt>
                  <c:pt idx="10">
                    <c:v>543.5</c:v>
                  </c:pt>
                  <c:pt idx="11">
                    <c:v>548</c:v>
                  </c:pt>
                  <c:pt idx="12">
                    <c:v>553</c:v>
                  </c:pt>
                  <c:pt idx="13">
                    <c:v>556</c:v>
                  </c:pt>
                  <c:pt idx="14">
                    <c:v>560</c:v>
                  </c:pt>
                  <c:pt idx="15">
                    <c:v>563</c:v>
                  </c:pt>
                  <c:pt idx="16">
                    <c:v>566</c:v>
                  </c:pt>
                  <c:pt idx="17">
                    <c:v>569</c:v>
                  </c:pt>
                  <c:pt idx="18">
                    <c:v>572</c:v>
                  </c:pt>
                  <c:pt idx="19">
                    <c:v>575</c:v>
                  </c:pt>
                  <c:pt idx="20">
                    <c:v>578</c:v>
                  </c:pt>
                  <c:pt idx="21">
                    <c:v>581</c:v>
                  </c:pt>
                  <c:pt idx="22">
                    <c:v>584</c:v>
                  </c:pt>
                  <c:pt idx="23">
                    <c:v>587</c:v>
                  </c:pt>
                  <c:pt idx="24">
                    <c:v>590</c:v>
                  </c:pt>
                  <c:pt idx="25">
                    <c:v>593</c:v>
                  </c:pt>
                  <c:pt idx="26">
                    <c:v>595</c:v>
                  </c:pt>
                  <c:pt idx="27">
                    <c:v>598</c:v>
                  </c:pt>
                  <c:pt idx="28">
                    <c:v>600</c:v>
                  </c:pt>
                  <c:pt idx="29">
                    <c:v>602</c:v>
                  </c:pt>
                  <c:pt idx="30">
                    <c:v>606</c:v>
                  </c:pt>
                  <c:pt idx="31">
                    <c:v>609</c:v>
                  </c:pt>
                  <c:pt idx="32">
                    <c:v>611</c:v>
                  </c:pt>
                  <c:pt idx="33">
                    <c:v>614</c:v>
                  </c:pt>
                  <c:pt idx="34">
                    <c:v>617</c:v>
                  </c:pt>
                  <c:pt idx="35">
                    <c:v>620</c:v>
                  </c:pt>
                  <c:pt idx="36">
                    <c:v>622</c:v>
                  </c:pt>
                  <c:pt idx="37">
                    <c:v>626</c:v>
                  </c:pt>
                  <c:pt idx="38">
                    <c:v>630</c:v>
                  </c:pt>
                  <c:pt idx="39">
                    <c:v>632</c:v>
                  </c:pt>
                  <c:pt idx="40">
                    <c:v>635</c:v>
                  </c:pt>
                  <c:pt idx="41">
                    <c:v>638</c:v>
                  </c:pt>
                  <c:pt idx="42">
                    <c:v>641</c:v>
                  </c:pt>
                  <c:pt idx="43">
                    <c:v>644</c:v>
                  </c:pt>
                  <c:pt idx="44">
                    <c:v>647</c:v>
                  </c:pt>
                  <c:pt idx="45">
                    <c:v>650</c:v>
                  </c:pt>
                  <c:pt idx="46">
                    <c:v>654</c:v>
                  </c:pt>
                  <c:pt idx="47">
                    <c:v>657</c:v>
                  </c:pt>
                  <c:pt idx="48">
                    <c:v>661</c:v>
                  </c:pt>
                  <c:pt idx="49">
                    <c:v>664</c:v>
                  </c:pt>
                  <c:pt idx="50">
                    <c:v>667</c:v>
                  </c:pt>
                  <c:pt idx="51">
                    <c:v>671</c:v>
                  </c:pt>
                  <c:pt idx="52">
                    <c:v>675</c:v>
                  </c:pt>
                  <c:pt idx="53">
                    <c:v>678</c:v>
                  </c:pt>
                  <c:pt idx="54">
                    <c:v>682</c:v>
                  </c:pt>
                  <c:pt idx="55">
                    <c:v>687</c:v>
                  </c:pt>
                  <c:pt idx="56">
                    <c:v>691</c:v>
                  </c:pt>
                  <c:pt idx="57">
                    <c:v>694</c:v>
                  </c:pt>
                  <c:pt idx="58">
                    <c:v>698</c:v>
                  </c:pt>
                  <c:pt idx="59">
                    <c:v>702</c:v>
                  </c:pt>
                  <c:pt idx="60">
                    <c:v>705</c:v>
                  </c:pt>
                  <c:pt idx="61">
                    <c:v>708</c:v>
                  </c:pt>
                  <c:pt idx="62">
                    <c:v>713</c:v>
                  </c:pt>
                  <c:pt idx="63">
                    <c:v>718</c:v>
                  </c:pt>
                  <c:pt idx="64">
                    <c:v>720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560</c:v>
                  </c:pt>
                  <c:pt idx="1">
                    <c:v>560</c:v>
                  </c:pt>
                  <c:pt idx="2">
                    <c:v>560</c:v>
                  </c:pt>
                  <c:pt idx="3">
                    <c:v>560</c:v>
                  </c:pt>
                  <c:pt idx="4">
                    <c:v>560</c:v>
                  </c:pt>
                  <c:pt idx="5">
                    <c:v>560</c:v>
                  </c:pt>
                  <c:pt idx="6">
                    <c:v>560</c:v>
                  </c:pt>
                  <c:pt idx="7">
                    <c:v>560</c:v>
                  </c:pt>
                  <c:pt idx="8">
                    <c:v>560</c:v>
                  </c:pt>
                  <c:pt idx="9">
                    <c:v>560</c:v>
                  </c:pt>
                  <c:pt idx="10">
                    <c:v>560</c:v>
                  </c:pt>
                  <c:pt idx="11">
                    <c:v>560</c:v>
                  </c:pt>
                  <c:pt idx="12">
                    <c:v>560</c:v>
                  </c:pt>
                  <c:pt idx="13">
                    <c:v>560</c:v>
                  </c:pt>
                  <c:pt idx="14">
                    <c:v>560</c:v>
                  </c:pt>
                  <c:pt idx="15">
                    <c:v>560</c:v>
                  </c:pt>
                  <c:pt idx="16">
                    <c:v>560</c:v>
                  </c:pt>
                  <c:pt idx="17">
                    <c:v>560</c:v>
                  </c:pt>
                  <c:pt idx="18">
                    <c:v>560</c:v>
                  </c:pt>
                  <c:pt idx="19">
                    <c:v>560</c:v>
                  </c:pt>
                  <c:pt idx="20">
                    <c:v>560</c:v>
                  </c:pt>
                  <c:pt idx="21">
                    <c:v>560</c:v>
                  </c:pt>
                  <c:pt idx="22">
                    <c:v>560</c:v>
                  </c:pt>
                  <c:pt idx="23">
                    <c:v>560</c:v>
                  </c:pt>
                  <c:pt idx="24">
                    <c:v>560</c:v>
                  </c:pt>
                  <c:pt idx="25">
                    <c:v>560</c:v>
                  </c:pt>
                  <c:pt idx="26">
                    <c:v>560</c:v>
                  </c:pt>
                  <c:pt idx="27">
                    <c:v>560</c:v>
                  </c:pt>
                  <c:pt idx="28">
                    <c:v>560</c:v>
                  </c:pt>
                  <c:pt idx="29">
                    <c:v>560</c:v>
                  </c:pt>
                  <c:pt idx="30">
                    <c:v>560</c:v>
                  </c:pt>
                  <c:pt idx="31">
                    <c:v>560</c:v>
                  </c:pt>
                  <c:pt idx="32">
                    <c:v>560</c:v>
                  </c:pt>
                  <c:pt idx="33">
                    <c:v>560</c:v>
                  </c:pt>
                  <c:pt idx="34">
                    <c:v>560</c:v>
                  </c:pt>
                  <c:pt idx="35">
                    <c:v>560</c:v>
                  </c:pt>
                  <c:pt idx="36">
                    <c:v>560</c:v>
                  </c:pt>
                  <c:pt idx="37">
                    <c:v>560</c:v>
                  </c:pt>
                  <c:pt idx="38">
                    <c:v>560</c:v>
                  </c:pt>
                  <c:pt idx="39">
                    <c:v>560</c:v>
                  </c:pt>
                  <c:pt idx="40">
                    <c:v>560</c:v>
                  </c:pt>
                  <c:pt idx="41">
                    <c:v>560</c:v>
                  </c:pt>
                  <c:pt idx="42">
                    <c:v>560</c:v>
                  </c:pt>
                  <c:pt idx="43">
                    <c:v>560</c:v>
                  </c:pt>
                  <c:pt idx="44">
                    <c:v>560</c:v>
                  </c:pt>
                  <c:pt idx="45">
                    <c:v>560</c:v>
                  </c:pt>
                  <c:pt idx="46">
                    <c:v>560</c:v>
                  </c:pt>
                  <c:pt idx="47">
                    <c:v>560</c:v>
                  </c:pt>
                  <c:pt idx="48">
                    <c:v>560</c:v>
                  </c:pt>
                  <c:pt idx="49">
                    <c:v>560</c:v>
                  </c:pt>
                  <c:pt idx="50">
                    <c:v>560</c:v>
                  </c:pt>
                  <c:pt idx="51">
                    <c:v>560</c:v>
                  </c:pt>
                  <c:pt idx="52">
                    <c:v>560</c:v>
                  </c:pt>
                  <c:pt idx="53">
                    <c:v>560</c:v>
                  </c:pt>
                  <c:pt idx="54">
                    <c:v>560</c:v>
                  </c:pt>
                  <c:pt idx="55">
                    <c:v>560</c:v>
                  </c:pt>
                  <c:pt idx="56">
                    <c:v>560</c:v>
                  </c:pt>
                  <c:pt idx="57">
                    <c:v>560</c:v>
                  </c:pt>
                  <c:pt idx="58">
                    <c:v>560</c:v>
                  </c:pt>
                  <c:pt idx="59">
                    <c:v>560</c:v>
                  </c:pt>
                  <c:pt idx="60">
                    <c:v>560</c:v>
                  </c:pt>
                  <c:pt idx="61">
                    <c:v>560</c:v>
                  </c:pt>
                  <c:pt idx="62">
                    <c:v>560</c:v>
                  </c:pt>
                  <c:pt idx="63">
                    <c:v>560</c:v>
                  </c:pt>
                  <c:pt idx="64">
                    <c:v>560</c:v>
                  </c:pt>
                  <c:pt idx="65">
                    <c:v>560</c:v>
                  </c:pt>
                  <c:pt idx="66">
                    <c:v>560</c:v>
                  </c:pt>
                  <c:pt idx="67">
                    <c:v>560</c:v>
                  </c:pt>
                  <c:pt idx="68">
                    <c:v>560</c:v>
                  </c:pt>
                  <c:pt idx="69">
                    <c:v>560</c:v>
                  </c:pt>
                  <c:pt idx="70">
                    <c:v>560</c:v>
                  </c:pt>
                  <c:pt idx="71">
                    <c:v>560</c:v>
                  </c:pt>
                  <c:pt idx="72">
                    <c:v>560</c:v>
                  </c:pt>
                  <c:pt idx="73">
                    <c:v>560</c:v>
                  </c:pt>
                  <c:pt idx="74">
                    <c:v>560</c:v>
                  </c:pt>
                  <c:pt idx="75">
                    <c:v>560</c:v>
                  </c:pt>
                  <c:pt idx="76">
                    <c:v>560</c:v>
                  </c:pt>
                  <c:pt idx="77">
                    <c:v>560</c:v>
                  </c:pt>
                  <c:pt idx="78">
                    <c:v>560</c:v>
                  </c:pt>
                  <c:pt idx="79">
                    <c:v>560</c:v>
                  </c:pt>
                  <c:pt idx="80">
                    <c:v>560</c:v>
                  </c:pt>
                  <c:pt idx="81">
                    <c:v>560</c:v>
                  </c:pt>
                  <c:pt idx="82">
                    <c:v>560</c:v>
                  </c:pt>
                  <c:pt idx="83">
                    <c:v>560</c:v>
                  </c:pt>
                  <c:pt idx="84">
                    <c:v>560</c:v>
                  </c:pt>
                  <c:pt idx="85">
                    <c:v>560</c:v>
                  </c:pt>
                  <c:pt idx="86">
                    <c:v>560</c:v>
                  </c:pt>
                  <c:pt idx="87">
                    <c:v>560</c:v>
                  </c:pt>
                  <c:pt idx="88">
                    <c:v>560</c:v>
                  </c:pt>
                  <c:pt idx="89">
                    <c:v>560</c:v>
                  </c:pt>
                  <c:pt idx="90">
                    <c:v>560</c:v>
                  </c:pt>
                  <c:pt idx="91">
                    <c:v>560</c:v>
                  </c:pt>
                  <c:pt idx="92">
                    <c:v>560</c:v>
                  </c:pt>
                  <c:pt idx="93">
                    <c:v>560</c:v>
                  </c:pt>
                  <c:pt idx="94">
                    <c:v>560</c:v>
                  </c:pt>
                  <c:pt idx="95">
                    <c:v>560</c:v>
                  </c:pt>
                  <c:pt idx="96">
                    <c:v>560</c:v>
                  </c:pt>
                  <c:pt idx="97">
                    <c:v>560</c:v>
                  </c:pt>
                  <c:pt idx="98">
                    <c:v>560</c:v>
                  </c:pt>
                  <c:pt idx="99">
                    <c:v>560</c:v>
                  </c:pt>
                  <c:pt idx="100">
                    <c:v>560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500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500</c:v>
                  </c:pt>
                  <c:pt idx="10">
                    <c:v>500</c:v>
                  </c:pt>
                  <c:pt idx="11">
                    <c:v>500</c:v>
                  </c:pt>
                  <c:pt idx="12">
                    <c:v>500</c:v>
                  </c:pt>
                  <c:pt idx="13">
                    <c:v>500</c:v>
                  </c:pt>
                  <c:pt idx="14">
                    <c:v>500</c:v>
                  </c:pt>
                  <c:pt idx="15">
                    <c:v>500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500</c:v>
                  </c:pt>
                  <c:pt idx="21">
                    <c:v>500</c:v>
                  </c:pt>
                  <c:pt idx="22">
                    <c:v>500</c:v>
                  </c:pt>
                  <c:pt idx="23">
                    <c:v>500</c:v>
                  </c:pt>
                  <c:pt idx="24">
                    <c:v>500</c:v>
                  </c:pt>
                  <c:pt idx="25">
                    <c:v>500</c:v>
                  </c:pt>
                  <c:pt idx="26">
                    <c:v>500</c:v>
                  </c:pt>
                  <c:pt idx="27">
                    <c:v>500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500</c:v>
                  </c:pt>
                  <c:pt idx="33">
                    <c:v>500</c:v>
                  </c:pt>
                  <c:pt idx="34">
                    <c:v>500</c:v>
                  </c:pt>
                  <c:pt idx="35">
                    <c:v>500</c:v>
                  </c:pt>
                  <c:pt idx="36">
                    <c:v>500</c:v>
                  </c:pt>
                  <c:pt idx="37">
                    <c:v>500</c:v>
                  </c:pt>
                  <c:pt idx="38">
                    <c:v>500</c:v>
                  </c:pt>
                  <c:pt idx="39">
                    <c:v>500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500</c:v>
                  </c:pt>
                  <c:pt idx="45">
                    <c:v>500</c:v>
                  </c:pt>
                  <c:pt idx="46">
                    <c:v>500</c:v>
                  </c:pt>
                  <c:pt idx="47">
                    <c:v>500</c:v>
                  </c:pt>
                  <c:pt idx="48">
                    <c:v>500</c:v>
                  </c:pt>
                  <c:pt idx="49">
                    <c:v>500</c:v>
                  </c:pt>
                  <c:pt idx="50">
                    <c:v>500</c:v>
                  </c:pt>
                  <c:pt idx="51">
                    <c:v>500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500</c:v>
                  </c:pt>
                  <c:pt idx="57">
                    <c:v>500</c:v>
                  </c:pt>
                  <c:pt idx="58">
                    <c:v>500</c:v>
                  </c:pt>
                  <c:pt idx="59">
                    <c:v>500</c:v>
                  </c:pt>
                  <c:pt idx="60">
                    <c:v>500</c:v>
                  </c:pt>
                  <c:pt idx="61">
                    <c:v>500</c:v>
                  </c:pt>
                  <c:pt idx="62">
                    <c:v>500</c:v>
                  </c:pt>
                  <c:pt idx="63">
                    <c:v>500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500</c:v>
                  </c:pt>
                  <c:pt idx="69">
                    <c:v>500</c:v>
                  </c:pt>
                  <c:pt idx="70">
                    <c:v>500</c:v>
                  </c:pt>
                  <c:pt idx="71">
                    <c:v>500</c:v>
                  </c:pt>
                  <c:pt idx="72">
                    <c:v>500</c:v>
                  </c:pt>
                  <c:pt idx="73">
                    <c:v>500</c:v>
                  </c:pt>
                  <c:pt idx="74">
                    <c:v>500</c:v>
                  </c:pt>
                  <c:pt idx="75">
                    <c:v>500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500</c:v>
                  </c:pt>
                  <c:pt idx="81">
                    <c:v>500</c:v>
                  </c:pt>
                  <c:pt idx="82">
                    <c:v>500</c:v>
                  </c:pt>
                  <c:pt idx="83">
                    <c:v>500</c:v>
                  </c:pt>
                  <c:pt idx="84">
                    <c:v>500</c:v>
                  </c:pt>
                  <c:pt idx="85">
                    <c:v>500</c:v>
                  </c:pt>
                  <c:pt idx="86">
                    <c:v>500</c:v>
                  </c:pt>
                  <c:pt idx="87">
                    <c:v>500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500</c:v>
                  </c:pt>
                  <c:pt idx="93">
                    <c:v>500</c:v>
                  </c:pt>
                  <c:pt idx="94">
                    <c:v>500</c:v>
                  </c:pt>
                  <c:pt idx="95">
                    <c:v>500</c:v>
                  </c:pt>
                  <c:pt idx="96">
                    <c:v>500</c:v>
                  </c:pt>
                  <c:pt idx="97">
                    <c:v>500</c:v>
                  </c:pt>
                  <c:pt idx="98">
                    <c:v>500</c:v>
                  </c:pt>
                  <c:pt idx="99">
                    <c:v>500</c:v>
                  </c:pt>
                  <c:pt idx="100">
                    <c:v>500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82</c:v>
                  </c:pt>
                  <c:pt idx="83">
                    <c:v>83</c:v>
                  </c:pt>
                  <c:pt idx="84">
                    <c:v>84</c:v>
                  </c:pt>
                  <c:pt idx="85">
                    <c:v>85</c:v>
                  </c:pt>
                  <c:pt idx="86">
                    <c:v>86</c:v>
                  </c:pt>
                  <c:pt idx="87">
                    <c:v>87</c:v>
                  </c:pt>
                  <c:pt idx="88">
                    <c:v>88</c:v>
                  </c:pt>
                  <c:pt idx="89">
                    <c:v>89</c:v>
                  </c:pt>
                  <c:pt idx="90">
                    <c:v>90</c:v>
                  </c:pt>
                  <c:pt idx="91">
                    <c:v>91</c:v>
                  </c:pt>
                  <c:pt idx="92">
                    <c:v>92</c:v>
                  </c:pt>
                  <c:pt idx="93">
                    <c:v>93</c:v>
                  </c:pt>
                  <c:pt idx="94">
                    <c:v>94</c:v>
                  </c:pt>
                  <c:pt idx="95">
                    <c:v>95</c:v>
                  </c:pt>
                  <c:pt idx="96">
                    <c:v>96</c:v>
                  </c:pt>
                  <c:pt idx="97">
                    <c:v>97</c:v>
                  </c:pt>
                  <c:pt idx="98">
                    <c:v>98</c:v>
                  </c:pt>
                  <c:pt idx="99">
                    <c:v>99</c:v>
                  </c:pt>
                  <c:pt idx="100">
                    <c:v>100</c:v>
                  </c:pt>
                </c:lvl>
              </c:multiLvlStrCache>
            </c:multiLvlStrRef>
          </c:xVal>
          <c:yVal>
            <c:numRef>
              <c:f>'HPS Comparing'!$Z$10:$Z$110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A5C-4395-9C78-B97C184E9CD7}"/>
            </c:ext>
          </c:extLst>
        </c:ser>
        <c:ser>
          <c:idx val="12"/>
          <c:order val="12"/>
          <c:tx>
            <c:v>D3 ART LS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Comparing'!$AR$6:$AR$104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xVal>
          <c:yVal>
            <c:numRef>
              <c:f>'HPS Comparing'!$AS$6:$AS$104</c:f>
              <c:numCache>
                <c:formatCode>General</c:formatCode>
                <c:ptCount val="99"/>
                <c:pt idx="0">
                  <c:v>170.44444444444446</c:v>
                </c:pt>
                <c:pt idx="1">
                  <c:v>197.11111111111111</c:v>
                </c:pt>
                <c:pt idx="2">
                  <c:v>216.05555555555554</c:v>
                </c:pt>
                <c:pt idx="3">
                  <c:v>230.11111111111111</c:v>
                </c:pt>
                <c:pt idx="4">
                  <c:v>243.72222222222223</c:v>
                </c:pt>
                <c:pt idx="5">
                  <c:v>254.66666666666666</c:v>
                </c:pt>
                <c:pt idx="6">
                  <c:v>265.83333333333331</c:v>
                </c:pt>
                <c:pt idx="7">
                  <c:v>275.55555555555554</c:v>
                </c:pt>
                <c:pt idx="8">
                  <c:v>285.94444444444446</c:v>
                </c:pt>
                <c:pt idx="9">
                  <c:v>293.94444444444446</c:v>
                </c:pt>
                <c:pt idx="10">
                  <c:v>301.94444444444446</c:v>
                </c:pt>
                <c:pt idx="11">
                  <c:v>309.33333333333331</c:v>
                </c:pt>
                <c:pt idx="12">
                  <c:v>316.44444444444446</c:v>
                </c:pt>
                <c:pt idx="13">
                  <c:v>323.94444444444446</c:v>
                </c:pt>
                <c:pt idx="14">
                  <c:v>330.77777777777777</c:v>
                </c:pt>
                <c:pt idx="15">
                  <c:v>338.05555555555554</c:v>
                </c:pt>
                <c:pt idx="16">
                  <c:v>344.66666666666669</c:v>
                </c:pt>
                <c:pt idx="17">
                  <c:v>351.44444444444446</c:v>
                </c:pt>
                <c:pt idx="18">
                  <c:v>357.22222222222223</c:v>
                </c:pt>
                <c:pt idx="19">
                  <c:v>363.72222222222223</c:v>
                </c:pt>
                <c:pt idx="20">
                  <c:v>369.5</c:v>
                </c:pt>
                <c:pt idx="21">
                  <c:v>375.66666666666669</c:v>
                </c:pt>
                <c:pt idx="22">
                  <c:v>381.33333333333331</c:v>
                </c:pt>
                <c:pt idx="23">
                  <c:v>387.44444444444446</c:v>
                </c:pt>
                <c:pt idx="24">
                  <c:v>392.88888888888891</c:v>
                </c:pt>
                <c:pt idx="25">
                  <c:v>398.72222222222223</c:v>
                </c:pt>
                <c:pt idx="26">
                  <c:v>403.88888888888891</c:v>
                </c:pt>
                <c:pt idx="27">
                  <c:v>409.44444444444446</c:v>
                </c:pt>
                <c:pt idx="28">
                  <c:v>414.61111111111109</c:v>
                </c:pt>
                <c:pt idx="29">
                  <c:v>420</c:v>
                </c:pt>
                <c:pt idx="30">
                  <c:v>424.94444444444446</c:v>
                </c:pt>
                <c:pt idx="31">
                  <c:v>430.27777777777777</c:v>
                </c:pt>
                <c:pt idx="32">
                  <c:v>435.33333333333331</c:v>
                </c:pt>
                <c:pt idx="33">
                  <c:v>440.5</c:v>
                </c:pt>
                <c:pt idx="34">
                  <c:v>445.77777777777777</c:v>
                </c:pt>
                <c:pt idx="35">
                  <c:v>450.83333333333331</c:v>
                </c:pt>
                <c:pt idx="36">
                  <c:v>456.16666666666669</c:v>
                </c:pt>
                <c:pt idx="37">
                  <c:v>461.22222222222223</c:v>
                </c:pt>
                <c:pt idx="38">
                  <c:v>466.33333333333331</c:v>
                </c:pt>
                <c:pt idx="39">
                  <c:v>471.27777777777777</c:v>
                </c:pt>
                <c:pt idx="40">
                  <c:v>476.05555555555554</c:v>
                </c:pt>
                <c:pt idx="41">
                  <c:v>480.88888888888891</c:v>
                </c:pt>
                <c:pt idx="42">
                  <c:v>485.66666666666669</c:v>
                </c:pt>
                <c:pt idx="43">
                  <c:v>490.38888888888891</c:v>
                </c:pt>
                <c:pt idx="44">
                  <c:v>495.16666666666669</c:v>
                </c:pt>
                <c:pt idx="45">
                  <c:v>499.66666666666669</c:v>
                </c:pt>
                <c:pt idx="46">
                  <c:v>504.16666666666669</c:v>
                </c:pt>
                <c:pt idx="47">
                  <c:v>508.66666666666669</c:v>
                </c:pt>
                <c:pt idx="48">
                  <c:v>513.11111111111109</c:v>
                </c:pt>
                <c:pt idx="49">
                  <c:v>517.5</c:v>
                </c:pt>
                <c:pt idx="50">
                  <c:v>521.83333333333337</c:v>
                </c:pt>
                <c:pt idx="51">
                  <c:v>526.16666666666663</c:v>
                </c:pt>
                <c:pt idx="52">
                  <c:v>530.44444444444446</c:v>
                </c:pt>
                <c:pt idx="53">
                  <c:v>534.61111111111109</c:v>
                </c:pt>
                <c:pt idx="54">
                  <c:v>538.66666666666663</c:v>
                </c:pt>
                <c:pt idx="55">
                  <c:v>542.72222222222217</c:v>
                </c:pt>
                <c:pt idx="56">
                  <c:v>546.72222222222217</c:v>
                </c:pt>
                <c:pt idx="57">
                  <c:v>550.88888888888891</c:v>
                </c:pt>
                <c:pt idx="58">
                  <c:v>554.94444444444446</c:v>
                </c:pt>
                <c:pt idx="59">
                  <c:v>558.83333333333337</c:v>
                </c:pt>
                <c:pt idx="60">
                  <c:v>562.55555555555554</c:v>
                </c:pt>
                <c:pt idx="61">
                  <c:v>566.27777777777783</c:v>
                </c:pt>
                <c:pt idx="62">
                  <c:v>569.77777777777783</c:v>
                </c:pt>
                <c:pt idx="63">
                  <c:v>573.22222222222217</c:v>
                </c:pt>
                <c:pt idx="64">
                  <c:v>576.77777777777783</c:v>
                </c:pt>
                <c:pt idx="65">
                  <c:v>580.33333333333337</c:v>
                </c:pt>
                <c:pt idx="66">
                  <c:v>583.94444444444446</c:v>
                </c:pt>
                <c:pt idx="67">
                  <c:v>587.33333333333337</c:v>
                </c:pt>
                <c:pt idx="68">
                  <c:v>590.66666666666663</c:v>
                </c:pt>
                <c:pt idx="69">
                  <c:v>594.16666666666663</c:v>
                </c:pt>
                <c:pt idx="70">
                  <c:v>597.77777777777783</c:v>
                </c:pt>
                <c:pt idx="71">
                  <c:v>601.5</c:v>
                </c:pt>
                <c:pt idx="72">
                  <c:v>605.33333333333337</c:v>
                </c:pt>
                <c:pt idx="73">
                  <c:v>609.22222222222217</c:v>
                </c:pt>
                <c:pt idx="74">
                  <c:v>612.88888888888891</c:v>
                </c:pt>
                <c:pt idx="75">
                  <c:v>616.77777777777783</c:v>
                </c:pt>
                <c:pt idx="76">
                  <c:v>620.83333333333337</c:v>
                </c:pt>
                <c:pt idx="77">
                  <c:v>625.16666666666663</c:v>
                </c:pt>
                <c:pt idx="78">
                  <c:v>629.61111111111109</c:v>
                </c:pt>
                <c:pt idx="79">
                  <c:v>633.88888888888891</c:v>
                </c:pt>
                <c:pt idx="80">
                  <c:v>638.44444444444446</c:v>
                </c:pt>
                <c:pt idx="81">
                  <c:v>643.33333333333337</c:v>
                </c:pt>
                <c:pt idx="82">
                  <c:v>648.66666666666663</c:v>
                </c:pt>
                <c:pt idx="83">
                  <c:v>654.22222222222217</c:v>
                </c:pt>
                <c:pt idx="84">
                  <c:v>659.88888888888891</c:v>
                </c:pt>
                <c:pt idx="85">
                  <c:v>667.05555555555554</c:v>
                </c:pt>
                <c:pt idx="86">
                  <c:v>674.27777777777783</c:v>
                </c:pt>
                <c:pt idx="87">
                  <c:v>683.27777777777783</c:v>
                </c:pt>
                <c:pt idx="88">
                  <c:v>692.83333333333337</c:v>
                </c:pt>
                <c:pt idx="89">
                  <c:v>705.27777777777783</c:v>
                </c:pt>
                <c:pt idx="90">
                  <c:v>726.05555555555554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A5C-4395-9C78-B97C184E9CD7}"/>
            </c:ext>
          </c:extLst>
        </c:ser>
        <c:ser>
          <c:idx val="13"/>
          <c:order val="13"/>
          <c:tx>
            <c:v>560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Comparing'!$AN$10:$AN$11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Comparing'!$AO$10:$AO$11</c:f>
              <c:numCache>
                <c:formatCode>General</c:formatCode>
                <c:ptCount val="2"/>
                <c:pt idx="0">
                  <c:v>560</c:v>
                </c:pt>
                <c:pt idx="1">
                  <c:v>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A5C-4395-9C78-B97C184E9CD7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Comparing'!$AN$14:$AN$15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Comparing'!$AO$14:$AO$15</c:f>
              <c:numCache>
                <c:formatCode>General</c:formatCode>
                <c:ptCount val="2"/>
                <c:pt idx="0">
                  <c:v>160</c:v>
                </c:pt>
                <c:pt idx="1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A5C-4395-9C78-B97C184E9CD7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Comparing'!$AN$17:$AN$18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Comparing'!$AO$17:$AO$18</c:f>
              <c:numCache>
                <c:formatCode>General</c:formatCode>
                <c:ptCount val="2"/>
                <c:pt idx="0">
                  <c:v>360</c:v>
                </c:pt>
                <c:pt idx="1">
                  <c:v>360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A5C-4395-9C78-B97C184E9CD7}"/>
            </c:ext>
          </c:extLst>
        </c:ser>
        <c:ser>
          <c:idx val="19"/>
          <c:order val="16"/>
          <c:tx>
            <c:v>D3_ART HS</c:v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Comparing'!$AR$6:$AR$104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xVal>
          <c:yVal>
            <c:numRef>
              <c:f>'HPS Comparing'!$AV$6:$AV$104</c:f>
              <c:numCache>
                <c:formatCode>General</c:formatCode>
                <c:ptCount val="99"/>
                <c:pt idx="0">
                  <c:v>163.72222222222223</c:v>
                </c:pt>
                <c:pt idx="1">
                  <c:v>193.22222222222223</c:v>
                </c:pt>
                <c:pt idx="2">
                  <c:v>212.44444444444446</c:v>
                </c:pt>
                <c:pt idx="3">
                  <c:v>226.94444444444446</c:v>
                </c:pt>
                <c:pt idx="4">
                  <c:v>239.66666666666666</c:v>
                </c:pt>
                <c:pt idx="5">
                  <c:v>252.72222222222223</c:v>
                </c:pt>
                <c:pt idx="6">
                  <c:v>263.22222222222223</c:v>
                </c:pt>
                <c:pt idx="7">
                  <c:v>272.5</c:v>
                </c:pt>
                <c:pt idx="8">
                  <c:v>283.33333333333331</c:v>
                </c:pt>
                <c:pt idx="9">
                  <c:v>291.72222222222223</c:v>
                </c:pt>
                <c:pt idx="10">
                  <c:v>300.44444444444446</c:v>
                </c:pt>
                <c:pt idx="11">
                  <c:v>307.5</c:v>
                </c:pt>
                <c:pt idx="12">
                  <c:v>315.33333333333331</c:v>
                </c:pt>
                <c:pt idx="13">
                  <c:v>322.11111111111109</c:v>
                </c:pt>
                <c:pt idx="14">
                  <c:v>329.72222222222223</c:v>
                </c:pt>
                <c:pt idx="15">
                  <c:v>336.44444444444446</c:v>
                </c:pt>
                <c:pt idx="16">
                  <c:v>343.66666666666669</c:v>
                </c:pt>
                <c:pt idx="17">
                  <c:v>350.11111111111109</c:v>
                </c:pt>
                <c:pt idx="18">
                  <c:v>356.33333333333331</c:v>
                </c:pt>
                <c:pt idx="19">
                  <c:v>362.61111111111109</c:v>
                </c:pt>
                <c:pt idx="20">
                  <c:v>368.61111111111109</c:v>
                </c:pt>
                <c:pt idx="21">
                  <c:v>374.72222222222223</c:v>
                </c:pt>
                <c:pt idx="22">
                  <c:v>380.44444444444446</c:v>
                </c:pt>
                <c:pt idx="23">
                  <c:v>386.61111111111109</c:v>
                </c:pt>
                <c:pt idx="24">
                  <c:v>392.05555555555554</c:v>
                </c:pt>
                <c:pt idx="25">
                  <c:v>398.05555555555554</c:v>
                </c:pt>
                <c:pt idx="26">
                  <c:v>403.22222222222223</c:v>
                </c:pt>
                <c:pt idx="27">
                  <c:v>408.94444444444446</c:v>
                </c:pt>
                <c:pt idx="28">
                  <c:v>414.11111111111109</c:v>
                </c:pt>
                <c:pt idx="29">
                  <c:v>419.66666666666669</c:v>
                </c:pt>
                <c:pt idx="30">
                  <c:v>424.72222222222223</c:v>
                </c:pt>
                <c:pt idx="31">
                  <c:v>430.16666666666669</c:v>
                </c:pt>
                <c:pt idx="32">
                  <c:v>435.27777777777777</c:v>
                </c:pt>
                <c:pt idx="33">
                  <c:v>440.5</c:v>
                </c:pt>
                <c:pt idx="34">
                  <c:v>445.94444444444446</c:v>
                </c:pt>
                <c:pt idx="35">
                  <c:v>451.11111111111109</c:v>
                </c:pt>
                <c:pt idx="36">
                  <c:v>456.5</c:v>
                </c:pt>
                <c:pt idx="37">
                  <c:v>461.72222222222223</c:v>
                </c:pt>
                <c:pt idx="38">
                  <c:v>466.83333333333331</c:v>
                </c:pt>
                <c:pt idx="39">
                  <c:v>471.88888888888891</c:v>
                </c:pt>
                <c:pt idx="40">
                  <c:v>476.77777777777777</c:v>
                </c:pt>
                <c:pt idx="41">
                  <c:v>481.66666666666669</c:v>
                </c:pt>
                <c:pt idx="42">
                  <c:v>486.55555555555554</c:v>
                </c:pt>
                <c:pt idx="43">
                  <c:v>491.33333333333331</c:v>
                </c:pt>
                <c:pt idx="44">
                  <c:v>496.11111111111109</c:v>
                </c:pt>
                <c:pt idx="45">
                  <c:v>500.72222222222223</c:v>
                </c:pt>
                <c:pt idx="46">
                  <c:v>505.22222222222223</c:v>
                </c:pt>
                <c:pt idx="47">
                  <c:v>509.66666666666669</c:v>
                </c:pt>
                <c:pt idx="48">
                  <c:v>514.16666666666663</c:v>
                </c:pt>
                <c:pt idx="49">
                  <c:v>518.61111111111109</c:v>
                </c:pt>
                <c:pt idx="50">
                  <c:v>522.94444444444446</c:v>
                </c:pt>
                <c:pt idx="51">
                  <c:v>527.27777777777783</c:v>
                </c:pt>
                <c:pt idx="52">
                  <c:v>531.55555555555554</c:v>
                </c:pt>
                <c:pt idx="53">
                  <c:v>535.66666666666663</c:v>
                </c:pt>
                <c:pt idx="54">
                  <c:v>539.61111111111109</c:v>
                </c:pt>
                <c:pt idx="55">
                  <c:v>543.55555555555554</c:v>
                </c:pt>
                <c:pt idx="56">
                  <c:v>547.5</c:v>
                </c:pt>
                <c:pt idx="57">
                  <c:v>551.44444444444446</c:v>
                </c:pt>
                <c:pt idx="58">
                  <c:v>555.33333333333337</c:v>
                </c:pt>
                <c:pt idx="59">
                  <c:v>559.11111111111109</c:v>
                </c:pt>
                <c:pt idx="60">
                  <c:v>562.72222222222217</c:v>
                </c:pt>
                <c:pt idx="61">
                  <c:v>566.33333333333337</c:v>
                </c:pt>
                <c:pt idx="62">
                  <c:v>569.77777777777783</c:v>
                </c:pt>
                <c:pt idx="63">
                  <c:v>573.16666666666663</c:v>
                </c:pt>
                <c:pt idx="64">
                  <c:v>576.61111111111109</c:v>
                </c:pt>
                <c:pt idx="65">
                  <c:v>580.16666666666663</c:v>
                </c:pt>
                <c:pt idx="66">
                  <c:v>583.77777777777783</c:v>
                </c:pt>
                <c:pt idx="67">
                  <c:v>587.22222222222217</c:v>
                </c:pt>
                <c:pt idx="68">
                  <c:v>590.66666666666663</c:v>
                </c:pt>
                <c:pt idx="69">
                  <c:v>594.22222222222217</c:v>
                </c:pt>
                <c:pt idx="70">
                  <c:v>597.94444444444446</c:v>
                </c:pt>
                <c:pt idx="71">
                  <c:v>601.83333333333337</c:v>
                </c:pt>
                <c:pt idx="72">
                  <c:v>605.83333333333337</c:v>
                </c:pt>
                <c:pt idx="73">
                  <c:v>609.77777777777783</c:v>
                </c:pt>
                <c:pt idx="74">
                  <c:v>613.72222222222217</c:v>
                </c:pt>
                <c:pt idx="75">
                  <c:v>617.83333333333337</c:v>
                </c:pt>
                <c:pt idx="76">
                  <c:v>622.11111111111109</c:v>
                </c:pt>
                <c:pt idx="77">
                  <c:v>626.77777777777783</c:v>
                </c:pt>
                <c:pt idx="78">
                  <c:v>631.33333333333337</c:v>
                </c:pt>
                <c:pt idx="79">
                  <c:v>635.83333333333337</c:v>
                </c:pt>
                <c:pt idx="80">
                  <c:v>640.66666666666663</c:v>
                </c:pt>
                <c:pt idx="81">
                  <c:v>645.94444444444446</c:v>
                </c:pt>
                <c:pt idx="82">
                  <c:v>651.66666666666663</c:v>
                </c:pt>
                <c:pt idx="83">
                  <c:v>657.11111111111109</c:v>
                </c:pt>
                <c:pt idx="84">
                  <c:v>663.88888888888891</c:v>
                </c:pt>
                <c:pt idx="85">
                  <c:v>671.55555555555554</c:v>
                </c:pt>
                <c:pt idx="86">
                  <c:v>680.22222222222217</c:v>
                </c:pt>
                <c:pt idx="87">
                  <c:v>690.05555555555554</c:v>
                </c:pt>
                <c:pt idx="88">
                  <c:v>702.16666666666663</c:v>
                </c:pt>
                <c:pt idx="89">
                  <c:v>722.88888888888891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94-4A90-A29A-A0D95E1D1FE0}"/>
            </c:ext>
          </c:extLst>
        </c:ser>
        <c:ser>
          <c:idx val="18"/>
          <c:order val="17"/>
          <c:tx>
            <c:v>HS_D3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Comparing'!$V$10:$V$98</c:f>
              <c:numCache>
                <c:formatCode>General</c:formatCode>
                <c:ptCount val="89"/>
                <c:pt idx="0">
                  <c:v>121.9</c:v>
                </c:pt>
                <c:pt idx="1">
                  <c:v>144.19999999999999</c:v>
                </c:pt>
                <c:pt idx="2">
                  <c:v>169.7</c:v>
                </c:pt>
                <c:pt idx="3">
                  <c:v>185.8</c:v>
                </c:pt>
                <c:pt idx="4">
                  <c:v>200.3</c:v>
                </c:pt>
                <c:pt idx="5">
                  <c:v>212.1</c:v>
                </c:pt>
                <c:pt idx="6">
                  <c:v>221.4</c:v>
                </c:pt>
                <c:pt idx="7">
                  <c:v>231.3</c:v>
                </c:pt>
                <c:pt idx="8">
                  <c:v>239.7</c:v>
                </c:pt>
                <c:pt idx="9">
                  <c:v>249.7</c:v>
                </c:pt>
                <c:pt idx="10">
                  <c:v>257</c:v>
                </c:pt>
                <c:pt idx="11">
                  <c:v>266.5</c:v>
                </c:pt>
                <c:pt idx="12">
                  <c:v>274</c:v>
                </c:pt>
                <c:pt idx="13">
                  <c:v>283.3</c:v>
                </c:pt>
                <c:pt idx="14">
                  <c:v>290.89999999999998</c:v>
                </c:pt>
                <c:pt idx="15">
                  <c:v>298.7</c:v>
                </c:pt>
                <c:pt idx="16">
                  <c:v>305.2</c:v>
                </c:pt>
                <c:pt idx="17">
                  <c:v>313</c:v>
                </c:pt>
                <c:pt idx="18">
                  <c:v>319.2</c:v>
                </c:pt>
                <c:pt idx="19">
                  <c:v>326.5</c:v>
                </c:pt>
                <c:pt idx="20">
                  <c:v>332.5</c:v>
                </c:pt>
                <c:pt idx="21">
                  <c:v>339.7</c:v>
                </c:pt>
                <c:pt idx="22">
                  <c:v>345.6</c:v>
                </c:pt>
                <c:pt idx="23">
                  <c:v>352.5</c:v>
                </c:pt>
                <c:pt idx="24">
                  <c:v>358.2</c:v>
                </c:pt>
                <c:pt idx="25">
                  <c:v>364.6</c:v>
                </c:pt>
                <c:pt idx="26">
                  <c:v>370.5</c:v>
                </c:pt>
                <c:pt idx="27">
                  <c:v>377.3</c:v>
                </c:pt>
                <c:pt idx="28">
                  <c:v>383.6</c:v>
                </c:pt>
                <c:pt idx="29">
                  <c:v>390.3</c:v>
                </c:pt>
                <c:pt idx="30">
                  <c:v>395.2</c:v>
                </c:pt>
                <c:pt idx="31">
                  <c:v>399.6</c:v>
                </c:pt>
                <c:pt idx="32">
                  <c:v>404.7</c:v>
                </c:pt>
                <c:pt idx="33">
                  <c:v>409</c:v>
                </c:pt>
                <c:pt idx="34">
                  <c:v>415.2</c:v>
                </c:pt>
                <c:pt idx="35">
                  <c:v>422.4</c:v>
                </c:pt>
                <c:pt idx="36">
                  <c:v>430</c:v>
                </c:pt>
                <c:pt idx="37">
                  <c:v>435.4</c:v>
                </c:pt>
                <c:pt idx="38">
                  <c:v>440.2</c:v>
                </c:pt>
                <c:pt idx="39">
                  <c:v>445.5</c:v>
                </c:pt>
                <c:pt idx="40">
                  <c:v>450.9</c:v>
                </c:pt>
                <c:pt idx="41">
                  <c:v>457.1</c:v>
                </c:pt>
                <c:pt idx="42">
                  <c:v>464</c:v>
                </c:pt>
                <c:pt idx="43">
                  <c:v>469.5</c:v>
                </c:pt>
                <c:pt idx="44">
                  <c:v>474.7</c:v>
                </c:pt>
                <c:pt idx="45">
                  <c:v>480.1</c:v>
                </c:pt>
                <c:pt idx="46">
                  <c:v>486</c:v>
                </c:pt>
                <c:pt idx="47">
                  <c:v>492</c:v>
                </c:pt>
                <c:pt idx="48">
                  <c:v>497.6</c:v>
                </c:pt>
                <c:pt idx="49">
                  <c:v>502.5</c:v>
                </c:pt>
                <c:pt idx="50">
                  <c:v>507.4</c:v>
                </c:pt>
                <c:pt idx="51">
                  <c:v>512.70000000000005</c:v>
                </c:pt>
                <c:pt idx="52">
                  <c:v>518.20000000000005</c:v>
                </c:pt>
                <c:pt idx="53">
                  <c:v>523.5</c:v>
                </c:pt>
                <c:pt idx="54">
                  <c:v>528.29999999999995</c:v>
                </c:pt>
                <c:pt idx="55">
                  <c:v>533</c:v>
                </c:pt>
                <c:pt idx="56">
                  <c:v>537.6</c:v>
                </c:pt>
                <c:pt idx="57">
                  <c:v>542.1</c:v>
                </c:pt>
                <c:pt idx="58">
                  <c:v>546.70000000000005</c:v>
                </c:pt>
                <c:pt idx="59">
                  <c:v>551.29999999999995</c:v>
                </c:pt>
                <c:pt idx="60">
                  <c:v>556</c:v>
                </c:pt>
                <c:pt idx="61">
                  <c:v>560.29999999999995</c:v>
                </c:pt>
                <c:pt idx="62">
                  <c:v>564.4</c:v>
                </c:pt>
                <c:pt idx="63">
                  <c:v>568.4</c:v>
                </c:pt>
                <c:pt idx="64">
                  <c:v>572.20000000000005</c:v>
                </c:pt>
                <c:pt idx="65">
                  <c:v>576.20000000000005</c:v>
                </c:pt>
                <c:pt idx="66">
                  <c:v>580.20000000000005</c:v>
                </c:pt>
                <c:pt idx="67">
                  <c:v>584.4</c:v>
                </c:pt>
                <c:pt idx="68">
                  <c:v>588.5</c:v>
                </c:pt>
                <c:pt idx="69">
                  <c:v>592.6</c:v>
                </c:pt>
                <c:pt idx="70">
                  <c:v>596.79999999999995</c:v>
                </c:pt>
                <c:pt idx="71">
                  <c:v>601.1</c:v>
                </c:pt>
                <c:pt idx="72">
                  <c:v>605.6</c:v>
                </c:pt>
                <c:pt idx="73">
                  <c:v>610.20000000000005</c:v>
                </c:pt>
                <c:pt idx="74">
                  <c:v>615</c:v>
                </c:pt>
                <c:pt idx="75">
                  <c:v>620</c:v>
                </c:pt>
                <c:pt idx="76">
                  <c:v>625.20000000000005</c:v>
                </c:pt>
                <c:pt idx="77">
                  <c:v>630.5</c:v>
                </c:pt>
                <c:pt idx="78">
                  <c:v>635.9</c:v>
                </c:pt>
                <c:pt idx="79">
                  <c:v>641.9</c:v>
                </c:pt>
                <c:pt idx="80">
                  <c:v>648.29999999999995</c:v>
                </c:pt>
                <c:pt idx="81">
                  <c:v>654.70000000000005</c:v>
                </c:pt>
                <c:pt idx="82">
                  <c:v>662.1</c:v>
                </c:pt>
                <c:pt idx="83">
                  <c:v>670.9</c:v>
                </c:pt>
                <c:pt idx="84">
                  <c:v>680.3</c:v>
                </c:pt>
                <c:pt idx="85">
                  <c:v>690.2</c:v>
                </c:pt>
                <c:pt idx="86">
                  <c:v>700.4</c:v>
                </c:pt>
                <c:pt idx="87">
                  <c:v>712.3</c:v>
                </c:pt>
                <c:pt idx="88">
                  <c:v>726.7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94-4A90-A29A-A0D95E1D1FE0}"/>
            </c:ext>
          </c:extLst>
        </c:ser>
        <c:ser>
          <c:idx val="17"/>
          <c:order val="18"/>
          <c:tx>
            <c:v>Light end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'HPS Comparing'!$AN$23:$AN$24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'HPS Comparing'!$AO$23:$AO$24</c:f>
              <c:numCache>
                <c:formatCode>General</c:formatCode>
                <c:ptCount val="2"/>
                <c:pt idx="0">
                  <c:v>-2</c:v>
                </c:pt>
                <c:pt idx="1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94-4A90-A29A-A0D95E1D1FE0}"/>
            </c:ext>
          </c:extLst>
        </c:ser>
        <c:ser>
          <c:idx val="16"/>
          <c:order val="19"/>
          <c:tx>
            <c:v>D3 LS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Comparing'!$P$10:$P$110</c:f>
              <c:numCache>
                <c:formatCode>General</c:formatCode>
                <c:ptCount val="101"/>
                <c:pt idx="0">
                  <c:v>111.6</c:v>
                </c:pt>
                <c:pt idx="1">
                  <c:v>136.19999999999999</c:v>
                </c:pt>
                <c:pt idx="2">
                  <c:v>162.80000000000001</c:v>
                </c:pt>
                <c:pt idx="3">
                  <c:v>181.4</c:v>
                </c:pt>
                <c:pt idx="4">
                  <c:v>196.4</c:v>
                </c:pt>
                <c:pt idx="5">
                  <c:v>209.9</c:v>
                </c:pt>
                <c:pt idx="6">
                  <c:v>220.8</c:v>
                </c:pt>
                <c:pt idx="7">
                  <c:v>231.5</c:v>
                </c:pt>
                <c:pt idx="8">
                  <c:v>241.8</c:v>
                </c:pt>
                <c:pt idx="9">
                  <c:v>250.5</c:v>
                </c:pt>
                <c:pt idx="10">
                  <c:v>260.3</c:v>
                </c:pt>
                <c:pt idx="11">
                  <c:v>268.3</c:v>
                </c:pt>
                <c:pt idx="12">
                  <c:v>278.10000000000002</c:v>
                </c:pt>
                <c:pt idx="13">
                  <c:v>286.39999999999998</c:v>
                </c:pt>
                <c:pt idx="14">
                  <c:v>294.60000000000002</c:v>
                </c:pt>
                <c:pt idx="15">
                  <c:v>301.60000000000002</c:v>
                </c:pt>
                <c:pt idx="16">
                  <c:v>309.5</c:v>
                </c:pt>
                <c:pt idx="17">
                  <c:v>316</c:v>
                </c:pt>
                <c:pt idx="18">
                  <c:v>323.7</c:v>
                </c:pt>
                <c:pt idx="19">
                  <c:v>330.2</c:v>
                </c:pt>
                <c:pt idx="20">
                  <c:v>337.5</c:v>
                </c:pt>
                <c:pt idx="21">
                  <c:v>343.9</c:v>
                </c:pt>
                <c:pt idx="22">
                  <c:v>350.3</c:v>
                </c:pt>
                <c:pt idx="23">
                  <c:v>355.9</c:v>
                </c:pt>
                <c:pt idx="24">
                  <c:v>361.9</c:v>
                </c:pt>
                <c:pt idx="25">
                  <c:v>367.7</c:v>
                </c:pt>
                <c:pt idx="26">
                  <c:v>374.1</c:v>
                </c:pt>
                <c:pt idx="27">
                  <c:v>381.5</c:v>
                </c:pt>
                <c:pt idx="28">
                  <c:v>388.1</c:v>
                </c:pt>
                <c:pt idx="29">
                  <c:v>394.7</c:v>
                </c:pt>
                <c:pt idx="30">
                  <c:v>400.2</c:v>
                </c:pt>
                <c:pt idx="31">
                  <c:v>406.1</c:v>
                </c:pt>
                <c:pt idx="32">
                  <c:v>411.5</c:v>
                </c:pt>
                <c:pt idx="33">
                  <c:v>417.2</c:v>
                </c:pt>
                <c:pt idx="34">
                  <c:v>423.4</c:v>
                </c:pt>
                <c:pt idx="35">
                  <c:v>429.2</c:v>
                </c:pt>
                <c:pt idx="36">
                  <c:v>435</c:v>
                </c:pt>
                <c:pt idx="37">
                  <c:v>440.4</c:v>
                </c:pt>
                <c:pt idx="38">
                  <c:v>445.8</c:v>
                </c:pt>
                <c:pt idx="39">
                  <c:v>451.6</c:v>
                </c:pt>
                <c:pt idx="40">
                  <c:v>457.2</c:v>
                </c:pt>
                <c:pt idx="41">
                  <c:v>462.8</c:v>
                </c:pt>
                <c:pt idx="42">
                  <c:v>468.5</c:v>
                </c:pt>
                <c:pt idx="43">
                  <c:v>473.8</c:v>
                </c:pt>
                <c:pt idx="44">
                  <c:v>479.2</c:v>
                </c:pt>
                <c:pt idx="45">
                  <c:v>484.6</c:v>
                </c:pt>
                <c:pt idx="46">
                  <c:v>490.2</c:v>
                </c:pt>
                <c:pt idx="47">
                  <c:v>495.6</c:v>
                </c:pt>
                <c:pt idx="48">
                  <c:v>500.4</c:v>
                </c:pt>
                <c:pt idx="49">
                  <c:v>505.2</c:v>
                </c:pt>
                <c:pt idx="50">
                  <c:v>510</c:v>
                </c:pt>
                <c:pt idx="51">
                  <c:v>515.1</c:v>
                </c:pt>
                <c:pt idx="52">
                  <c:v>520.1</c:v>
                </c:pt>
                <c:pt idx="53">
                  <c:v>524.79999999999995</c:v>
                </c:pt>
                <c:pt idx="54">
                  <c:v>529.29999999999995</c:v>
                </c:pt>
                <c:pt idx="55">
                  <c:v>533.70000000000005</c:v>
                </c:pt>
                <c:pt idx="56">
                  <c:v>538</c:v>
                </c:pt>
                <c:pt idx="57">
                  <c:v>542.20000000000005</c:v>
                </c:pt>
                <c:pt idx="58">
                  <c:v>546.4</c:v>
                </c:pt>
                <c:pt idx="59">
                  <c:v>550.5</c:v>
                </c:pt>
                <c:pt idx="60">
                  <c:v>554.6</c:v>
                </c:pt>
                <c:pt idx="61">
                  <c:v>558.5</c:v>
                </c:pt>
                <c:pt idx="62">
                  <c:v>562.20000000000005</c:v>
                </c:pt>
                <c:pt idx="63">
                  <c:v>565.9</c:v>
                </c:pt>
                <c:pt idx="64">
                  <c:v>569.29999999999995</c:v>
                </c:pt>
                <c:pt idx="65">
                  <c:v>572.70000000000005</c:v>
                </c:pt>
                <c:pt idx="66">
                  <c:v>576.20000000000005</c:v>
                </c:pt>
                <c:pt idx="67">
                  <c:v>579.79999999999995</c:v>
                </c:pt>
                <c:pt idx="68">
                  <c:v>583.5</c:v>
                </c:pt>
                <c:pt idx="69">
                  <c:v>587</c:v>
                </c:pt>
                <c:pt idx="70">
                  <c:v>590.6</c:v>
                </c:pt>
                <c:pt idx="71">
                  <c:v>594.29999999999995</c:v>
                </c:pt>
                <c:pt idx="72">
                  <c:v>598</c:v>
                </c:pt>
                <c:pt idx="73">
                  <c:v>601.79999999999995</c:v>
                </c:pt>
                <c:pt idx="74">
                  <c:v>605.79999999999995</c:v>
                </c:pt>
                <c:pt idx="75">
                  <c:v>609.9</c:v>
                </c:pt>
                <c:pt idx="76">
                  <c:v>614.1</c:v>
                </c:pt>
                <c:pt idx="77">
                  <c:v>618.6</c:v>
                </c:pt>
                <c:pt idx="78">
                  <c:v>623.20000000000005</c:v>
                </c:pt>
                <c:pt idx="79">
                  <c:v>628</c:v>
                </c:pt>
                <c:pt idx="80">
                  <c:v>632.79999999999995</c:v>
                </c:pt>
                <c:pt idx="81">
                  <c:v>638</c:v>
                </c:pt>
                <c:pt idx="82">
                  <c:v>643.70000000000005</c:v>
                </c:pt>
                <c:pt idx="83">
                  <c:v>649.70000000000005</c:v>
                </c:pt>
                <c:pt idx="84">
                  <c:v>655.7</c:v>
                </c:pt>
                <c:pt idx="85">
                  <c:v>662.9</c:v>
                </c:pt>
                <c:pt idx="86">
                  <c:v>671.4</c:v>
                </c:pt>
                <c:pt idx="87">
                  <c:v>680.7</c:v>
                </c:pt>
                <c:pt idx="88">
                  <c:v>690.4</c:v>
                </c:pt>
                <c:pt idx="89">
                  <c:v>700.8</c:v>
                </c:pt>
                <c:pt idx="90">
                  <c:v>712.8</c:v>
                </c:pt>
                <c:pt idx="91">
                  <c:v>729.3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A5C-4395-9C78-B97C184E9CD7}"/>
            </c:ext>
          </c:extLst>
        </c:ser>
        <c:ser>
          <c:idx val="20"/>
          <c:order val="20"/>
          <c:tx>
            <c:v>HPS-D5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Comparing'!$N$10:$N$98</c:f>
              <c:numCache>
                <c:formatCode>General</c:formatCode>
                <c:ptCount val="89"/>
                <c:pt idx="0">
                  <c:v>95.5</c:v>
                </c:pt>
                <c:pt idx="1">
                  <c:v>125.7</c:v>
                </c:pt>
                <c:pt idx="2">
                  <c:v>155.6</c:v>
                </c:pt>
                <c:pt idx="3">
                  <c:v>174.7</c:v>
                </c:pt>
                <c:pt idx="4">
                  <c:v>190.5</c:v>
                </c:pt>
                <c:pt idx="5">
                  <c:v>203.2</c:v>
                </c:pt>
                <c:pt idx="6">
                  <c:v>216</c:v>
                </c:pt>
                <c:pt idx="7">
                  <c:v>226</c:v>
                </c:pt>
                <c:pt idx="8">
                  <c:v>235.1</c:v>
                </c:pt>
                <c:pt idx="9">
                  <c:v>245.2</c:v>
                </c:pt>
                <c:pt idx="10">
                  <c:v>253.3</c:v>
                </c:pt>
                <c:pt idx="11">
                  <c:v>262.5</c:v>
                </c:pt>
                <c:pt idx="12">
                  <c:v>270.2</c:v>
                </c:pt>
                <c:pt idx="13">
                  <c:v>278.8</c:v>
                </c:pt>
                <c:pt idx="14">
                  <c:v>286.39999999999998</c:v>
                </c:pt>
                <c:pt idx="15">
                  <c:v>294.10000000000002</c:v>
                </c:pt>
                <c:pt idx="16">
                  <c:v>301</c:v>
                </c:pt>
                <c:pt idx="17">
                  <c:v>308</c:v>
                </c:pt>
                <c:pt idx="18">
                  <c:v>314.89999999999998</c:v>
                </c:pt>
                <c:pt idx="19">
                  <c:v>321.3</c:v>
                </c:pt>
                <c:pt idx="20">
                  <c:v>328.2</c:v>
                </c:pt>
                <c:pt idx="21">
                  <c:v>334.2</c:v>
                </c:pt>
                <c:pt idx="22">
                  <c:v>340.8</c:v>
                </c:pt>
                <c:pt idx="23">
                  <c:v>346.4</c:v>
                </c:pt>
                <c:pt idx="24">
                  <c:v>352.3</c:v>
                </c:pt>
                <c:pt idx="25">
                  <c:v>357.5</c:v>
                </c:pt>
                <c:pt idx="26">
                  <c:v>363.2</c:v>
                </c:pt>
                <c:pt idx="27">
                  <c:v>368.5</c:v>
                </c:pt>
                <c:pt idx="28">
                  <c:v>375.1</c:v>
                </c:pt>
                <c:pt idx="29">
                  <c:v>381.5</c:v>
                </c:pt>
                <c:pt idx="30">
                  <c:v>388.2</c:v>
                </c:pt>
                <c:pt idx="31">
                  <c:v>393.9</c:v>
                </c:pt>
                <c:pt idx="32">
                  <c:v>399.4</c:v>
                </c:pt>
                <c:pt idx="33">
                  <c:v>404.7</c:v>
                </c:pt>
                <c:pt idx="34">
                  <c:v>410</c:v>
                </c:pt>
                <c:pt idx="35">
                  <c:v>415.6</c:v>
                </c:pt>
                <c:pt idx="36">
                  <c:v>421</c:v>
                </c:pt>
                <c:pt idx="37">
                  <c:v>427</c:v>
                </c:pt>
                <c:pt idx="38">
                  <c:v>432.5</c:v>
                </c:pt>
                <c:pt idx="39">
                  <c:v>438.1</c:v>
                </c:pt>
                <c:pt idx="40">
                  <c:v>443.3</c:v>
                </c:pt>
                <c:pt idx="41">
                  <c:v>448.5</c:v>
                </c:pt>
                <c:pt idx="42">
                  <c:v>454.3</c:v>
                </c:pt>
                <c:pt idx="43">
                  <c:v>459.9</c:v>
                </c:pt>
                <c:pt idx="44">
                  <c:v>465.4</c:v>
                </c:pt>
                <c:pt idx="45">
                  <c:v>471</c:v>
                </c:pt>
                <c:pt idx="46">
                  <c:v>476.4</c:v>
                </c:pt>
                <c:pt idx="47">
                  <c:v>481.9</c:v>
                </c:pt>
                <c:pt idx="48">
                  <c:v>487.5</c:v>
                </c:pt>
                <c:pt idx="49">
                  <c:v>493.2</c:v>
                </c:pt>
                <c:pt idx="50">
                  <c:v>498.4</c:v>
                </c:pt>
                <c:pt idx="51">
                  <c:v>503.4</c:v>
                </c:pt>
                <c:pt idx="52">
                  <c:v>508.3</c:v>
                </c:pt>
                <c:pt idx="53">
                  <c:v>513.70000000000005</c:v>
                </c:pt>
                <c:pt idx="54">
                  <c:v>519.1</c:v>
                </c:pt>
                <c:pt idx="55">
                  <c:v>524.20000000000005</c:v>
                </c:pt>
                <c:pt idx="56">
                  <c:v>529.1</c:v>
                </c:pt>
                <c:pt idx="57">
                  <c:v>533.9</c:v>
                </c:pt>
                <c:pt idx="58">
                  <c:v>538.70000000000005</c:v>
                </c:pt>
                <c:pt idx="59">
                  <c:v>543.29999999999995</c:v>
                </c:pt>
                <c:pt idx="60">
                  <c:v>548.1</c:v>
                </c:pt>
                <c:pt idx="61">
                  <c:v>552.79999999999995</c:v>
                </c:pt>
                <c:pt idx="62">
                  <c:v>557.4</c:v>
                </c:pt>
                <c:pt idx="63">
                  <c:v>561.79999999999995</c:v>
                </c:pt>
                <c:pt idx="64">
                  <c:v>566.1</c:v>
                </c:pt>
                <c:pt idx="65">
                  <c:v>570.20000000000005</c:v>
                </c:pt>
                <c:pt idx="66">
                  <c:v>574.20000000000005</c:v>
                </c:pt>
                <c:pt idx="67">
                  <c:v>578.5</c:v>
                </c:pt>
                <c:pt idx="68">
                  <c:v>582.9</c:v>
                </c:pt>
                <c:pt idx="69">
                  <c:v>587.20000000000005</c:v>
                </c:pt>
                <c:pt idx="70">
                  <c:v>591.6</c:v>
                </c:pt>
                <c:pt idx="71">
                  <c:v>596</c:v>
                </c:pt>
                <c:pt idx="72">
                  <c:v>600.5</c:v>
                </c:pt>
                <c:pt idx="73">
                  <c:v>605.29999999999995</c:v>
                </c:pt>
                <c:pt idx="74">
                  <c:v>610.29999999999995</c:v>
                </c:pt>
                <c:pt idx="75">
                  <c:v>615.29999999999995</c:v>
                </c:pt>
                <c:pt idx="76">
                  <c:v>620.9</c:v>
                </c:pt>
                <c:pt idx="77">
                  <c:v>626.4</c:v>
                </c:pt>
                <c:pt idx="78">
                  <c:v>632.1</c:v>
                </c:pt>
                <c:pt idx="79">
                  <c:v>638</c:v>
                </c:pt>
                <c:pt idx="80">
                  <c:v>644.6</c:v>
                </c:pt>
                <c:pt idx="81">
                  <c:v>651.6</c:v>
                </c:pt>
                <c:pt idx="82">
                  <c:v>658.6</c:v>
                </c:pt>
                <c:pt idx="83">
                  <c:v>667.9</c:v>
                </c:pt>
                <c:pt idx="84">
                  <c:v>677.4</c:v>
                </c:pt>
                <c:pt idx="85">
                  <c:v>688.1</c:v>
                </c:pt>
                <c:pt idx="86">
                  <c:v>698.6</c:v>
                </c:pt>
                <c:pt idx="87">
                  <c:v>709.6</c:v>
                </c:pt>
                <c:pt idx="88">
                  <c:v>722.6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9B-424B-814E-B4CD30D8B184}"/>
            </c:ext>
          </c:extLst>
        </c:ser>
        <c:ser>
          <c:idx val="21"/>
          <c:order val="21"/>
          <c:tx>
            <c:v>HPS_Aging_D3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Comparing'!$L$10:$L$102</c:f>
              <c:numCache>
                <c:formatCode>General</c:formatCode>
                <c:ptCount val="93"/>
                <c:pt idx="0">
                  <c:v>152.5</c:v>
                </c:pt>
                <c:pt idx="1">
                  <c:v>185.3</c:v>
                </c:pt>
                <c:pt idx="2">
                  <c:v>226.6</c:v>
                </c:pt>
                <c:pt idx="3">
                  <c:v>255</c:v>
                </c:pt>
                <c:pt idx="4">
                  <c:v>279.10000000000002</c:v>
                </c:pt>
                <c:pt idx="5">
                  <c:v>299.2</c:v>
                </c:pt>
                <c:pt idx="6">
                  <c:v>317.3</c:v>
                </c:pt>
                <c:pt idx="7">
                  <c:v>332.5</c:v>
                </c:pt>
                <c:pt idx="8">
                  <c:v>345.5</c:v>
                </c:pt>
                <c:pt idx="9">
                  <c:v>356.3</c:v>
                </c:pt>
                <c:pt idx="10">
                  <c:v>366.7</c:v>
                </c:pt>
                <c:pt idx="11">
                  <c:v>378.3</c:v>
                </c:pt>
                <c:pt idx="12">
                  <c:v>390.2</c:v>
                </c:pt>
                <c:pt idx="13">
                  <c:v>398.9</c:v>
                </c:pt>
                <c:pt idx="14">
                  <c:v>407.3</c:v>
                </c:pt>
                <c:pt idx="15">
                  <c:v>415.7</c:v>
                </c:pt>
                <c:pt idx="16">
                  <c:v>424.9</c:v>
                </c:pt>
                <c:pt idx="17">
                  <c:v>433.3</c:v>
                </c:pt>
                <c:pt idx="18">
                  <c:v>440.7</c:v>
                </c:pt>
                <c:pt idx="19">
                  <c:v>448</c:v>
                </c:pt>
                <c:pt idx="20">
                  <c:v>455.9</c:v>
                </c:pt>
                <c:pt idx="21">
                  <c:v>463.6</c:v>
                </c:pt>
                <c:pt idx="22">
                  <c:v>470.6</c:v>
                </c:pt>
                <c:pt idx="23">
                  <c:v>477.3</c:v>
                </c:pt>
                <c:pt idx="24">
                  <c:v>484.2</c:v>
                </c:pt>
                <c:pt idx="25">
                  <c:v>491.3</c:v>
                </c:pt>
                <c:pt idx="26">
                  <c:v>497.8</c:v>
                </c:pt>
                <c:pt idx="27">
                  <c:v>503.3</c:v>
                </c:pt>
                <c:pt idx="28">
                  <c:v>508.7</c:v>
                </c:pt>
                <c:pt idx="29">
                  <c:v>514.70000000000005</c:v>
                </c:pt>
                <c:pt idx="30">
                  <c:v>520.6</c:v>
                </c:pt>
                <c:pt idx="31">
                  <c:v>525.70000000000005</c:v>
                </c:pt>
                <c:pt idx="32">
                  <c:v>530.5</c:v>
                </c:pt>
                <c:pt idx="33">
                  <c:v>535.20000000000005</c:v>
                </c:pt>
                <c:pt idx="34">
                  <c:v>539.6</c:v>
                </c:pt>
                <c:pt idx="35">
                  <c:v>543.9</c:v>
                </c:pt>
                <c:pt idx="36">
                  <c:v>548.20000000000005</c:v>
                </c:pt>
                <c:pt idx="37">
                  <c:v>552.4</c:v>
                </c:pt>
                <c:pt idx="38">
                  <c:v>556.4</c:v>
                </c:pt>
                <c:pt idx="39">
                  <c:v>560</c:v>
                </c:pt>
                <c:pt idx="40">
                  <c:v>563.5</c:v>
                </c:pt>
                <c:pt idx="41">
                  <c:v>566.79999999999995</c:v>
                </c:pt>
                <c:pt idx="42">
                  <c:v>569.9</c:v>
                </c:pt>
                <c:pt idx="43">
                  <c:v>572.9</c:v>
                </c:pt>
                <c:pt idx="44">
                  <c:v>575.79999999999995</c:v>
                </c:pt>
                <c:pt idx="45">
                  <c:v>578.79999999999995</c:v>
                </c:pt>
                <c:pt idx="46">
                  <c:v>581.70000000000005</c:v>
                </c:pt>
                <c:pt idx="47">
                  <c:v>584.6</c:v>
                </c:pt>
                <c:pt idx="48">
                  <c:v>587.4</c:v>
                </c:pt>
                <c:pt idx="49">
                  <c:v>590.1</c:v>
                </c:pt>
                <c:pt idx="50">
                  <c:v>592.79999999999995</c:v>
                </c:pt>
                <c:pt idx="51">
                  <c:v>595.5</c:v>
                </c:pt>
                <c:pt idx="52">
                  <c:v>598.1</c:v>
                </c:pt>
                <c:pt idx="53">
                  <c:v>600.79999999999995</c:v>
                </c:pt>
                <c:pt idx="54">
                  <c:v>603.6</c:v>
                </c:pt>
                <c:pt idx="55">
                  <c:v>606.29999999999995</c:v>
                </c:pt>
                <c:pt idx="56">
                  <c:v>609</c:v>
                </c:pt>
                <c:pt idx="57">
                  <c:v>611.70000000000005</c:v>
                </c:pt>
                <c:pt idx="58">
                  <c:v>614.5</c:v>
                </c:pt>
                <c:pt idx="59">
                  <c:v>617.29999999999995</c:v>
                </c:pt>
                <c:pt idx="60">
                  <c:v>620.1</c:v>
                </c:pt>
                <c:pt idx="61">
                  <c:v>623</c:v>
                </c:pt>
                <c:pt idx="62">
                  <c:v>625.79999999999995</c:v>
                </c:pt>
                <c:pt idx="63">
                  <c:v>628.6</c:v>
                </c:pt>
                <c:pt idx="64">
                  <c:v>631.4</c:v>
                </c:pt>
                <c:pt idx="65">
                  <c:v>634.20000000000005</c:v>
                </c:pt>
                <c:pt idx="66">
                  <c:v>637.1</c:v>
                </c:pt>
                <c:pt idx="67">
                  <c:v>640</c:v>
                </c:pt>
                <c:pt idx="68">
                  <c:v>643.1</c:v>
                </c:pt>
                <c:pt idx="69">
                  <c:v>646.20000000000005</c:v>
                </c:pt>
                <c:pt idx="70">
                  <c:v>649.20000000000005</c:v>
                </c:pt>
                <c:pt idx="71">
                  <c:v>652.20000000000005</c:v>
                </c:pt>
                <c:pt idx="72">
                  <c:v>655.1</c:v>
                </c:pt>
                <c:pt idx="73">
                  <c:v>658.1</c:v>
                </c:pt>
                <c:pt idx="74">
                  <c:v>661.9</c:v>
                </c:pt>
                <c:pt idx="75">
                  <c:v>665.7</c:v>
                </c:pt>
                <c:pt idx="76">
                  <c:v>669.7</c:v>
                </c:pt>
                <c:pt idx="77">
                  <c:v>673.1</c:v>
                </c:pt>
                <c:pt idx="78">
                  <c:v>676.9</c:v>
                </c:pt>
                <c:pt idx="79">
                  <c:v>681.3</c:v>
                </c:pt>
                <c:pt idx="80">
                  <c:v>685</c:v>
                </c:pt>
                <c:pt idx="81">
                  <c:v>688.9</c:v>
                </c:pt>
                <c:pt idx="82">
                  <c:v>692.4</c:v>
                </c:pt>
                <c:pt idx="83">
                  <c:v>695.7</c:v>
                </c:pt>
                <c:pt idx="84">
                  <c:v>700</c:v>
                </c:pt>
                <c:pt idx="85">
                  <c:v>703.3</c:v>
                </c:pt>
                <c:pt idx="86">
                  <c:v>706.7</c:v>
                </c:pt>
                <c:pt idx="87">
                  <c:v>710.8</c:v>
                </c:pt>
                <c:pt idx="88">
                  <c:v>714.7</c:v>
                </c:pt>
                <c:pt idx="89">
                  <c:v>718.6</c:v>
                </c:pt>
                <c:pt idx="90">
                  <c:v>722.6</c:v>
                </c:pt>
                <c:pt idx="91">
                  <c:v>726.7</c:v>
                </c:pt>
                <c:pt idx="92">
                  <c:v>730.9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9B-424B-814E-B4CD30D8B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948943"/>
        <c:axId val="161193406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'HPS Comparing'!$J$7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Comparing'!$J$10:$J$89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142.1</c:v>
                      </c:pt>
                      <c:pt idx="1">
                        <c:v>173.4</c:v>
                      </c:pt>
                      <c:pt idx="2">
                        <c:v>215</c:v>
                      </c:pt>
                      <c:pt idx="3">
                        <c:v>248.3</c:v>
                      </c:pt>
                      <c:pt idx="4">
                        <c:v>270.7</c:v>
                      </c:pt>
                      <c:pt idx="5">
                        <c:v>291.2</c:v>
                      </c:pt>
                      <c:pt idx="6">
                        <c:v>308.60000000000002</c:v>
                      </c:pt>
                      <c:pt idx="7">
                        <c:v>324.2</c:v>
                      </c:pt>
                      <c:pt idx="8">
                        <c:v>338.5</c:v>
                      </c:pt>
                      <c:pt idx="9">
                        <c:v>351.6</c:v>
                      </c:pt>
                      <c:pt idx="10">
                        <c:v>363.5</c:v>
                      </c:pt>
                      <c:pt idx="11">
                        <c:v>374.4</c:v>
                      </c:pt>
                      <c:pt idx="12">
                        <c:v>384.5</c:v>
                      </c:pt>
                      <c:pt idx="13">
                        <c:v>394.2</c:v>
                      </c:pt>
                      <c:pt idx="14">
                        <c:v>404</c:v>
                      </c:pt>
                      <c:pt idx="15">
                        <c:v>413.2</c:v>
                      </c:pt>
                      <c:pt idx="16">
                        <c:v>421.9</c:v>
                      </c:pt>
                      <c:pt idx="17">
                        <c:v>430.1</c:v>
                      </c:pt>
                      <c:pt idx="18">
                        <c:v>438.5</c:v>
                      </c:pt>
                      <c:pt idx="19">
                        <c:v>446.5</c:v>
                      </c:pt>
                      <c:pt idx="20">
                        <c:v>454.4</c:v>
                      </c:pt>
                      <c:pt idx="21">
                        <c:v>462</c:v>
                      </c:pt>
                      <c:pt idx="22">
                        <c:v>469.5</c:v>
                      </c:pt>
                      <c:pt idx="23">
                        <c:v>476.7</c:v>
                      </c:pt>
                      <c:pt idx="24">
                        <c:v>483.7</c:v>
                      </c:pt>
                      <c:pt idx="25">
                        <c:v>490.4</c:v>
                      </c:pt>
                      <c:pt idx="26">
                        <c:v>496.8</c:v>
                      </c:pt>
                      <c:pt idx="27">
                        <c:v>502.6</c:v>
                      </c:pt>
                      <c:pt idx="28">
                        <c:v>508.1</c:v>
                      </c:pt>
                      <c:pt idx="29">
                        <c:v>513.70000000000005</c:v>
                      </c:pt>
                      <c:pt idx="30">
                        <c:v>519.1</c:v>
                      </c:pt>
                      <c:pt idx="31">
                        <c:v>524.20000000000005</c:v>
                      </c:pt>
                      <c:pt idx="32">
                        <c:v>528.79999999999995</c:v>
                      </c:pt>
                      <c:pt idx="33">
                        <c:v>533.20000000000005</c:v>
                      </c:pt>
                      <c:pt idx="34">
                        <c:v>537.4</c:v>
                      </c:pt>
                      <c:pt idx="35">
                        <c:v>541.5</c:v>
                      </c:pt>
                      <c:pt idx="36">
                        <c:v>545.29999999999995</c:v>
                      </c:pt>
                      <c:pt idx="37">
                        <c:v>549.4</c:v>
                      </c:pt>
                      <c:pt idx="38">
                        <c:v>553.20000000000005</c:v>
                      </c:pt>
                      <c:pt idx="39">
                        <c:v>556.9</c:v>
                      </c:pt>
                      <c:pt idx="40">
                        <c:v>560.4</c:v>
                      </c:pt>
                      <c:pt idx="41">
                        <c:v>563.79999999999995</c:v>
                      </c:pt>
                      <c:pt idx="42">
                        <c:v>567</c:v>
                      </c:pt>
                      <c:pt idx="43">
                        <c:v>570</c:v>
                      </c:pt>
                      <c:pt idx="44">
                        <c:v>573</c:v>
                      </c:pt>
                      <c:pt idx="45">
                        <c:v>576.1</c:v>
                      </c:pt>
                      <c:pt idx="46">
                        <c:v>579.20000000000005</c:v>
                      </c:pt>
                      <c:pt idx="47">
                        <c:v>582.4</c:v>
                      </c:pt>
                      <c:pt idx="48">
                        <c:v>585.5</c:v>
                      </c:pt>
                      <c:pt idx="49">
                        <c:v>588.5</c:v>
                      </c:pt>
                      <c:pt idx="50">
                        <c:v>591.6</c:v>
                      </c:pt>
                      <c:pt idx="51">
                        <c:v>594.70000000000005</c:v>
                      </c:pt>
                      <c:pt idx="52">
                        <c:v>597.79999999999995</c:v>
                      </c:pt>
                      <c:pt idx="53">
                        <c:v>601</c:v>
                      </c:pt>
                      <c:pt idx="54">
                        <c:v>604.29999999999995</c:v>
                      </c:pt>
                      <c:pt idx="55">
                        <c:v>607.6</c:v>
                      </c:pt>
                      <c:pt idx="56">
                        <c:v>610.9</c:v>
                      </c:pt>
                      <c:pt idx="57">
                        <c:v>614.29999999999995</c:v>
                      </c:pt>
                      <c:pt idx="58">
                        <c:v>617.79999999999995</c:v>
                      </c:pt>
                      <c:pt idx="59">
                        <c:v>621.4</c:v>
                      </c:pt>
                      <c:pt idx="60">
                        <c:v>625</c:v>
                      </c:pt>
                      <c:pt idx="61">
                        <c:v>628.6</c:v>
                      </c:pt>
                      <c:pt idx="62">
                        <c:v>632</c:v>
                      </c:pt>
                      <c:pt idx="63">
                        <c:v>635.5</c:v>
                      </c:pt>
                      <c:pt idx="64">
                        <c:v>639.29999999999995</c:v>
                      </c:pt>
                      <c:pt idx="65">
                        <c:v>643.29999999999995</c:v>
                      </c:pt>
                      <c:pt idx="66">
                        <c:v>647.4</c:v>
                      </c:pt>
                      <c:pt idx="67">
                        <c:v>651.4</c:v>
                      </c:pt>
                      <c:pt idx="68">
                        <c:v>655.20000000000005</c:v>
                      </c:pt>
                      <c:pt idx="69">
                        <c:v>659.4</c:v>
                      </c:pt>
                      <c:pt idx="70">
                        <c:v>664.4</c:v>
                      </c:pt>
                      <c:pt idx="71">
                        <c:v>669.7</c:v>
                      </c:pt>
                      <c:pt idx="72">
                        <c:v>674.4</c:v>
                      </c:pt>
                      <c:pt idx="73">
                        <c:v>680</c:v>
                      </c:pt>
                      <c:pt idx="74">
                        <c:v>685.4</c:v>
                      </c:pt>
                      <c:pt idx="75">
                        <c:v>691</c:v>
                      </c:pt>
                      <c:pt idx="76">
                        <c:v>696</c:v>
                      </c:pt>
                      <c:pt idx="77">
                        <c:v>702.3</c:v>
                      </c:pt>
                      <c:pt idx="78">
                        <c:v>708.5</c:v>
                      </c:pt>
                      <c:pt idx="79">
                        <c:v>716.3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A5C-4395-9C78-B97C184E9CD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Comparing'!$K$7</c15:sqref>
                        </c15:formulaRef>
                      </c:ext>
                    </c:extLst>
                    <c:strCache>
                      <c:ptCount val="1"/>
                      <c:pt idx="0">
                        <c:v>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Comparing'!$K$10:$K$90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140.19999999999999</c:v>
                      </c:pt>
                      <c:pt idx="1">
                        <c:v>187.3</c:v>
                      </c:pt>
                      <c:pt idx="2">
                        <c:v>232</c:v>
                      </c:pt>
                      <c:pt idx="3">
                        <c:v>261.39999999999998</c:v>
                      </c:pt>
                      <c:pt idx="4">
                        <c:v>285.2</c:v>
                      </c:pt>
                      <c:pt idx="5">
                        <c:v>305.60000000000002</c:v>
                      </c:pt>
                      <c:pt idx="6">
                        <c:v>323.2</c:v>
                      </c:pt>
                      <c:pt idx="7">
                        <c:v>338.6</c:v>
                      </c:pt>
                      <c:pt idx="8">
                        <c:v>351.3</c:v>
                      </c:pt>
                      <c:pt idx="9">
                        <c:v>362.4</c:v>
                      </c:pt>
                      <c:pt idx="10">
                        <c:v>374.1</c:v>
                      </c:pt>
                      <c:pt idx="11">
                        <c:v>387.1</c:v>
                      </c:pt>
                      <c:pt idx="12">
                        <c:v>397.2</c:v>
                      </c:pt>
                      <c:pt idx="13">
                        <c:v>406</c:v>
                      </c:pt>
                      <c:pt idx="14">
                        <c:v>414.7</c:v>
                      </c:pt>
                      <c:pt idx="15">
                        <c:v>424.4</c:v>
                      </c:pt>
                      <c:pt idx="16">
                        <c:v>433.3</c:v>
                      </c:pt>
                      <c:pt idx="17">
                        <c:v>441.2</c:v>
                      </c:pt>
                      <c:pt idx="18">
                        <c:v>448.8</c:v>
                      </c:pt>
                      <c:pt idx="19">
                        <c:v>457.3</c:v>
                      </c:pt>
                      <c:pt idx="20">
                        <c:v>465.4</c:v>
                      </c:pt>
                      <c:pt idx="21">
                        <c:v>472.5</c:v>
                      </c:pt>
                      <c:pt idx="22">
                        <c:v>479.5</c:v>
                      </c:pt>
                      <c:pt idx="23">
                        <c:v>486.9</c:v>
                      </c:pt>
                      <c:pt idx="24">
                        <c:v>494.3</c:v>
                      </c:pt>
                      <c:pt idx="25">
                        <c:v>500.6</c:v>
                      </c:pt>
                      <c:pt idx="26">
                        <c:v>506.4</c:v>
                      </c:pt>
                      <c:pt idx="27">
                        <c:v>512.4</c:v>
                      </c:pt>
                      <c:pt idx="28">
                        <c:v>518.70000000000005</c:v>
                      </c:pt>
                      <c:pt idx="29">
                        <c:v>524.4</c:v>
                      </c:pt>
                      <c:pt idx="30">
                        <c:v>529.6</c:v>
                      </c:pt>
                      <c:pt idx="31">
                        <c:v>534.6</c:v>
                      </c:pt>
                      <c:pt idx="32">
                        <c:v>539.29999999999995</c:v>
                      </c:pt>
                      <c:pt idx="33">
                        <c:v>543.9</c:v>
                      </c:pt>
                      <c:pt idx="34">
                        <c:v>548.6</c:v>
                      </c:pt>
                      <c:pt idx="35">
                        <c:v>553.1</c:v>
                      </c:pt>
                      <c:pt idx="36">
                        <c:v>557.29999999999995</c:v>
                      </c:pt>
                      <c:pt idx="37">
                        <c:v>561.1</c:v>
                      </c:pt>
                      <c:pt idx="38">
                        <c:v>564.79999999999995</c:v>
                      </c:pt>
                      <c:pt idx="39">
                        <c:v>568.20000000000005</c:v>
                      </c:pt>
                      <c:pt idx="40">
                        <c:v>571.4</c:v>
                      </c:pt>
                      <c:pt idx="41">
                        <c:v>574.6</c:v>
                      </c:pt>
                      <c:pt idx="42">
                        <c:v>577.79999999999995</c:v>
                      </c:pt>
                      <c:pt idx="43">
                        <c:v>580.9</c:v>
                      </c:pt>
                      <c:pt idx="44">
                        <c:v>584.1</c:v>
                      </c:pt>
                      <c:pt idx="45">
                        <c:v>587</c:v>
                      </c:pt>
                      <c:pt idx="46">
                        <c:v>590</c:v>
                      </c:pt>
                      <c:pt idx="47">
                        <c:v>592.9</c:v>
                      </c:pt>
                      <c:pt idx="48">
                        <c:v>595.70000000000005</c:v>
                      </c:pt>
                      <c:pt idx="49">
                        <c:v>598.6</c:v>
                      </c:pt>
                      <c:pt idx="50">
                        <c:v>601.5</c:v>
                      </c:pt>
                      <c:pt idx="51">
                        <c:v>604.4</c:v>
                      </c:pt>
                      <c:pt idx="52">
                        <c:v>607.4</c:v>
                      </c:pt>
                      <c:pt idx="53">
                        <c:v>610.29999999999995</c:v>
                      </c:pt>
                      <c:pt idx="54">
                        <c:v>613.29999999999995</c:v>
                      </c:pt>
                      <c:pt idx="55">
                        <c:v>616.29999999999995</c:v>
                      </c:pt>
                      <c:pt idx="56">
                        <c:v>619.4</c:v>
                      </c:pt>
                      <c:pt idx="57">
                        <c:v>622.6</c:v>
                      </c:pt>
                      <c:pt idx="58">
                        <c:v>625.70000000000005</c:v>
                      </c:pt>
                      <c:pt idx="59">
                        <c:v>628.9</c:v>
                      </c:pt>
                      <c:pt idx="60">
                        <c:v>631.9</c:v>
                      </c:pt>
                      <c:pt idx="61">
                        <c:v>635.1</c:v>
                      </c:pt>
                      <c:pt idx="62">
                        <c:v>638.4</c:v>
                      </c:pt>
                      <c:pt idx="63">
                        <c:v>641.79999999999995</c:v>
                      </c:pt>
                      <c:pt idx="64">
                        <c:v>645.4</c:v>
                      </c:pt>
                      <c:pt idx="65">
                        <c:v>648.9</c:v>
                      </c:pt>
                      <c:pt idx="66">
                        <c:v>652.4</c:v>
                      </c:pt>
                      <c:pt idx="67">
                        <c:v>655.8</c:v>
                      </c:pt>
                      <c:pt idx="68">
                        <c:v>659.7</c:v>
                      </c:pt>
                      <c:pt idx="69">
                        <c:v>664.3</c:v>
                      </c:pt>
                      <c:pt idx="70">
                        <c:v>669.1</c:v>
                      </c:pt>
                      <c:pt idx="71">
                        <c:v>673.5</c:v>
                      </c:pt>
                      <c:pt idx="72">
                        <c:v>678.6</c:v>
                      </c:pt>
                      <c:pt idx="73">
                        <c:v>683.9</c:v>
                      </c:pt>
                      <c:pt idx="74">
                        <c:v>689.1</c:v>
                      </c:pt>
                      <c:pt idx="75">
                        <c:v>693.9</c:v>
                      </c:pt>
                      <c:pt idx="76">
                        <c:v>699.8</c:v>
                      </c:pt>
                      <c:pt idx="77">
                        <c:v>705.2</c:v>
                      </c:pt>
                      <c:pt idx="78">
                        <c:v>712.1</c:v>
                      </c:pt>
                      <c:pt idx="79">
                        <c:v>720.3</c:v>
                      </c:pt>
                      <c:pt idx="80">
                        <c:v>733.8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A5C-4395-9C78-B97C184E9CD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Comparing'!$L$7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Comparing'!$L$10:$L$102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152.5</c:v>
                      </c:pt>
                      <c:pt idx="1">
                        <c:v>185.3</c:v>
                      </c:pt>
                      <c:pt idx="2">
                        <c:v>226.6</c:v>
                      </c:pt>
                      <c:pt idx="3">
                        <c:v>255</c:v>
                      </c:pt>
                      <c:pt idx="4">
                        <c:v>279.10000000000002</c:v>
                      </c:pt>
                      <c:pt idx="5">
                        <c:v>299.2</c:v>
                      </c:pt>
                      <c:pt idx="6">
                        <c:v>317.3</c:v>
                      </c:pt>
                      <c:pt idx="7">
                        <c:v>332.5</c:v>
                      </c:pt>
                      <c:pt idx="8">
                        <c:v>345.5</c:v>
                      </c:pt>
                      <c:pt idx="9">
                        <c:v>356.3</c:v>
                      </c:pt>
                      <c:pt idx="10">
                        <c:v>366.7</c:v>
                      </c:pt>
                      <c:pt idx="11">
                        <c:v>378.3</c:v>
                      </c:pt>
                      <c:pt idx="12">
                        <c:v>390.2</c:v>
                      </c:pt>
                      <c:pt idx="13">
                        <c:v>398.9</c:v>
                      </c:pt>
                      <c:pt idx="14">
                        <c:v>407.3</c:v>
                      </c:pt>
                      <c:pt idx="15">
                        <c:v>415.7</c:v>
                      </c:pt>
                      <c:pt idx="16">
                        <c:v>424.9</c:v>
                      </c:pt>
                      <c:pt idx="17">
                        <c:v>433.3</c:v>
                      </c:pt>
                      <c:pt idx="18">
                        <c:v>440.7</c:v>
                      </c:pt>
                      <c:pt idx="19">
                        <c:v>448</c:v>
                      </c:pt>
                      <c:pt idx="20">
                        <c:v>455.9</c:v>
                      </c:pt>
                      <c:pt idx="21">
                        <c:v>463.6</c:v>
                      </c:pt>
                      <c:pt idx="22">
                        <c:v>470.6</c:v>
                      </c:pt>
                      <c:pt idx="23">
                        <c:v>477.3</c:v>
                      </c:pt>
                      <c:pt idx="24">
                        <c:v>484.2</c:v>
                      </c:pt>
                      <c:pt idx="25">
                        <c:v>491.3</c:v>
                      </c:pt>
                      <c:pt idx="26">
                        <c:v>497.8</c:v>
                      </c:pt>
                      <c:pt idx="27">
                        <c:v>503.3</c:v>
                      </c:pt>
                      <c:pt idx="28">
                        <c:v>508.7</c:v>
                      </c:pt>
                      <c:pt idx="29">
                        <c:v>514.70000000000005</c:v>
                      </c:pt>
                      <c:pt idx="30">
                        <c:v>520.6</c:v>
                      </c:pt>
                      <c:pt idx="31">
                        <c:v>525.70000000000005</c:v>
                      </c:pt>
                      <c:pt idx="32">
                        <c:v>530.5</c:v>
                      </c:pt>
                      <c:pt idx="33">
                        <c:v>535.20000000000005</c:v>
                      </c:pt>
                      <c:pt idx="34">
                        <c:v>539.6</c:v>
                      </c:pt>
                      <c:pt idx="35">
                        <c:v>543.9</c:v>
                      </c:pt>
                      <c:pt idx="36">
                        <c:v>548.20000000000005</c:v>
                      </c:pt>
                      <c:pt idx="37">
                        <c:v>552.4</c:v>
                      </c:pt>
                      <c:pt idx="38">
                        <c:v>556.4</c:v>
                      </c:pt>
                      <c:pt idx="39">
                        <c:v>560</c:v>
                      </c:pt>
                      <c:pt idx="40">
                        <c:v>563.5</c:v>
                      </c:pt>
                      <c:pt idx="41">
                        <c:v>566.79999999999995</c:v>
                      </c:pt>
                      <c:pt idx="42">
                        <c:v>569.9</c:v>
                      </c:pt>
                      <c:pt idx="43">
                        <c:v>572.9</c:v>
                      </c:pt>
                      <c:pt idx="44">
                        <c:v>575.79999999999995</c:v>
                      </c:pt>
                      <c:pt idx="45">
                        <c:v>578.79999999999995</c:v>
                      </c:pt>
                      <c:pt idx="46">
                        <c:v>581.70000000000005</c:v>
                      </c:pt>
                      <c:pt idx="47">
                        <c:v>584.6</c:v>
                      </c:pt>
                      <c:pt idx="48">
                        <c:v>587.4</c:v>
                      </c:pt>
                      <c:pt idx="49">
                        <c:v>590.1</c:v>
                      </c:pt>
                      <c:pt idx="50">
                        <c:v>592.79999999999995</c:v>
                      </c:pt>
                      <c:pt idx="51">
                        <c:v>595.5</c:v>
                      </c:pt>
                      <c:pt idx="52">
                        <c:v>598.1</c:v>
                      </c:pt>
                      <c:pt idx="53">
                        <c:v>600.79999999999995</c:v>
                      </c:pt>
                      <c:pt idx="54">
                        <c:v>603.6</c:v>
                      </c:pt>
                      <c:pt idx="55">
                        <c:v>606.29999999999995</c:v>
                      </c:pt>
                      <c:pt idx="56">
                        <c:v>609</c:v>
                      </c:pt>
                      <c:pt idx="57">
                        <c:v>611.70000000000005</c:v>
                      </c:pt>
                      <c:pt idx="58">
                        <c:v>614.5</c:v>
                      </c:pt>
                      <c:pt idx="59">
                        <c:v>617.29999999999995</c:v>
                      </c:pt>
                      <c:pt idx="60">
                        <c:v>620.1</c:v>
                      </c:pt>
                      <c:pt idx="61">
                        <c:v>623</c:v>
                      </c:pt>
                      <c:pt idx="62">
                        <c:v>625.79999999999995</c:v>
                      </c:pt>
                      <c:pt idx="63">
                        <c:v>628.6</c:v>
                      </c:pt>
                      <c:pt idx="64">
                        <c:v>631.4</c:v>
                      </c:pt>
                      <c:pt idx="65">
                        <c:v>634.20000000000005</c:v>
                      </c:pt>
                      <c:pt idx="66">
                        <c:v>637.1</c:v>
                      </c:pt>
                      <c:pt idx="67">
                        <c:v>640</c:v>
                      </c:pt>
                      <c:pt idx="68">
                        <c:v>643.1</c:v>
                      </c:pt>
                      <c:pt idx="69">
                        <c:v>646.20000000000005</c:v>
                      </c:pt>
                      <c:pt idx="70">
                        <c:v>649.20000000000005</c:v>
                      </c:pt>
                      <c:pt idx="71">
                        <c:v>652.20000000000005</c:v>
                      </c:pt>
                      <c:pt idx="72">
                        <c:v>655.1</c:v>
                      </c:pt>
                      <c:pt idx="73">
                        <c:v>658.1</c:v>
                      </c:pt>
                      <c:pt idx="74">
                        <c:v>661.9</c:v>
                      </c:pt>
                      <c:pt idx="75">
                        <c:v>665.7</c:v>
                      </c:pt>
                      <c:pt idx="76">
                        <c:v>669.7</c:v>
                      </c:pt>
                      <c:pt idx="77">
                        <c:v>673.1</c:v>
                      </c:pt>
                      <c:pt idx="78">
                        <c:v>676.9</c:v>
                      </c:pt>
                      <c:pt idx="79">
                        <c:v>681.3</c:v>
                      </c:pt>
                      <c:pt idx="80">
                        <c:v>685</c:v>
                      </c:pt>
                      <c:pt idx="81">
                        <c:v>688.9</c:v>
                      </c:pt>
                      <c:pt idx="82">
                        <c:v>692.4</c:v>
                      </c:pt>
                      <c:pt idx="83">
                        <c:v>695.7</c:v>
                      </c:pt>
                      <c:pt idx="84">
                        <c:v>700</c:v>
                      </c:pt>
                      <c:pt idx="85">
                        <c:v>703.3</c:v>
                      </c:pt>
                      <c:pt idx="86">
                        <c:v>706.7</c:v>
                      </c:pt>
                      <c:pt idx="87">
                        <c:v>710.8</c:v>
                      </c:pt>
                      <c:pt idx="88">
                        <c:v>714.7</c:v>
                      </c:pt>
                      <c:pt idx="89">
                        <c:v>718.6</c:v>
                      </c:pt>
                      <c:pt idx="90">
                        <c:v>722.6</c:v>
                      </c:pt>
                      <c:pt idx="91">
                        <c:v>726.7</c:v>
                      </c:pt>
                      <c:pt idx="92">
                        <c:v>730.9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5C-4395-9C78-B97C184E9CD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Comparing'!$M$7</c15:sqref>
                        </c15:formulaRef>
                      </c:ext>
                    </c:extLst>
                    <c:strCache>
                      <c:ptCount val="1"/>
                      <c:pt idx="0">
                        <c:v>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Comparing'!$M$10:$M$97</c15:sqref>
                        </c15:formulaRef>
                      </c:ext>
                    </c:extLst>
                    <c:numCache>
                      <c:formatCode>General</c:formatCode>
                      <c:ptCount val="88"/>
                      <c:pt idx="0">
                        <c:v>133.6</c:v>
                      </c:pt>
                      <c:pt idx="1">
                        <c:v>179.1</c:v>
                      </c:pt>
                      <c:pt idx="2">
                        <c:v>224.9</c:v>
                      </c:pt>
                      <c:pt idx="3">
                        <c:v>255.3</c:v>
                      </c:pt>
                      <c:pt idx="4">
                        <c:v>279.7</c:v>
                      </c:pt>
                      <c:pt idx="5">
                        <c:v>300.89999999999998</c:v>
                      </c:pt>
                      <c:pt idx="6">
                        <c:v>317.7</c:v>
                      </c:pt>
                      <c:pt idx="7">
                        <c:v>332.7</c:v>
                      </c:pt>
                      <c:pt idx="8">
                        <c:v>345.9</c:v>
                      </c:pt>
                      <c:pt idx="9">
                        <c:v>357.3</c:v>
                      </c:pt>
                      <c:pt idx="10">
                        <c:v>367.8</c:v>
                      </c:pt>
                      <c:pt idx="11">
                        <c:v>379.7</c:v>
                      </c:pt>
                      <c:pt idx="12">
                        <c:v>391.3</c:v>
                      </c:pt>
                      <c:pt idx="13">
                        <c:v>400</c:v>
                      </c:pt>
                      <c:pt idx="14">
                        <c:v>408.3</c:v>
                      </c:pt>
                      <c:pt idx="15">
                        <c:v>417</c:v>
                      </c:pt>
                      <c:pt idx="16">
                        <c:v>426.3</c:v>
                      </c:pt>
                      <c:pt idx="17">
                        <c:v>434.6</c:v>
                      </c:pt>
                      <c:pt idx="18">
                        <c:v>442.1</c:v>
                      </c:pt>
                      <c:pt idx="19">
                        <c:v>449.4</c:v>
                      </c:pt>
                      <c:pt idx="20">
                        <c:v>457.4</c:v>
                      </c:pt>
                      <c:pt idx="21">
                        <c:v>465.2</c:v>
                      </c:pt>
                      <c:pt idx="22">
                        <c:v>472.3</c:v>
                      </c:pt>
                      <c:pt idx="23">
                        <c:v>479</c:v>
                      </c:pt>
                      <c:pt idx="24">
                        <c:v>486.1</c:v>
                      </c:pt>
                      <c:pt idx="25">
                        <c:v>493.1</c:v>
                      </c:pt>
                      <c:pt idx="26">
                        <c:v>499.3</c:v>
                      </c:pt>
                      <c:pt idx="27">
                        <c:v>505</c:v>
                      </c:pt>
                      <c:pt idx="28">
                        <c:v>510.6</c:v>
                      </c:pt>
                      <c:pt idx="29">
                        <c:v>516.6</c:v>
                      </c:pt>
                      <c:pt idx="30">
                        <c:v>522.4</c:v>
                      </c:pt>
                      <c:pt idx="31">
                        <c:v>527.4</c:v>
                      </c:pt>
                      <c:pt idx="32">
                        <c:v>532.20000000000005</c:v>
                      </c:pt>
                      <c:pt idx="33">
                        <c:v>536.70000000000005</c:v>
                      </c:pt>
                      <c:pt idx="34">
                        <c:v>541.20000000000005</c:v>
                      </c:pt>
                      <c:pt idx="35">
                        <c:v>545.5</c:v>
                      </c:pt>
                      <c:pt idx="36">
                        <c:v>549.79999999999995</c:v>
                      </c:pt>
                      <c:pt idx="37">
                        <c:v>554</c:v>
                      </c:pt>
                      <c:pt idx="38">
                        <c:v>557.9</c:v>
                      </c:pt>
                      <c:pt idx="39">
                        <c:v>561.4</c:v>
                      </c:pt>
                      <c:pt idx="40">
                        <c:v>564.9</c:v>
                      </c:pt>
                      <c:pt idx="41">
                        <c:v>568.1</c:v>
                      </c:pt>
                      <c:pt idx="42">
                        <c:v>571.20000000000005</c:v>
                      </c:pt>
                      <c:pt idx="43">
                        <c:v>574.20000000000005</c:v>
                      </c:pt>
                      <c:pt idx="44">
                        <c:v>577.20000000000005</c:v>
                      </c:pt>
                      <c:pt idx="45">
                        <c:v>580.20000000000005</c:v>
                      </c:pt>
                      <c:pt idx="46">
                        <c:v>583.1</c:v>
                      </c:pt>
                      <c:pt idx="47">
                        <c:v>586</c:v>
                      </c:pt>
                      <c:pt idx="48">
                        <c:v>588.79999999999995</c:v>
                      </c:pt>
                      <c:pt idx="49">
                        <c:v>591.6</c:v>
                      </c:pt>
                      <c:pt idx="50">
                        <c:v>594.29999999999995</c:v>
                      </c:pt>
                      <c:pt idx="51">
                        <c:v>597</c:v>
                      </c:pt>
                      <c:pt idx="52">
                        <c:v>599.79999999999995</c:v>
                      </c:pt>
                      <c:pt idx="53">
                        <c:v>602.6</c:v>
                      </c:pt>
                      <c:pt idx="54">
                        <c:v>605.4</c:v>
                      </c:pt>
                      <c:pt idx="55">
                        <c:v>608.20000000000005</c:v>
                      </c:pt>
                      <c:pt idx="56">
                        <c:v>611</c:v>
                      </c:pt>
                      <c:pt idx="57">
                        <c:v>613.9</c:v>
                      </c:pt>
                      <c:pt idx="58">
                        <c:v>616.79999999999995</c:v>
                      </c:pt>
                      <c:pt idx="59">
                        <c:v>619.70000000000005</c:v>
                      </c:pt>
                      <c:pt idx="60">
                        <c:v>622.70000000000005</c:v>
                      </c:pt>
                      <c:pt idx="61">
                        <c:v>625.70000000000005</c:v>
                      </c:pt>
                      <c:pt idx="62">
                        <c:v>628.70000000000005</c:v>
                      </c:pt>
                      <c:pt idx="63">
                        <c:v>631.6</c:v>
                      </c:pt>
                      <c:pt idx="64">
                        <c:v>634.5</c:v>
                      </c:pt>
                      <c:pt idx="65">
                        <c:v>637.6</c:v>
                      </c:pt>
                      <c:pt idx="66">
                        <c:v>640.70000000000005</c:v>
                      </c:pt>
                      <c:pt idx="67">
                        <c:v>644</c:v>
                      </c:pt>
                      <c:pt idx="68">
                        <c:v>647.4</c:v>
                      </c:pt>
                      <c:pt idx="69">
                        <c:v>650.5</c:v>
                      </c:pt>
                      <c:pt idx="70">
                        <c:v>653.70000000000005</c:v>
                      </c:pt>
                      <c:pt idx="71">
                        <c:v>656.8</c:v>
                      </c:pt>
                      <c:pt idx="72">
                        <c:v>660.6</c:v>
                      </c:pt>
                      <c:pt idx="73">
                        <c:v>664.8</c:v>
                      </c:pt>
                      <c:pt idx="74">
                        <c:v>669.2</c:v>
                      </c:pt>
                      <c:pt idx="75">
                        <c:v>673.1</c:v>
                      </c:pt>
                      <c:pt idx="76">
                        <c:v>677.4</c:v>
                      </c:pt>
                      <c:pt idx="77">
                        <c:v>682.2</c:v>
                      </c:pt>
                      <c:pt idx="78">
                        <c:v>686.5</c:v>
                      </c:pt>
                      <c:pt idx="79">
                        <c:v>691.2</c:v>
                      </c:pt>
                      <c:pt idx="80">
                        <c:v>694.8</c:v>
                      </c:pt>
                      <c:pt idx="81">
                        <c:v>699.9</c:v>
                      </c:pt>
                      <c:pt idx="82">
                        <c:v>704</c:v>
                      </c:pt>
                      <c:pt idx="83">
                        <c:v>708.8</c:v>
                      </c:pt>
                      <c:pt idx="84">
                        <c:v>714.2</c:v>
                      </c:pt>
                      <c:pt idx="85">
                        <c:v>719.8</c:v>
                      </c:pt>
                      <c:pt idx="86">
                        <c:v>726.2</c:v>
                      </c:pt>
                      <c:pt idx="87">
                        <c:v>733.5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5C-4395-9C78-B97C184E9CD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Comparing'!$N$7</c15:sqref>
                        </c15:formulaRef>
                      </c:ext>
                    </c:extLst>
                    <c:strCache>
                      <c:ptCount val="1"/>
                      <c:pt idx="0">
                        <c:v>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Comparing'!$N$10:$N$107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95.5</c:v>
                      </c:pt>
                      <c:pt idx="1">
                        <c:v>125.7</c:v>
                      </c:pt>
                      <c:pt idx="2">
                        <c:v>155.6</c:v>
                      </c:pt>
                      <c:pt idx="3">
                        <c:v>174.7</c:v>
                      </c:pt>
                      <c:pt idx="4">
                        <c:v>190.5</c:v>
                      </c:pt>
                      <c:pt idx="5">
                        <c:v>203.2</c:v>
                      </c:pt>
                      <c:pt idx="6">
                        <c:v>216</c:v>
                      </c:pt>
                      <c:pt idx="7">
                        <c:v>226</c:v>
                      </c:pt>
                      <c:pt idx="8">
                        <c:v>235.1</c:v>
                      </c:pt>
                      <c:pt idx="9">
                        <c:v>245.2</c:v>
                      </c:pt>
                      <c:pt idx="10">
                        <c:v>253.3</c:v>
                      </c:pt>
                      <c:pt idx="11">
                        <c:v>262.5</c:v>
                      </c:pt>
                      <c:pt idx="12">
                        <c:v>270.2</c:v>
                      </c:pt>
                      <c:pt idx="13">
                        <c:v>278.8</c:v>
                      </c:pt>
                      <c:pt idx="14">
                        <c:v>286.39999999999998</c:v>
                      </c:pt>
                      <c:pt idx="15">
                        <c:v>294.10000000000002</c:v>
                      </c:pt>
                      <c:pt idx="16">
                        <c:v>301</c:v>
                      </c:pt>
                      <c:pt idx="17">
                        <c:v>308</c:v>
                      </c:pt>
                      <c:pt idx="18">
                        <c:v>314.89999999999998</c:v>
                      </c:pt>
                      <c:pt idx="19">
                        <c:v>321.3</c:v>
                      </c:pt>
                      <c:pt idx="20">
                        <c:v>328.2</c:v>
                      </c:pt>
                      <c:pt idx="21">
                        <c:v>334.2</c:v>
                      </c:pt>
                      <c:pt idx="22">
                        <c:v>340.8</c:v>
                      </c:pt>
                      <c:pt idx="23">
                        <c:v>346.4</c:v>
                      </c:pt>
                      <c:pt idx="24">
                        <c:v>352.3</c:v>
                      </c:pt>
                      <c:pt idx="25">
                        <c:v>357.5</c:v>
                      </c:pt>
                      <c:pt idx="26">
                        <c:v>363.2</c:v>
                      </c:pt>
                      <c:pt idx="27">
                        <c:v>368.5</c:v>
                      </c:pt>
                      <c:pt idx="28">
                        <c:v>375.1</c:v>
                      </c:pt>
                      <c:pt idx="29">
                        <c:v>381.5</c:v>
                      </c:pt>
                      <c:pt idx="30">
                        <c:v>388.2</c:v>
                      </c:pt>
                      <c:pt idx="31">
                        <c:v>393.9</c:v>
                      </c:pt>
                      <c:pt idx="32">
                        <c:v>399.4</c:v>
                      </c:pt>
                      <c:pt idx="33">
                        <c:v>404.7</c:v>
                      </c:pt>
                      <c:pt idx="34">
                        <c:v>410</c:v>
                      </c:pt>
                      <c:pt idx="35">
                        <c:v>415.6</c:v>
                      </c:pt>
                      <c:pt idx="36">
                        <c:v>421</c:v>
                      </c:pt>
                      <c:pt idx="37">
                        <c:v>427</c:v>
                      </c:pt>
                      <c:pt idx="38">
                        <c:v>432.5</c:v>
                      </c:pt>
                      <c:pt idx="39">
                        <c:v>438.1</c:v>
                      </c:pt>
                      <c:pt idx="40">
                        <c:v>443.3</c:v>
                      </c:pt>
                      <c:pt idx="41">
                        <c:v>448.5</c:v>
                      </c:pt>
                      <c:pt idx="42">
                        <c:v>454.3</c:v>
                      </c:pt>
                      <c:pt idx="43">
                        <c:v>459.9</c:v>
                      </c:pt>
                      <c:pt idx="44">
                        <c:v>465.4</c:v>
                      </c:pt>
                      <c:pt idx="45">
                        <c:v>471</c:v>
                      </c:pt>
                      <c:pt idx="46">
                        <c:v>476.4</c:v>
                      </c:pt>
                      <c:pt idx="47">
                        <c:v>481.9</c:v>
                      </c:pt>
                      <c:pt idx="48">
                        <c:v>487.5</c:v>
                      </c:pt>
                      <c:pt idx="49">
                        <c:v>493.2</c:v>
                      </c:pt>
                      <c:pt idx="50">
                        <c:v>498.4</c:v>
                      </c:pt>
                      <c:pt idx="51">
                        <c:v>503.4</c:v>
                      </c:pt>
                      <c:pt idx="52">
                        <c:v>508.3</c:v>
                      </c:pt>
                      <c:pt idx="53">
                        <c:v>513.70000000000005</c:v>
                      </c:pt>
                      <c:pt idx="54">
                        <c:v>519.1</c:v>
                      </c:pt>
                      <c:pt idx="55">
                        <c:v>524.20000000000005</c:v>
                      </c:pt>
                      <c:pt idx="56">
                        <c:v>529.1</c:v>
                      </c:pt>
                      <c:pt idx="57">
                        <c:v>533.9</c:v>
                      </c:pt>
                      <c:pt idx="58">
                        <c:v>538.70000000000005</c:v>
                      </c:pt>
                      <c:pt idx="59">
                        <c:v>543.29999999999995</c:v>
                      </c:pt>
                      <c:pt idx="60">
                        <c:v>548.1</c:v>
                      </c:pt>
                      <c:pt idx="61">
                        <c:v>552.79999999999995</c:v>
                      </c:pt>
                      <c:pt idx="62">
                        <c:v>557.4</c:v>
                      </c:pt>
                      <c:pt idx="63">
                        <c:v>561.79999999999995</c:v>
                      </c:pt>
                      <c:pt idx="64">
                        <c:v>566.1</c:v>
                      </c:pt>
                      <c:pt idx="65">
                        <c:v>570.20000000000005</c:v>
                      </c:pt>
                      <c:pt idx="66">
                        <c:v>574.20000000000005</c:v>
                      </c:pt>
                      <c:pt idx="67">
                        <c:v>578.5</c:v>
                      </c:pt>
                      <c:pt idx="68">
                        <c:v>582.9</c:v>
                      </c:pt>
                      <c:pt idx="69">
                        <c:v>587.20000000000005</c:v>
                      </c:pt>
                      <c:pt idx="70">
                        <c:v>591.6</c:v>
                      </c:pt>
                      <c:pt idx="71">
                        <c:v>596</c:v>
                      </c:pt>
                      <c:pt idx="72">
                        <c:v>600.5</c:v>
                      </c:pt>
                      <c:pt idx="73">
                        <c:v>605.29999999999995</c:v>
                      </c:pt>
                      <c:pt idx="74">
                        <c:v>610.29999999999995</c:v>
                      </c:pt>
                      <c:pt idx="75">
                        <c:v>615.29999999999995</c:v>
                      </c:pt>
                      <c:pt idx="76">
                        <c:v>620.9</c:v>
                      </c:pt>
                      <c:pt idx="77">
                        <c:v>626.4</c:v>
                      </c:pt>
                      <c:pt idx="78">
                        <c:v>632.1</c:v>
                      </c:pt>
                      <c:pt idx="79">
                        <c:v>638</c:v>
                      </c:pt>
                      <c:pt idx="80">
                        <c:v>644.6</c:v>
                      </c:pt>
                      <c:pt idx="81">
                        <c:v>651.6</c:v>
                      </c:pt>
                      <c:pt idx="82">
                        <c:v>658.6</c:v>
                      </c:pt>
                      <c:pt idx="83">
                        <c:v>667.9</c:v>
                      </c:pt>
                      <c:pt idx="84">
                        <c:v>677.4</c:v>
                      </c:pt>
                      <c:pt idx="85">
                        <c:v>688.1</c:v>
                      </c:pt>
                      <c:pt idx="86">
                        <c:v>698.6</c:v>
                      </c:pt>
                      <c:pt idx="87">
                        <c:v>709.6</c:v>
                      </c:pt>
                      <c:pt idx="88">
                        <c:v>722.6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5C-4395-9C78-B97C184E9CD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Comparing'!$O$7</c15:sqref>
                        </c15:formulaRef>
                      </c:ext>
                    </c:extLst>
                    <c:strCache>
                      <c:ptCount val="1"/>
                      <c:pt idx="0">
                        <c:v>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Comparing'!$O$10:$O$102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110.4</c:v>
                      </c:pt>
                      <c:pt idx="1">
                        <c:v>133.4</c:v>
                      </c:pt>
                      <c:pt idx="2">
                        <c:v>162.30000000000001</c:v>
                      </c:pt>
                      <c:pt idx="3">
                        <c:v>180.8</c:v>
                      </c:pt>
                      <c:pt idx="4">
                        <c:v>196.7</c:v>
                      </c:pt>
                      <c:pt idx="5">
                        <c:v>211.2</c:v>
                      </c:pt>
                      <c:pt idx="6">
                        <c:v>222.6</c:v>
                      </c:pt>
                      <c:pt idx="7">
                        <c:v>234</c:v>
                      </c:pt>
                      <c:pt idx="8">
                        <c:v>244.8</c:v>
                      </c:pt>
                      <c:pt idx="9">
                        <c:v>253.6</c:v>
                      </c:pt>
                      <c:pt idx="10">
                        <c:v>264</c:v>
                      </c:pt>
                      <c:pt idx="11">
                        <c:v>273.10000000000002</c:v>
                      </c:pt>
                      <c:pt idx="12">
                        <c:v>283</c:v>
                      </c:pt>
                      <c:pt idx="13">
                        <c:v>291.5</c:v>
                      </c:pt>
                      <c:pt idx="14">
                        <c:v>299.39999999999998</c:v>
                      </c:pt>
                      <c:pt idx="15">
                        <c:v>306.89999999999998</c:v>
                      </c:pt>
                      <c:pt idx="16">
                        <c:v>314.2</c:v>
                      </c:pt>
                      <c:pt idx="17">
                        <c:v>321.7</c:v>
                      </c:pt>
                      <c:pt idx="18">
                        <c:v>328.5</c:v>
                      </c:pt>
                      <c:pt idx="19">
                        <c:v>336.2</c:v>
                      </c:pt>
                      <c:pt idx="20">
                        <c:v>342.6</c:v>
                      </c:pt>
                      <c:pt idx="21">
                        <c:v>349.8</c:v>
                      </c:pt>
                      <c:pt idx="22">
                        <c:v>355.6</c:v>
                      </c:pt>
                      <c:pt idx="23">
                        <c:v>362.1</c:v>
                      </c:pt>
                      <c:pt idx="24">
                        <c:v>368</c:v>
                      </c:pt>
                      <c:pt idx="25">
                        <c:v>375.3</c:v>
                      </c:pt>
                      <c:pt idx="26">
                        <c:v>382.2</c:v>
                      </c:pt>
                      <c:pt idx="27">
                        <c:v>389</c:v>
                      </c:pt>
                      <c:pt idx="28">
                        <c:v>395.6</c:v>
                      </c:pt>
                      <c:pt idx="29">
                        <c:v>401.3</c:v>
                      </c:pt>
                      <c:pt idx="30">
                        <c:v>407.5</c:v>
                      </c:pt>
                      <c:pt idx="31">
                        <c:v>413.1</c:v>
                      </c:pt>
                      <c:pt idx="32">
                        <c:v>419</c:v>
                      </c:pt>
                      <c:pt idx="33">
                        <c:v>425.4</c:v>
                      </c:pt>
                      <c:pt idx="34">
                        <c:v>431.3</c:v>
                      </c:pt>
                      <c:pt idx="35">
                        <c:v>437.2</c:v>
                      </c:pt>
                      <c:pt idx="36">
                        <c:v>442.9</c:v>
                      </c:pt>
                      <c:pt idx="37">
                        <c:v>448.4</c:v>
                      </c:pt>
                      <c:pt idx="38">
                        <c:v>454.4</c:v>
                      </c:pt>
                      <c:pt idx="39">
                        <c:v>460.3</c:v>
                      </c:pt>
                      <c:pt idx="40">
                        <c:v>466.1</c:v>
                      </c:pt>
                      <c:pt idx="41">
                        <c:v>471.7</c:v>
                      </c:pt>
                      <c:pt idx="42">
                        <c:v>477.5</c:v>
                      </c:pt>
                      <c:pt idx="43">
                        <c:v>483.1</c:v>
                      </c:pt>
                      <c:pt idx="44">
                        <c:v>488.8</c:v>
                      </c:pt>
                      <c:pt idx="45">
                        <c:v>494.6</c:v>
                      </c:pt>
                      <c:pt idx="46">
                        <c:v>499.9</c:v>
                      </c:pt>
                      <c:pt idx="47">
                        <c:v>504.9</c:v>
                      </c:pt>
                      <c:pt idx="48">
                        <c:v>510</c:v>
                      </c:pt>
                      <c:pt idx="49">
                        <c:v>515.4</c:v>
                      </c:pt>
                      <c:pt idx="50">
                        <c:v>520.79999999999995</c:v>
                      </c:pt>
                      <c:pt idx="51">
                        <c:v>525.79999999999995</c:v>
                      </c:pt>
                      <c:pt idx="52">
                        <c:v>530.6</c:v>
                      </c:pt>
                      <c:pt idx="53">
                        <c:v>535.29999999999995</c:v>
                      </c:pt>
                      <c:pt idx="54">
                        <c:v>539.9</c:v>
                      </c:pt>
                      <c:pt idx="55">
                        <c:v>544.4</c:v>
                      </c:pt>
                      <c:pt idx="56">
                        <c:v>549</c:v>
                      </c:pt>
                      <c:pt idx="57">
                        <c:v>553.5</c:v>
                      </c:pt>
                      <c:pt idx="58">
                        <c:v>557.79999999999995</c:v>
                      </c:pt>
                      <c:pt idx="59">
                        <c:v>561.79999999999995</c:v>
                      </c:pt>
                      <c:pt idx="60">
                        <c:v>565.79999999999995</c:v>
                      </c:pt>
                      <c:pt idx="61">
                        <c:v>569.5</c:v>
                      </c:pt>
                      <c:pt idx="62">
                        <c:v>573.20000000000005</c:v>
                      </c:pt>
                      <c:pt idx="63">
                        <c:v>577.1</c:v>
                      </c:pt>
                      <c:pt idx="64">
                        <c:v>581</c:v>
                      </c:pt>
                      <c:pt idx="65">
                        <c:v>584.9</c:v>
                      </c:pt>
                      <c:pt idx="66">
                        <c:v>588.79999999999995</c:v>
                      </c:pt>
                      <c:pt idx="67">
                        <c:v>592.79999999999995</c:v>
                      </c:pt>
                      <c:pt idx="68">
                        <c:v>596.70000000000005</c:v>
                      </c:pt>
                      <c:pt idx="69">
                        <c:v>600.79999999999995</c:v>
                      </c:pt>
                      <c:pt idx="70">
                        <c:v>605.1</c:v>
                      </c:pt>
                      <c:pt idx="71">
                        <c:v>609.5</c:v>
                      </c:pt>
                      <c:pt idx="72">
                        <c:v>614</c:v>
                      </c:pt>
                      <c:pt idx="73">
                        <c:v>618.9</c:v>
                      </c:pt>
                      <c:pt idx="74">
                        <c:v>623.9</c:v>
                      </c:pt>
                      <c:pt idx="75">
                        <c:v>628.9</c:v>
                      </c:pt>
                      <c:pt idx="76">
                        <c:v>634.1</c:v>
                      </c:pt>
                      <c:pt idx="77">
                        <c:v>639.6</c:v>
                      </c:pt>
                      <c:pt idx="78">
                        <c:v>645.70000000000005</c:v>
                      </c:pt>
                      <c:pt idx="79">
                        <c:v>651.9</c:v>
                      </c:pt>
                      <c:pt idx="80">
                        <c:v>658</c:v>
                      </c:pt>
                      <c:pt idx="81">
                        <c:v>666.2</c:v>
                      </c:pt>
                      <c:pt idx="82">
                        <c:v>674.4</c:v>
                      </c:pt>
                      <c:pt idx="83">
                        <c:v>684</c:v>
                      </c:pt>
                      <c:pt idx="84">
                        <c:v>693</c:v>
                      </c:pt>
                      <c:pt idx="85">
                        <c:v>702.7</c:v>
                      </c:pt>
                      <c:pt idx="86">
                        <c:v>713.1</c:v>
                      </c:pt>
                      <c:pt idx="87">
                        <c:v>724.8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5C-4395-9C78-B97C184E9CD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Comparing'!$P$7</c15:sqref>
                        </c15:formulaRef>
                      </c:ext>
                    </c:extLst>
                    <c:strCache>
                      <c:ptCount val="1"/>
                      <c:pt idx="0">
                        <c:v>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Comparing'!$P$10:$P$102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111.6</c:v>
                      </c:pt>
                      <c:pt idx="1">
                        <c:v>136.19999999999999</c:v>
                      </c:pt>
                      <c:pt idx="2">
                        <c:v>162.80000000000001</c:v>
                      </c:pt>
                      <c:pt idx="3">
                        <c:v>181.4</c:v>
                      </c:pt>
                      <c:pt idx="4">
                        <c:v>196.4</c:v>
                      </c:pt>
                      <c:pt idx="5">
                        <c:v>209.9</c:v>
                      </c:pt>
                      <c:pt idx="6">
                        <c:v>220.8</c:v>
                      </c:pt>
                      <c:pt idx="7">
                        <c:v>231.5</c:v>
                      </c:pt>
                      <c:pt idx="8">
                        <c:v>241.8</c:v>
                      </c:pt>
                      <c:pt idx="9">
                        <c:v>250.5</c:v>
                      </c:pt>
                      <c:pt idx="10">
                        <c:v>260.3</c:v>
                      </c:pt>
                      <c:pt idx="11">
                        <c:v>268.3</c:v>
                      </c:pt>
                      <c:pt idx="12">
                        <c:v>278.10000000000002</c:v>
                      </c:pt>
                      <c:pt idx="13">
                        <c:v>286.39999999999998</c:v>
                      </c:pt>
                      <c:pt idx="14">
                        <c:v>294.60000000000002</c:v>
                      </c:pt>
                      <c:pt idx="15">
                        <c:v>301.60000000000002</c:v>
                      </c:pt>
                      <c:pt idx="16">
                        <c:v>309.5</c:v>
                      </c:pt>
                      <c:pt idx="17">
                        <c:v>316</c:v>
                      </c:pt>
                      <c:pt idx="18">
                        <c:v>323.7</c:v>
                      </c:pt>
                      <c:pt idx="19">
                        <c:v>330.2</c:v>
                      </c:pt>
                      <c:pt idx="20">
                        <c:v>337.5</c:v>
                      </c:pt>
                      <c:pt idx="21">
                        <c:v>343.9</c:v>
                      </c:pt>
                      <c:pt idx="22">
                        <c:v>350.3</c:v>
                      </c:pt>
                      <c:pt idx="23">
                        <c:v>355.9</c:v>
                      </c:pt>
                      <c:pt idx="24">
                        <c:v>361.9</c:v>
                      </c:pt>
                      <c:pt idx="25">
                        <c:v>367.7</c:v>
                      </c:pt>
                      <c:pt idx="26">
                        <c:v>374.1</c:v>
                      </c:pt>
                      <c:pt idx="27">
                        <c:v>381.5</c:v>
                      </c:pt>
                      <c:pt idx="28">
                        <c:v>388.1</c:v>
                      </c:pt>
                      <c:pt idx="29">
                        <c:v>394.7</c:v>
                      </c:pt>
                      <c:pt idx="30">
                        <c:v>400.2</c:v>
                      </c:pt>
                      <c:pt idx="31">
                        <c:v>406.1</c:v>
                      </c:pt>
                      <c:pt idx="32">
                        <c:v>411.5</c:v>
                      </c:pt>
                      <c:pt idx="33">
                        <c:v>417.2</c:v>
                      </c:pt>
                      <c:pt idx="34">
                        <c:v>423.4</c:v>
                      </c:pt>
                      <c:pt idx="35">
                        <c:v>429.2</c:v>
                      </c:pt>
                      <c:pt idx="36">
                        <c:v>435</c:v>
                      </c:pt>
                      <c:pt idx="37">
                        <c:v>440.4</c:v>
                      </c:pt>
                      <c:pt idx="38">
                        <c:v>445.8</c:v>
                      </c:pt>
                      <c:pt idx="39">
                        <c:v>451.6</c:v>
                      </c:pt>
                      <c:pt idx="40">
                        <c:v>457.2</c:v>
                      </c:pt>
                      <c:pt idx="41">
                        <c:v>462.8</c:v>
                      </c:pt>
                      <c:pt idx="42">
                        <c:v>468.5</c:v>
                      </c:pt>
                      <c:pt idx="43">
                        <c:v>473.8</c:v>
                      </c:pt>
                      <c:pt idx="44">
                        <c:v>479.2</c:v>
                      </c:pt>
                      <c:pt idx="45">
                        <c:v>484.6</c:v>
                      </c:pt>
                      <c:pt idx="46">
                        <c:v>490.2</c:v>
                      </c:pt>
                      <c:pt idx="47">
                        <c:v>495.6</c:v>
                      </c:pt>
                      <c:pt idx="48">
                        <c:v>500.4</c:v>
                      </c:pt>
                      <c:pt idx="49">
                        <c:v>505.2</c:v>
                      </c:pt>
                      <c:pt idx="50">
                        <c:v>510</c:v>
                      </c:pt>
                      <c:pt idx="51">
                        <c:v>515.1</c:v>
                      </c:pt>
                      <c:pt idx="52">
                        <c:v>520.1</c:v>
                      </c:pt>
                      <c:pt idx="53">
                        <c:v>524.79999999999995</c:v>
                      </c:pt>
                      <c:pt idx="54">
                        <c:v>529.29999999999995</c:v>
                      </c:pt>
                      <c:pt idx="55">
                        <c:v>533.70000000000005</c:v>
                      </c:pt>
                      <c:pt idx="56">
                        <c:v>538</c:v>
                      </c:pt>
                      <c:pt idx="57">
                        <c:v>542.20000000000005</c:v>
                      </c:pt>
                      <c:pt idx="58">
                        <c:v>546.4</c:v>
                      </c:pt>
                      <c:pt idx="59">
                        <c:v>550.5</c:v>
                      </c:pt>
                      <c:pt idx="60">
                        <c:v>554.6</c:v>
                      </c:pt>
                      <c:pt idx="61">
                        <c:v>558.5</c:v>
                      </c:pt>
                      <c:pt idx="62">
                        <c:v>562.20000000000005</c:v>
                      </c:pt>
                      <c:pt idx="63">
                        <c:v>565.9</c:v>
                      </c:pt>
                      <c:pt idx="64">
                        <c:v>569.29999999999995</c:v>
                      </c:pt>
                      <c:pt idx="65">
                        <c:v>572.70000000000005</c:v>
                      </c:pt>
                      <c:pt idx="66">
                        <c:v>576.20000000000005</c:v>
                      </c:pt>
                      <c:pt idx="67">
                        <c:v>579.79999999999995</c:v>
                      </c:pt>
                      <c:pt idx="68">
                        <c:v>583.5</c:v>
                      </c:pt>
                      <c:pt idx="69">
                        <c:v>587</c:v>
                      </c:pt>
                      <c:pt idx="70">
                        <c:v>590.6</c:v>
                      </c:pt>
                      <c:pt idx="71">
                        <c:v>594.29999999999995</c:v>
                      </c:pt>
                      <c:pt idx="72">
                        <c:v>598</c:v>
                      </c:pt>
                      <c:pt idx="73">
                        <c:v>601.79999999999995</c:v>
                      </c:pt>
                      <c:pt idx="74">
                        <c:v>605.79999999999995</c:v>
                      </c:pt>
                      <c:pt idx="75">
                        <c:v>609.9</c:v>
                      </c:pt>
                      <c:pt idx="76">
                        <c:v>614.1</c:v>
                      </c:pt>
                      <c:pt idx="77">
                        <c:v>618.6</c:v>
                      </c:pt>
                      <c:pt idx="78">
                        <c:v>623.20000000000005</c:v>
                      </c:pt>
                      <c:pt idx="79">
                        <c:v>628</c:v>
                      </c:pt>
                      <c:pt idx="80">
                        <c:v>632.79999999999995</c:v>
                      </c:pt>
                      <c:pt idx="81">
                        <c:v>638</c:v>
                      </c:pt>
                      <c:pt idx="82">
                        <c:v>643.70000000000005</c:v>
                      </c:pt>
                      <c:pt idx="83">
                        <c:v>649.70000000000005</c:v>
                      </c:pt>
                      <c:pt idx="84">
                        <c:v>655.7</c:v>
                      </c:pt>
                      <c:pt idx="85">
                        <c:v>662.9</c:v>
                      </c:pt>
                      <c:pt idx="86">
                        <c:v>671.4</c:v>
                      </c:pt>
                      <c:pt idx="87">
                        <c:v>680.7</c:v>
                      </c:pt>
                      <c:pt idx="88">
                        <c:v>690.4</c:v>
                      </c:pt>
                      <c:pt idx="89">
                        <c:v>700.8</c:v>
                      </c:pt>
                      <c:pt idx="90">
                        <c:v>712.8</c:v>
                      </c:pt>
                      <c:pt idx="91">
                        <c:v>729.3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5C-4395-9C78-B97C184E9CD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Comparing'!$Q$7</c15:sqref>
                        </c15:formulaRef>
                      </c:ext>
                    </c:extLst>
                    <c:strCache>
                      <c:ptCount val="1"/>
                      <c:pt idx="0">
                        <c:v>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6"/>
                  <c:marker>
                    <c:symbol val="none"/>
                  </c:marker>
                  <c:bubble3D val="0"/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7EE2-430F-A33C-08BD321A04AC}"/>
                    </c:ext>
                  </c:extLst>
                </c:dPt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Comparing'!$Q$10:$Q$98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109.6</c:v>
                      </c:pt>
                      <c:pt idx="1">
                        <c:v>135.4</c:v>
                      </c:pt>
                      <c:pt idx="2">
                        <c:v>164.5</c:v>
                      </c:pt>
                      <c:pt idx="3">
                        <c:v>184.4</c:v>
                      </c:pt>
                      <c:pt idx="4">
                        <c:v>200.6</c:v>
                      </c:pt>
                      <c:pt idx="5">
                        <c:v>215.6</c:v>
                      </c:pt>
                      <c:pt idx="6">
                        <c:v>227.3</c:v>
                      </c:pt>
                      <c:pt idx="7">
                        <c:v>238.1</c:v>
                      </c:pt>
                      <c:pt idx="8">
                        <c:v>249.9</c:v>
                      </c:pt>
                      <c:pt idx="9">
                        <c:v>260</c:v>
                      </c:pt>
                      <c:pt idx="10">
                        <c:v>270</c:v>
                      </c:pt>
                      <c:pt idx="11">
                        <c:v>280.2</c:v>
                      </c:pt>
                      <c:pt idx="12">
                        <c:v>289.60000000000002</c:v>
                      </c:pt>
                      <c:pt idx="13">
                        <c:v>298.89999999999998</c:v>
                      </c:pt>
                      <c:pt idx="14">
                        <c:v>307.10000000000002</c:v>
                      </c:pt>
                      <c:pt idx="15">
                        <c:v>315.2</c:v>
                      </c:pt>
                      <c:pt idx="16">
                        <c:v>323.3</c:v>
                      </c:pt>
                      <c:pt idx="17">
                        <c:v>330.6</c:v>
                      </c:pt>
                      <c:pt idx="18">
                        <c:v>339.1</c:v>
                      </c:pt>
                      <c:pt idx="19">
                        <c:v>346.3</c:v>
                      </c:pt>
                      <c:pt idx="20">
                        <c:v>353.6</c:v>
                      </c:pt>
                      <c:pt idx="21">
                        <c:v>359.8</c:v>
                      </c:pt>
                      <c:pt idx="22">
                        <c:v>366.1</c:v>
                      </c:pt>
                      <c:pt idx="23">
                        <c:v>374</c:v>
                      </c:pt>
                      <c:pt idx="24">
                        <c:v>381.7</c:v>
                      </c:pt>
                      <c:pt idx="25">
                        <c:v>389.7</c:v>
                      </c:pt>
                      <c:pt idx="26">
                        <c:v>396.3</c:v>
                      </c:pt>
                      <c:pt idx="27">
                        <c:v>402.4</c:v>
                      </c:pt>
                      <c:pt idx="28">
                        <c:v>409.2</c:v>
                      </c:pt>
                      <c:pt idx="29">
                        <c:v>415.4</c:v>
                      </c:pt>
                      <c:pt idx="30">
                        <c:v>421.8</c:v>
                      </c:pt>
                      <c:pt idx="31">
                        <c:v>428.8</c:v>
                      </c:pt>
                      <c:pt idx="32">
                        <c:v>434.9</c:v>
                      </c:pt>
                      <c:pt idx="33">
                        <c:v>440.9</c:v>
                      </c:pt>
                      <c:pt idx="34">
                        <c:v>447.2</c:v>
                      </c:pt>
                      <c:pt idx="35">
                        <c:v>453.5</c:v>
                      </c:pt>
                      <c:pt idx="36">
                        <c:v>459.8</c:v>
                      </c:pt>
                      <c:pt idx="37">
                        <c:v>466</c:v>
                      </c:pt>
                      <c:pt idx="38">
                        <c:v>472.2</c:v>
                      </c:pt>
                      <c:pt idx="39">
                        <c:v>478.2</c:v>
                      </c:pt>
                      <c:pt idx="40">
                        <c:v>484.3</c:v>
                      </c:pt>
                      <c:pt idx="41">
                        <c:v>490.5</c:v>
                      </c:pt>
                      <c:pt idx="42">
                        <c:v>496.6</c:v>
                      </c:pt>
                      <c:pt idx="43">
                        <c:v>502</c:v>
                      </c:pt>
                      <c:pt idx="44">
                        <c:v>507.4</c:v>
                      </c:pt>
                      <c:pt idx="45">
                        <c:v>513</c:v>
                      </c:pt>
                      <c:pt idx="46">
                        <c:v>518.79999999999995</c:v>
                      </c:pt>
                      <c:pt idx="47">
                        <c:v>524.20000000000005</c:v>
                      </c:pt>
                      <c:pt idx="48">
                        <c:v>529.4</c:v>
                      </c:pt>
                      <c:pt idx="49">
                        <c:v>534.4</c:v>
                      </c:pt>
                      <c:pt idx="50">
                        <c:v>539.29999999999995</c:v>
                      </c:pt>
                      <c:pt idx="51">
                        <c:v>544.20000000000005</c:v>
                      </c:pt>
                      <c:pt idx="52">
                        <c:v>549</c:v>
                      </c:pt>
                      <c:pt idx="53">
                        <c:v>553.70000000000005</c:v>
                      </c:pt>
                      <c:pt idx="54">
                        <c:v>558.20000000000005</c:v>
                      </c:pt>
                      <c:pt idx="55">
                        <c:v>562.5</c:v>
                      </c:pt>
                      <c:pt idx="56">
                        <c:v>566.70000000000005</c:v>
                      </c:pt>
                      <c:pt idx="57">
                        <c:v>570.6</c:v>
                      </c:pt>
                      <c:pt idx="58">
                        <c:v>574.5</c:v>
                      </c:pt>
                      <c:pt idx="59">
                        <c:v>578.5</c:v>
                      </c:pt>
                      <c:pt idx="60">
                        <c:v>582.6</c:v>
                      </c:pt>
                      <c:pt idx="61">
                        <c:v>586.6</c:v>
                      </c:pt>
                      <c:pt idx="62">
                        <c:v>590.70000000000005</c:v>
                      </c:pt>
                      <c:pt idx="63">
                        <c:v>594.70000000000005</c:v>
                      </c:pt>
                      <c:pt idx="64">
                        <c:v>598.79999999999995</c:v>
                      </c:pt>
                      <c:pt idx="65">
                        <c:v>603.1</c:v>
                      </c:pt>
                      <c:pt idx="66">
                        <c:v>607.6</c:v>
                      </c:pt>
                      <c:pt idx="67">
                        <c:v>612.1</c:v>
                      </c:pt>
                      <c:pt idx="68">
                        <c:v>616.79999999999995</c:v>
                      </c:pt>
                      <c:pt idx="69">
                        <c:v>621.9</c:v>
                      </c:pt>
                      <c:pt idx="70">
                        <c:v>626.9</c:v>
                      </c:pt>
                      <c:pt idx="71">
                        <c:v>632.1</c:v>
                      </c:pt>
                      <c:pt idx="72">
                        <c:v>637.6</c:v>
                      </c:pt>
                      <c:pt idx="73">
                        <c:v>643.6</c:v>
                      </c:pt>
                      <c:pt idx="74">
                        <c:v>650</c:v>
                      </c:pt>
                      <c:pt idx="75">
                        <c:v>656.4</c:v>
                      </c:pt>
                      <c:pt idx="76">
                        <c:v>664.5</c:v>
                      </c:pt>
                      <c:pt idx="77">
                        <c:v>673.5</c:v>
                      </c:pt>
                      <c:pt idx="78">
                        <c:v>684</c:v>
                      </c:pt>
                      <c:pt idx="79">
                        <c:v>694.5</c:v>
                      </c:pt>
                      <c:pt idx="80">
                        <c:v>706.9</c:v>
                      </c:pt>
                      <c:pt idx="81">
                        <c:v>724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5C-4395-9C78-B97C184E9CD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Comparing'!$R$7</c15:sqref>
                        </c15:formulaRef>
                      </c:ext>
                    </c:extLst>
                    <c:strCache>
                      <c:ptCount val="1"/>
                      <c:pt idx="0">
                        <c:v>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Comparing'!$R$10:$R$89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113.9</c:v>
                      </c:pt>
                      <c:pt idx="1">
                        <c:v>137.80000000000001</c:v>
                      </c:pt>
                      <c:pt idx="2">
                        <c:v>163.19999999999999</c:v>
                      </c:pt>
                      <c:pt idx="3">
                        <c:v>181.5</c:v>
                      </c:pt>
                      <c:pt idx="4">
                        <c:v>196.9</c:v>
                      </c:pt>
                      <c:pt idx="5">
                        <c:v>211</c:v>
                      </c:pt>
                      <c:pt idx="6">
                        <c:v>222.2</c:v>
                      </c:pt>
                      <c:pt idx="7">
                        <c:v>232.1</c:v>
                      </c:pt>
                      <c:pt idx="8">
                        <c:v>244.3</c:v>
                      </c:pt>
                      <c:pt idx="9">
                        <c:v>253.8</c:v>
                      </c:pt>
                      <c:pt idx="10">
                        <c:v>264.8</c:v>
                      </c:pt>
                      <c:pt idx="11">
                        <c:v>274.10000000000002</c:v>
                      </c:pt>
                      <c:pt idx="12">
                        <c:v>283.10000000000002</c:v>
                      </c:pt>
                      <c:pt idx="13">
                        <c:v>292.8</c:v>
                      </c:pt>
                      <c:pt idx="14">
                        <c:v>301</c:v>
                      </c:pt>
                      <c:pt idx="15">
                        <c:v>310</c:v>
                      </c:pt>
                      <c:pt idx="16">
                        <c:v>317.3</c:v>
                      </c:pt>
                      <c:pt idx="17">
                        <c:v>325.10000000000002</c:v>
                      </c:pt>
                      <c:pt idx="18">
                        <c:v>333.3</c:v>
                      </c:pt>
                      <c:pt idx="19">
                        <c:v>340.7</c:v>
                      </c:pt>
                      <c:pt idx="20">
                        <c:v>349</c:v>
                      </c:pt>
                      <c:pt idx="21">
                        <c:v>356</c:v>
                      </c:pt>
                      <c:pt idx="22">
                        <c:v>363.3</c:v>
                      </c:pt>
                      <c:pt idx="23">
                        <c:v>370.6</c:v>
                      </c:pt>
                      <c:pt idx="24">
                        <c:v>377.3</c:v>
                      </c:pt>
                      <c:pt idx="25">
                        <c:v>384.7</c:v>
                      </c:pt>
                      <c:pt idx="26">
                        <c:v>391.2</c:v>
                      </c:pt>
                      <c:pt idx="27">
                        <c:v>397.6</c:v>
                      </c:pt>
                      <c:pt idx="28">
                        <c:v>404.9</c:v>
                      </c:pt>
                      <c:pt idx="29">
                        <c:v>411.4</c:v>
                      </c:pt>
                      <c:pt idx="30">
                        <c:v>417.5</c:v>
                      </c:pt>
                      <c:pt idx="31">
                        <c:v>424.1</c:v>
                      </c:pt>
                      <c:pt idx="32">
                        <c:v>430.2</c:v>
                      </c:pt>
                      <c:pt idx="33">
                        <c:v>436.4</c:v>
                      </c:pt>
                      <c:pt idx="34">
                        <c:v>442.9</c:v>
                      </c:pt>
                      <c:pt idx="35">
                        <c:v>449.2</c:v>
                      </c:pt>
                      <c:pt idx="36">
                        <c:v>455.3</c:v>
                      </c:pt>
                      <c:pt idx="37">
                        <c:v>461.4</c:v>
                      </c:pt>
                      <c:pt idx="38">
                        <c:v>467.8</c:v>
                      </c:pt>
                      <c:pt idx="39">
                        <c:v>474</c:v>
                      </c:pt>
                      <c:pt idx="40">
                        <c:v>480</c:v>
                      </c:pt>
                      <c:pt idx="41">
                        <c:v>486.2</c:v>
                      </c:pt>
                      <c:pt idx="42">
                        <c:v>492.3</c:v>
                      </c:pt>
                      <c:pt idx="43">
                        <c:v>498.2</c:v>
                      </c:pt>
                      <c:pt idx="44">
                        <c:v>503.6</c:v>
                      </c:pt>
                      <c:pt idx="45">
                        <c:v>509.1</c:v>
                      </c:pt>
                      <c:pt idx="46">
                        <c:v>514.9</c:v>
                      </c:pt>
                      <c:pt idx="47">
                        <c:v>520.6</c:v>
                      </c:pt>
                      <c:pt idx="48">
                        <c:v>525.9</c:v>
                      </c:pt>
                      <c:pt idx="49">
                        <c:v>531.1</c:v>
                      </c:pt>
                      <c:pt idx="50">
                        <c:v>536.1</c:v>
                      </c:pt>
                      <c:pt idx="51">
                        <c:v>540.79999999999995</c:v>
                      </c:pt>
                      <c:pt idx="52">
                        <c:v>545.6</c:v>
                      </c:pt>
                      <c:pt idx="53">
                        <c:v>550.4</c:v>
                      </c:pt>
                      <c:pt idx="54">
                        <c:v>555.20000000000005</c:v>
                      </c:pt>
                      <c:pt idx="55">
                        <c:v>559.6</c:v>
                      </c:pt>
                      <c:pt idx="56">
                        <c:v>563.9</c:v>
                      </c:pt>
                      <c:pt idx="57">
                        <c:v>567.9</c:v>
                      </c:pt>
                      <c:pt idx="58">
                        <c:v>571.9</c:v>
                      </c:pt>
                      <c:pt idx="59">
                        <c:v>575.79999999999995</c:v>
                      </c:pt>
                      <c:pt idx="60">
                        <c:v>580</c:v>
                      </c:pt>
                      <c:pt idx="61">
                        <c:v>584.20000000000005</c:v>
                      </c:pt>
                      <c:pt idx="62">
                        <c:v>588.4</c:v>
                      </c:pt>
                      <c:pt idx="63">
                        <c:v>592.70000000000005</c:v>
                      </c:pt>
                      <c:pt idx="64">
                        <c:v>596.9</c:v>
                      </c:pt>
                      <c:pt idx="65">
                        <c:v>601.29999999999995</c:v>
                      </c:pt>
                      <c:pt idx="66">
                        <c:v>606.1</c:v>
                      </c:pt>
                      <c:pt idx="67">
                        <c:v>610.79999999999995</c:v>
                      </c:pt>
                      <c:pt idx="68">
                        <c:v>615.70000000000005</c:v>
                      </c:pt>
                      <c:pt idx="69">
                        <c:v>621.1</c:v>
                      </c:pt>
                      <c:pt idx="70">
                        <c:v>626.6</c:v>
                      </c:pt>
                      <c:pt idx="71">
                        <c:v>632.20000000000005</c:v>
                      </c:pt>
                      <c:pt idx="72">
                        <c:v>638.1</c:v>
                      </c:pt>
                      <c:pt idx="73">
                        <c:v>644.79999999999995</c:v>
                      </c:pt>
                      <c:pt idx="74">
                        <c:v>651.79999999999995</c:v>
                      </c:pt>
                      <c:pt idx="75">
                        <c:v>659</c:v>
                      </c:pt>
                      <c:pt idx="76">
                        <c:v>668.8</c:v>
                      </c:pt>
                      <c:pt idx="77">
                        <c:v>679.5</c:v>
                      </c:pt>
                      <c:pt idx="78">
                        <c:v>691.9</c:v>
                      </c:pt>
                      <c:pt idx="79">
                        <c:v>707.8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A5C-4395-9C78-B97C184E9CD7}"/>
                  </c:ext>
                </c:extLst>
              </c15:ser>
            </c15:filteredScatterSeries>
            <c15:filteredScatterSeries>
              <c15:ser>
                <c:idx val="10"/>
                <c:order val="10"/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Comparing'!$D$10:$N$110</c15:sqref>
                        </c15:formulaRef>
                      </c:ext>
                    </c:extLst>
                    <c:multiLvlStrCache>
                      <c:ptCount val="101"/>
                      <c:lvl>
                        <c:pt idx="0">
                          <c:v>95.5</c:v>
                        </c:pt>
                        <c:pt idx="1">
                          <c:v>125.7</c:v>
                        </c:pt>
                        <c:pt idx="2">
                          <c:v>155.6</c:v>
                        </c:pt>
                        <c:pt idx="3">
                          <c:v>174.7</c:v>
                        </c:pt>
                        <c:pt idx="4">
                          <c:v>190.5</c:v>
                        </c:pt>
                        <c:pt idx="5">
                          <c:v>203.2</c:v>
                        </c:pt>
                        <c:pt idx="6">
                          <c:v>216</c:v>
                        </c:pt>
                        <c:pt idx="7">
                          <c:v>226</c:v>
                        </c:pt>
                        <c:pt idx="8">
                          <c:v>235.1</c:v>
                        </c:pt>
                        <c:pt idx="9">
                          <c:v>245.2</c:v>
                        </c:pt>
                        <c:pt idx="10">
                          <c:v>253.3</c:v>
                        </c:pt>
                        <c:pt idx="11">
                          <c:v>262.5</c:v>
                        </c:pt>
                        <c:pt idx="12">
                          <c:v>270.2</c:v>
                        </c:pt>
                        <c:pt idx="13">
                          <c:v>278.8</c:v>
                        </c:pt>
                        <c:pt idx="14">
                          <c:v>286.4</c:v>
                        </c:pt>
                        <c:pt idx="15">
                          <c:v>294.1</c:v>
                        </c:pt>
                        <c:pt idx="16">
                          <c:v>301</c:v>
                        </c:pt>
                        <c:pt idx="17">
                          <c:v>308</c:v>
                        </c:pt>
                        <c:pt idx="18">
                          <c:v>314.9</c:v>
                        </c:pt>
                        <c:pt idx="19">
                          <c:v>321.3</c:v>
                        </c:pt>
                        <c:pt idx="20">
                          <c:v>328.2</c:v>
                        </c:pt>
                        <c:pt idx="21">
                          <c:v>334.2</c:v>
                        </c:pt>
                        <c:pt idx="22">
                          <c:v>340.8</c:v>
                        </c:pt>
                        <c:pt idx="23">
                          <c:v>346.4</c:v>
                        </c:pt>
                        <c:pt idx="24">
                          <c:v>352.3</c:v>
                        </c:pt>
                        <c:pt idx="25">
                          <c:v>357.5</c:v>
                        </c:pt>
                        <c:pt idx="26">
                          <c:v>363.2</c:v>
                        </c:pt>
                        <c:pt idx="27">
                          <c:v>368.5</c:v>
                        </c:pt>
                        <c:pt idx="28">
                          <c:v>375.1</c:v>
                        </c:pt>
                        <c:pt idx="29">
                          <c:v>381.5</c:v>
                        </c:pt>
                        <c:pt idx="30">
                          <c:v>388.2</c:v>
                        </c:pt>
                        <c:pt idx="31">
                          <c:v>393.9</c:v>
                        </c:pt>
                        <c:pt idx="32">
                          <c:v>399.4</c:v>
                        </c:pt>
                        <c:pt idx="33">
                          <c:v>404.7</c:v>
                        </c:pt>
                        <c:pt idx="34">
                          <c:v>410</c:v>
                        </c:pt>
                        <c:pt idx="35">
                          <c:v>415.6</c:v>
                        </c:pt>
                        <c:pt idx="36">
                          <c:v>421</c:v>
                        </c:pt>
                        <c:pt idx="37">
                          <c:v>427</c:v>
                        </c:pt>
                        <c:pt idx="38">
                          <c:v>432.5</c:v>
                        </c:pt>
                        <c:pt idx="39">
                          <c:v>438.1</c:v>
                        </c:pt>
                        <c:pt idx="40">
                          <c:v>443.3</c:v>
                        </c:pt>
                        <c:pt idx="41">
                          <c:v>448.5</c:v>
                        </c:pt>
                        <c:pt idx="42">
                          <c:v>454.3</c:v>
                        </c:pt>
                        <c:pt idx="43">
                          <c:v>459.9</c:v>
                        </c:pt>
                        <c:pt idx="44">
                          <c:v>465.4</c:v>
                        </c:pt>
                        <c:pt idx="45">
                          <c:v>471</c:v>
                        </c:pt>
                        <c:pt idx="46">
                          <c:v>476.4</c:v>
                        </c:pt>
                        <c:pt idx="47">
                          <c:v>481.9</c:v>
                        </c:pt>
                        <c:pt idx="48">
                          <c:v>487.5</c:v>
                        </c:pt>
                        <c:pt idx="49">
                          <c:v>493.2</c:v>
                        </c:pt>
                        <c:pt idx="50">
                          <c:v>498.4</c:v>
                        </c:pt>
                        <c:pt idx="51">
                          <c:v>503.4</c:v>
                        </c:pt>
                        <c:pt idx="52">
                          <c:v>508.3</c:v>
                        </c:pt>
                        <c:pt idx="53">
                          <c:v>513.7</c:v>
                        </c:pt>
                        <c:pt idx="54">
                          <c:v>519.1</c:v>
                        </c:pt>
                        <c:pt idx="55">
                          <c:v>524.2</c:v>
                        </c:pt>
                        <c:pt idx="56">
                          <c:v>529.1</c:v>
                        </c:pt>
                        <c:pt idx="57">
                          <c:v>533.9</c:v>
                        </c:pt>
                        <c:pt idx="58">
                          <c:v>538.7</c:v>
                        </c:pt>
                        <c:pt idx="59">
                          <c:v>543.3</c:v>
                        </c:pt>
                        <c:pt idx="60">
                          <c:v>548.1</c:v>
                        </c:pt>
                        <c:pt idx="61">
                          <c:v>552.8</c:v>
                        </c:pt>
                        <c:pt idx="62">
                          <c:v>557.4</c:v>
                        </c:pt>
                        <c:pt idx="63">
                          <c:v>561.8</c:v>
                        </c:pt>
                        <c:pt idx="64">
                          <c:v>566.1</c:v>
                        </c:pt>
                        <c:pt idx="65">
                          <c:v>570.2</c:v>
                        </c:pt>
                        <c:pt idx="66">
                          <c:v>574.2</c:v>
                        </c:pt>
                        <c:pt idx="67">
                          <c:v>578.5</c:v>
                        </c:pt>
                        <c:pt idx="68">
                          <c:v>582.9</c:v>
                        </c:pt>
                        <c:pt idx="69">
                          <c:v>587.2</c:v>
                        </c:pt>
                        <c:pt idx="70">
                          <c:v>591.6</c:v>
                        </c:pt>
                        <c:pt idx="71">
                          <c:v>596</c:v>
                        </c:pt>
                        <c:pt idx="72">
                          <c:v>600.5</c:v>
                        </c:pt>
                        <c:pt idx="73">
                          <c:v>605.3</c:v>
                        </c:pt>
                        <c:pt idx="74">
                          <c:v>610.3</c:v>
                        </c:pt>
                        <c:pt idx="75">
                          <c:v>615.3</c:v>
                        </c:pt>
                        <c:pt idx="76">
                          <c:v>620.9</c:v>
                        </c:pt>
                        <c:pt idx="77">
                          <c:v>626.4</c:v>
                        </c:pt>
                        <c:pt idx="78">
                          <c:v>632.1</c:v>
                        </c:pt>
                        <c:pt idx="79">
                          <c:v>638</c:v>
                        </c:pt>
                        <c:pt idx="80">
                          <c:v>644.6</c:v>
                        </c:pt>
                        <c:pt idx="81">
                          <c:v>651.6</c:v>
                        </c:pt>
                        <c:pt idx="82">
                          <c:v>658.6</c:v>
                        </c:pt>
                        <c:pt idx="83">
                          <c:v>667.9</c:v>
                        </c:pt>
                        <c:pt idx="84">
                          <c:v>677.4</c:v>
                        </c:pt>
                        <c:pt idx="85">
                          <c:v>688.1</c:v>
                        </c:pt>
                        <c:pt idx="86">
                          <c:v>698.6</c:v>
                        </c:pt>
                        <c:pt idx="87">
                          <c:v>709.6</c:v>
                        </c:pt>
                        <c:pt idx="88">
                          <c:v>722.6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133.6</c:v>
                        </c:pt>
                        <c:pt idx="1">
                          <c:v>179.1</c:v>
                        </c:pt>
                        <c:pt idx="2">
                          <c:v>224.9</c:v>
                        </c:pt>
                        <c:pt idx="3">
                          <c:v>255.3</c:v>
                        </c:pt>
                        <c:pt idx="4">
                          <c:v>279.7</c:v>
                        </c:pt>
                        <c:pt idx="5">
                          <c:v>300.9</c:v>
                        </c:pt>
                        <c:pt idx="6">
                          <c:v>317.7</c:v>
                        </c:pt>
                        <c:pt idx="7">
                          <c:v>332.7</c:v>
                        </c:pt>
                        <c:pt idx="8">
                          <c:v>345.9</c:v>
                        </c:pt>
                        <c:pt idx="9">
                          <c:v>357.3</c:v>
                        </c:pt>
                        <c:pt idx="10">
                          <c:v>367.8</c:v>
                        </c:pt>
                        <c:pt idx="11">
                          <c:v>379.7</c:v>
                        </c:pt>
                        <c:pt idx="12">
                          <c:v>391.3</c:v>
                        </c:pt>
                        <c:pt idx="13">
                          <c:v>400</c:v>
                        </c:pt>
                        <c:pt idx="14">
                          <c:v>408.3</c:v>
                        </c:pt>
                        <c:pt idx="15">
                          <c:v>417</c:v>
                        </c:pt>
                        <c:pt idx="16">
                          <c:v>426.3</c:v>
                        </c:pt>
                        <c:pt idx="17">
                          <c:v>434.6</c:v>
                        </c:pt>
                        <c:pt idx="18">
                          <c:v>442.1</c:v>
                        </c:pt>
                        <c:pt idx="19">
                          <c:v>449.4</c:v>
                        </c:pt>
                        <c:pt idx="20">
                          <c:v>457.4</c:v>
                        </c:pt>
                        <c:pt idx="21">
                          <c:v>465.2</c:v>
                        </c:pt>
                        <c:pt idx="22">
                          <c:v>472.3</c:v>
                        </c:pt>
                        <c:pt idx="23">
                          <c:v>479</c:v>
                        </c:pt>
                        <c:pt idx="24">
                          <c:v>486.1</c:v>
                        </c:pt>
                        <c:pt idx="25">
                          <c:v>493.1</c:v>
                        </c:pt>
                        <c:pt idx="26">
                          <c:v>499.3</c:v>
                        </c:pt>
                        <c:pt idx="27">
                          <c:v>505</c:v>
                        </c:pt>
                        <c:pt idx="28">
                          <c:v>510.6</c:v>
                        </c:pt>
                        <c:pt idx="29">
                          <c:v>516.6</c:v>
                        </c:pt>
                        <c:pt idx="30">
                          <c:v>522.4</c:v>
                        </c:pt>
                        <c:pt idx="31">
                          <c:v>527.4</c:v>
                        </c:pt>
                        <c:pt idx="32">
                          <c:v>532.2</c:v>
                        </c:pt>
                        <c:pt idx="33">
                          <c:v>536.7</c:v>
                        </c:pt>
                        <c:pt idx="34">
                          <c:v>541.2</c:v>
                        </c:pt>
                        <c:pt idx="35">
                          <c:v>545.5</c:v>
                        </c:pt>
                        <c:pt idx="36">
                          <c:v>549.8</c:v>
                        </c:pt>
                        <c:pt idx="37">
                          <c:v>554</c:v>
                        </c:pt>
                        <c:pt idx="38">
                          <c:v>557.9</c:v>
                        </c:pt>
                        <c:pt idx="39">
                          <c:v>561.4</c:v>
                        </c:pt>
                        <c:pt idx="40">
                          <c:v>564.9</c:v>
                        </c:pt>
                        <c:pt idx="41">
                          <c:v>568.1</c:v>
                        </c:pt>
                        <c:pt idx="42">
                          <c:v>571.2</c:v>
                        </c:pt>
                        <c:pt idx="43">
                          <c:v>574.2</c:v>
                        </c:pt>
                        <c:pt idx="44">
                          <c:v>577.2</c:v>
                        </c:pt>
                        <c:pt idx="45">
                          <c:v>580.2</c:v>
                        </c:pt>
                        <c:pt idx="46">
                          <c:v>583.1</c:v>
                        </c:pt>
                        <c:pt idx="47">
                          <c:v>586</c:v>
                        </c:pt>
                        <c:pt idx="48">
                          <c:v>588.8</c:v>
                        </c:pt>
                        <c:pt idx="49">
                          <c:v>591.6</c:v>
                        </c:pt>
                        <c:pt idx="50">
                          <c:v>594.3</c:v>
                        </c:pt>
                        <c:pt idx="51">
                          <c:v>597</c:v>
                        </c:pt>
                        <c:pt idx="52">
                          <c:v>599.8</c:v>
                        </c:pt>
                        <c:pt idx="53">
                          <c:v>602.6</c:v>
                        </c:pt>
                        <c:pt idx="54">
                          <c:v>605.4</c:v>
                        </c:pt>
                        <c:pt idx="55">
                          <c:v>608.2</c:v>
                        </c:pt>
                        <c:pt idx="56">
                          <c:v>611</c:v>
                        </c:pt>
                        <c:pt idx="57">
                          <c:v>613.9</c:v>
                        </c:pt>
                        <c:pt idx="58">
                          <c:v>616.8</c:v>
                        </c:pt>
                        <c:pt idx="59">
                          <c:v>619.7</c:v>
                        </c:pt>
                        <c:pt idx="60">
                          <c:v>622.7</c:v>
                        </c:pt>
                        <c:pt idx="61">
                          <c:v>625.7</c:v>
                        </c:pt>
                        <c:pt idx="62">
                          <c:v>628.7</c:v>
                        </c:pt>
                        <c:pt idx="63">
                          <c:v>631.6</c:v>
                        </c:pt>
                        <c:pt idx="64">
                          <c:v>634.5</c:v>
                        </c:pt>
                        <c:pt idx="65">
                          <c:v>637.6</c:v>
                        </c:pt>
                        <c:pt idx="66">
                          <c:v>640.7</c:v>
                        </c:pt>
                        <c:pt idx="67">
                          <c:v>644</c:v>
                        </c:pt>
                        <c:pt idx="68">
                          <c:v>647.4</c:v>
                        </c:pt>
                        <c:pt idx="69">
                          <c:v>650.5</c:v>
                        </c:pt>
                        <c:pt idx="70">
                          <c:v>653.7</c:v>
                        </c:pt>
                        <c:pt idx="71">
                          <c:v>656.8</c:v>
                        </c:pt>
                        <c:pt idx="72">
                          <c:v>660.6</c:v>
                        </c:pt>
                        <c:pt idx="73">
                          <c:v>664.8</c:v>
                        </c:pt>
                        <c:pt idx="74">
                          <c:v>669.2</c:v>
                        </c:pt>
                        <c:pt idx="75">
                          <c:v>673.1</c:v>
                        </c:pt>
                        <c:pt idx="76">
                          <c:v>677.4</c:v>
                        </c:pt>
                        <c:pt idx="77">
                          <c:v>682.2</c:v>
                        </c:pt>
                        <c:pt idx="78">
                          <c:v>686.5</c:v>
                        </c:pt>
                        <c:pt idx="79">
                          <c:v>691.2</c:v>
                        </c:pt>
                        <c:pt idx="80">
                          <c:v>694.8</c:v>
                        </c:pt>
                        <c:pt idx="81">
                          <c:v>699.9</c:v>
                        </c:pt>
                        <c:pt idx="82">
                          <c:v>704</c:v>
                        </c:pt>
                        <c:pt idx="83">
                          <c:v>708.8</c:v>
                        </c:pt>
                        <c:pt idx="84">
                          <c:v>714.2</c:v>
                        </c:pt>
                        <c:pt idx="85">
                          <c:v>719.8</c:v>
                        </c:pt>
                        <c:pt idx="86">
                          <c:v>726.2</c:v>
                        </c:pt>
                        <c:pt idx="87">
                          <c:v>733.5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152.5</c:v>
                        </c:pt>
                        <c:pt idx="1">
                          <c:v>185.3</c:v>
                        </c:pt>
                        <c:pt idx="2">
                          <c:v>226.6</c:v>
                        </c:pt>
                        <c:pt idx="3">
                          <c:v>255</c:v>
                        </c:pt>
                        <c:pt idx="4">
                          <c:v>279.1</c:v>
                        </c:pt>
                        <c:pt idx="5">
                          <c:v>299.2</c:v>
                        </c:pt>
                        <c:pt idx="6">
                          <c:v>317.3</c:v>
                        </c:pt>
                        <c:pt idx="7">
                          <c:v>332.5</c:v>
                        </c:pt>
                        <c:pt idx="8">
                          <c:v>345.5</c:v>
                        </c:pt>
                        <c:pt idx="9">
                          <c:v>356.3</c:v>
                        </c:pt>
                        <c:pt idx="10">
                          <c:v>366.7</c:v>
                        </c:pt>
                        <c:pt idx="11">
                          <c:v>378.3</c:v>
                        </c:pt>
                        <c:pt idx="12">
                          <c:v>390.2</c:v>
                        </c:pt>
                        <c:pt idx="13">
                          <c:v>398.9</c:v>
                        </c:pt>
                        <c:pt idx="14">
                          <c:v>407.3</c:v>
                        </c:pt>
                        <c:pt idx="15">
                          <c:v>415.7</c:v>
                        </c:pt>
                        <c:pt idx="16">
                          <c:v>424.9</c:v>
                        </c:pt>
                        <c:pt idx="17">
                          <c:v>433.3</c:v>
                        </c:pt>
                        <c:pt idx="18">
                          <c:v>440.7</c:v>
                        </c:pt>
                        <c:pt idx="19">
                          <c:v>448</c:v>
                        </c:pt>
                        <c:pt idx="20">
                          <c:v>455.9</c:v>
                        </c:pt>
                        <c:pt idx="21">
                          <c:v>463.6</c:v>
                        </c:pt>
                        <c:pt idx="22">
                          <c:v>470.6</c:v>
                        </c:pt>
                        <c:pt idx="23">
                          <c:v>477.3</c:v>
                        </c:pt>
                        <c:pt idx="24">
                          <c:v>484.2</c:v>
                        </c:pt>
                        <c:pt idx="25">
                          <c:v>491.3</c:v>
                        </c:pt>
                        <c:pt idx="26">
                          <c:v>497.8</c:v>
                        </c:pt>
                        <c:pt idx="27">
                          <c:v>503.3</c:v>
                        </c:pt>
                        <c:pt idx="28">
                          <c:v>508.7</c:v>
                        </c:pt>
                        <c:pt idx="29">
                          <c:v>514.7</c:v>
                        </c:pt>
                        <c:pt idx="30">
                          <c:v>520.6</c:v>
                        </c:pt>
                        <c:pt idx="31">
                          <c:v>525.7</c:v>
                        </c:pt>
                        <c:pt idx="32">
                          <c:v>530.5</c:v>
                        </c:pt>
                        <c:pt idx="33">
                          <c:v>535.2</c:v>
                        </c:pt>
                        <c:pt idx="34">
                          <c:v>539.6</c:v>
                        </c:pt>
                        <c:pt idx="35">
                          <c:v>543.9</c:v>
                        </c:pt>
                        <c:pt idx="36">
                          <c:v>548.2</c:v>
                        </c:pt>
                        <c:pt idx="37">
                          <c:v>552.4</c:v>
                        </c:pt>
                        <c:pt idx="38">
                          <c:v>556.4</c:v>
                        </c:pt>
                        <c:pt idx="39">
                          <c:v>560</c:v>
                        </c:pt>
                        <c:pt idx="40">
                          <c:v>563.5</c:v>
                        </c:pt>
                        <c:pt idx="41">
                          <c:v>566.8</c:v>
                        </c:pt>
                        <c:pt idx="42">
                          <c:v>569.9</c:v>
                        </c:pt>
                        <c:pt idx="43">
                          <c:v>572.9</c:v>
                        </c:pt>
                        <c:pt idx="44">
                          <c:v>575.8</c:v>
                        </c:pt>
                        <c:pt idx="45">
                          <c:v>578.8</c:v>
                        </c:pt>
                        <c:pt idx="46">
                          <c:v>581.7</c:v>
                        </c:pt>
                        <c:pt idx="47">
                          <c:v>584.6</c:v>
                        </c:pt>
                        <c:pt idx="48">
                          <c:v>587.4</c:v>
                        </c:pt>
                        <c:pt idx="49">
                          <c:v>590.1</c:v>
                        </c:pt>
                        <c:pt idx="50">
                          <c:v>592.8</c:v>
                        </c:pt>
                        <c:pt idx="51">
                          <c:v>595.5</c:v>
                        </c:pt>
                        <c:pt idx="52">
                          <c:v>598.1</c:v>
                        </c:pt>
                        <c:pt idx="53">
                          <c:v>600.8</c:v>
                        </c:pt>
                        <c:pt idx="54">
                          <c:v>603.6</c:v>
                        </c:pt>
                        <c:pt idx="55">
                          <c:v>606.3</c:v>
                        </c:pt>
                        <c:pt idx="56">
                          <c:v>609</c:v>
                        </c:pt>
                        <c:pt idx="57">
                          <c:v>611.7</c:v>
                        </c:pt>
                        <c:pt idx="58">
                          <c:v>614.5</c:v>
                        </c:pt>
                        <c:pt idx="59">
                          <c:v>617.3</c:v>
                        </c:pt>
                        <c:pt idx="60">
                          <c:v>620.1</c:v>
                        </c:pt>
                        <c:pt idx="61">
                          <c:v>623</c:v>
                        </c:pt>
                        <c:pt idx="62">
                          <c:v>625.8</c:v>
                        </c:pt>
                        <c:pt idx="63">
                          <c:v>628.6</c:v>
                        </c:pt>
                        <c:pt idx="64">
                          <c:v>631.4</c:v>
                        </c:pt>
                        <c:pt idx="65">
                          <c:v>634.2</c:v>
                        </c:pt>
                        <c:pt idx="66">
                          <c:v>637.1</c:v>
                        </c:pt>
                        <c:pt idx="67">
                          <c:v>640</c:v>
                        </c:pt>
                        <c:pt idx="68">
                          <c:v>643.1</c:v>
                        </c:pt>
                        <c:pt idx="69">
                          <c:v>646.2</c:v>
                        </c:pt>
                        <c:pt idx="70">
                          <c:v>649.2</c:v>
                        </c:pt>
                        <c:pt idx="71">
                          <c:v>652.2</c:v>
                        </c:pt>
                        <c:pt idx="72">
                          <c:v>655.1</c:v>
                        </c:pt>
                        <c:pt idx="73">
                          <c:v>658.1</c:v>
                        </c:pt>
                        <c:pt idx="74">
                          <c:v>661.9</c:v>
                        </c:pt>
                        <c:pt idx="75">
                          <c:v>665.7</c:v>
                        </c:pt>
                        <c:pt idx="76">
                          <c:v>669.7</c:v>
                        </c:pt>
                        <c:pt idx="77">
                          <c:v>673.1</c:v>
                        </c:pt>
                        <c:pt idx="78">
                          <c:v>676.9</c:v>
                        </c:pt>
                        <c:pt idx="79">
                          <c:v>681.3</c:v>
                        </c:pt>
                        <c:pt idx="80">
                          <c:v>685</c:v>
                        </c:pt>
                        <c:pt idx="81">
                          <c:v>688.9</c:v>
                        </c:pt>
                        <c:pt idx="82">
                          <c:v>692.4</c:v>
                        </c:pt>
                        <c:pt idx="83">
                          <c:v>695.7</c:v>
                        </c:pt>
                        <c:pt idx="84">
                          <c:v>700</c:v>
                        </c:pt>
                        <c:pt idx="85">
                          <c:v>703.3</c:v>
                        </c:pt>
                        <c:pt idx="86">
                          <c:v>706.7</c:v>
                        </c:pt>
                        <c:pt idx="87">
                          <c:v>710.8</c:v>
                        </c:pt>
                        <c:pt idx="88">
                          <c:v>714.7</c:v>
                        </c:pt>
                        <c:pt idx="89">
                          <c:v>718.6</c:v>
                        </c:pt>
                        <c:pt idx="90">
                          <c:v>722.6</c:v>
                        </c:pt>
                        <c:pt idx="91">
                          <c:v>726.7</c:v>
                        </c:pt>
                        <c:pt idx="92">
                          <c:v>730.9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140.2</c:v>
                        </c:pt>
                        <c:pt idx="1">
                          <c:v>187.3</c:v>
                        </c:pt>
                        <c:pt idx="2">
                          <c:v>232</c:v>
                        </c:pt>
                        <c:pt idx="3">
                          <c:v>261.4</c:v>
                        </c:pt>
                        <c:pt idx="4">
                          <c:v>285.2</c:v>
                        </c:pt>
                        <c:pt idx="5">
                          <c:v>305.6</c:v>
                        </c:pt>
                        <c:pt idx="6">
                          <c:v>323.2</c:v>
                        </c:pt>
                        <c:pt idx="7">
                          <c:v>338.6</c:v>
                        </c:pt>
                        <c:pt idx="8">
                          <c:v>351.3</c:v>
                        </c:pt>
                        <c:pt idx="9">
                          <c:v>362.4</c:v>
                        </c:pt>
                        <c:pt idx="10">
                          <c:v>374.1</c:v>
                        </c:pt>
                        <c:pt idx="11">
                          <c:v>387.1</c:v>
                        </c:pt>
                        <c:pt idx="12">
                          <c:v>397.2</c:v>
                        </c:pt>
                        <c:pt idx="13">
                          <c:v>406</c:v>
                        </c:pt>
                        <c:pt idx="14">
                          <c:v>414.7</c:v>
                        </c:pt>
                        <c:pt idx="15">
                          <c:v>424.4</c:v>
                        </c:pt>
                        <c:pt idx="16">
                          <c:v>433.3</c:v>
                        </c:pt>
                        <c:pt idx="17">
                          <c:v>441.2</c:v>
                        </c:pt>
                        <c:pt idx="18">
                          <c:v>448.8</c:v>
                        </c:pt>
                        <c:pt idx="19">
                          <c:v>457.3</c:v>
                        </c:pt>
                        <c:pt idx="20">
                          <c:v>465.4</c:v>
                        </c:pt>
                        <c:pt idx="21">
                          <c:v>472.5</c:v>
                        </c:pt>
                        <c:pt idx="22">
                          <c:v>479.5</c:v>
                        </c:pt>
                        <c:pt idx="23">
                          <c:v>486.9</c:v>
                        </c:pt>
                        <c:pt idx="24">
                          <c:v>494.3</c:v>
                        </c:pt>
                        <c:pt idx="25">
                          <c:v>500.6</c:v>
                        </c:pt>
                        <c:pt idx="26">
                          <c:v>506.4</c:v>
                        </c:pt>
                        <c:pt idx="27">
                          <c:v>512.4</c:v>
                        </c:pt>
                        <c:pt idx="28">
                          <c:v>518.7</c:v>
                        </c:pt>
                        <c:pt idx="29">
                          <c:v>524.4</c:v>
                        </c:pt>
                        <c:pt idx="30">
                          <c:v>529.6</c:v>
                        </c:pt>
                        <c:pt idx="31">
                          <c:v>534.6</c:v>
                        </c:pt>
                        <c:pt idx="32">
                          <c:v>539.3</c:v>
                        </c:pt>
                        <c:pt idx="33">
                          <c:v>543.9</c:v>
                        </c:pt>
                        <c:pt idx="34">
                          <c:v>548.6</c:v>
                        </c:pt>
                        <c:pt idx="35">
                          <c:v>553.1</c:v>
                        </c:pt>
                        <c:pt idx="36">
                          <c:v>557.3</c:v>
                        </c:pt>
                        <c:pt idx="37">
                          <c:v>561.1</c:v>
                        </c:pt>
                        <c:pt idx="38">
                          <c:v>564.8</c:v>
                        </c:pt>
                        <c:pt idx="39">
                          <c:v>568.2</c:v>
                        </c:pt>
                        <c:pt idx="40">
                          <c:v>571.4</c:v>
                        </c:pt>
                        <c:pt idx="41">
                          <c:v>574.6</c:v>
                        </c:pt>
                        <c:pt idx="42">
                          <c:v>577.8</c:v>
                        </c:pt>
                        <c:pt idx="43">
                          <c:v>580.9</c:v>
                        </c:pt>
                        <c:pt idx="44">
                          <c:v>584.1</c:v>
                        </c:pt>
                        <c:pt idx="45">
                          <c:v>587</c:v>
                        </c:pt>
                        <c:pt idx="46">
                          <c:v>590</c:v>
                        </c:pt>
                        <c:pt idx="47">
                          <c:v>592.9</c:v>
                        </c:pt>
                        <c:pt idx="48">
                          <c:v>595.7</c:v>
                        </c:pt>
                        <c:pt idx="49">
                          <c:v>598.6</c:v>
                        </c:pt>
                        <c:pt idx="50">
                          <c:v>601.5</c:v>
                        </c:pt>
                        <c:pt idx="51">
                          <c:v>604.4</c:v>
                        </c:pt>
                        <c:pt idx="52">
                          <c:v>607.4</c:v>
                        </c:pt>
                        <c:pt idx="53">
                          <c:v>610.3</c:v>
                        </c:pt>
                        <c:pt idx="54">
                          <c:v>613.3</c:v>
                        </c:pt>
                        <c:pt idx="55">
                          <c:v>616.3</c:v>
                        </c:pt>
                        <c:pt idx="56">
                          <c:v>619.4</c:v>
                        </c:pt>
                        <c:pt idx="57">
                          <c:v>622.6</c:v>
                        </c:pt>
                        <c:pt idx="58">
                          <c:v>625.7</c:v>
                        </c:pt>
                        <c:pt idx="59">
                          <c:v>628.9</c:v>
                        </c:pt>
                        <c:pt idx="60">
                          <c:v>631.9</c:v>
                        </c:pt>
                        <c:pt idx="61">
                          <c:v>635.1</c:v>
                        </c:pt>
                        <c:pt idx="62">
                          <c:v>638.4</c:v>
                        </c:pt>
                        <c:pt idx="63">
                          <c:v>641.8</c:v>
                        </c:pt>
                        <c:pt idx="64">
                          <c:v>645.4</c:v>
                        </c:pt>
                        <c:pt idx="65">
                          <c:v>648.9</c:v>
                        </c:pt>
                        <c:pt idx="66">
                          <c:v>652.4</c:v>
                        </c:pt>
                        <c:pt idx="67">
                          <c:v>655.8</c:v>
                        </c:pt>
                        <c:pt idx="68">
                          <c:v>659.7</c:v>
                        </c:pt>
                        <c:pt idx="69">
                          <c:v>664.3</c:v>
                        </c:pt>
                        <c:pt idx="70">
                          <c:v>669.1</c:v>
                        </c:pt>
                        <c:pt idx="71">
                          <c:v>673.5</c:v>
                        </c:pt>
                        <c:pt idx="72">
                          <c:v>678.6</c:v>
                        </c:pt>
                        <c:pt idx="73">
                          <c:v>683.9</c:v>
                        </c:pt>
                        <c:pt idx="74">
                          <c:v>689.1</c:v>
                        </c:pt>
                        <c:pt idx="75">
                          <c:v>693.9</c:v>
                        </c:pt>
                        <c:pt idx="76">
                          <c:v>699.8</c:v>
                        </c:pt>
                        <c:pt idx="77">
                          <c:v>705.2</c:v>
                        </c:pt>
                        <c:pt idx="78">
                          <c:v>712.1</c:v>
                        </c:pt>
                        <c:pt idx="79">
                          <c:v>720.3</c:v>
                        </c:pt>
                        <c:pt idx="80">
                          <c:v>733.8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142.1</c:v>
                        </c:pt>
                        <c:pt idx="1">
                          <c:v>173.4</c:v>
                        </c:pt>
                        <c:pt idx="2">
                          <c:v>215</c:v>
                        </c:pt>
                        <c:pt idx="3">
                          <c:v>248.3</c:v>
                        </c:pt>
                        <c:pt idx="4">
                          <c:v>270.7</c:v>
                        </c:pt>
                        <c:pt idx="5">
                          <c:v>291.2</c:v>
                        </c:pt>
                        <c:pt idx="6">
                          <c:v>308.6</c:v>
                        </c:pt>
                        <c:pt idx="7">
                          <c:v>324.2</c:v>
                        </c:pt>
                        <c:pt idx="8">
                          <c:v>338.5</c:v>
                        </c:pt>
                        <c:pt idx="9">
                          <c:v>351.6</c:v>
                        </c:pt>
                        <c:pt idx="10">
                          <c:v>363.5</c:v>
                        </c:pt>
                        <c:pt idx="11">
                          <c:v>374.4</c:v>
                        </c:pt>
                        <c:pt idx="12">
                          <c:v>384.5</c:v>
                        </c:pt>
                        <c:pt idx="13">
                          <c:v>394.2</c:v>
                        </c:pt>
                        <c:pt idx="14">
                          <c:v>404</c:v>
                        </c:pt>
                        <c:pt idx="15">
                          <c:v>413.2</c:v>
                        </c:pt>
                        <c:pt idx="16">
                          <c:v>421.9</c:v>
                        </c:pt>
                        <c:pt idx="17">
                          <c:v>430.1</c:v>
                        </c:pt>
                        <c:pt idx="18">
                          <c:v>438.5</c:v>
                        </c:pt>
                        <c:pt idx="19">
                          <c:v>446.5</c:v>
                        </c:pt>
                        <c:pt idx="20">
                          <c:v>454.4</c:v>
                        </c:pt>
                        <c:pt idx="21">
                          <c:v>462</c:v>
                        </c:pt>
                        <c:pt idx="22">
                          <c:v>469.5</c:v>
                        </c:pt>
                        <c:pt idx="23">
                          <c:v>476.7</c:v>
                        </c:pt>
                        <c:pt idx="24">
                          <c:v>483.7</c:v>
                        </c:pt>
                        <c:pt idx="25">
                          <c:v>490.4</c:v>
                        </c:pt>
                        <c:pt idx="26">
                          <c:v>496.8</c:v>
                        </c:pt>
                        <c:pt idx="27">
                          <c:v>502.6</c:v>
                        </c:pt>
                        <c:pt idx="28">
                          <c:v>508.1</c:v>
                        </c:pt>
                        <c:pt idx="29">
                          <c:v>513.7</c:v>
                        </c:pt>
                        <c:pt idx="30">
                          <c:v>519.1</c:v>
                        </c:pt>
                        <c:pt idx="31">
                          <c:v>524.2</c:v>
                        </c:pt>
                        <c:pt idx="32">
                          <c:v>528.8</c:v>
                        </c:pt>
                        <c:pt idx="33">
                          <c:v>533.2</c:v>
                        </c:pt>
                        <c:pt idx="34">
                          <c:v>537.4</c:v>
                        </c:pt>
                        <c:pt idx="35">
                          <c:v>541.5</c:v>
                        </c:pt>
                        <c:pt idx="36">
                          <c:v>545.3</c:v>
                        </c:pt>
                        <c:pt idx="37">
                          <c:v>549.4</c:v>
                        </c:pt>
                        <c:pt idx="38">
                          <c:v>553.2</c:v>
                        </c:pt>
                        <c:pt idx="39">
                          <c:v>556.9</c:v>
                        </c:pt>
                        <c:pt idx="40">
                          <c:v>560.4</c:v>
                        </c:pt>
                        <c:pt idx="41">
                          <c:v>563.8</c:v>
                        </c:pt>
                        <c:pt idx="42">
                          <c:v>567</c:v>
                        </c:pt>
                        <c:pt idx="43">
                          <c:v>570</c:v>
                        </c:pt>
                        <c:pt idx="44">
                          <c:v>573</c:v>
                        </c:pt>
                        <c:pt idx="45">
                          <c:v>576.1</c:v>
                        </c:pt>
                        <c:pt idx="46">
                          <c:v>579.2</c:v>
                        </c:pt>
                        <c:pt idx="47">
                          <c:v>582.4</c:v>
                        </c:pt>
                        <c:pt idx="48">
                          <c:v>585.5</c:v>
                        </c:pt>
                        <c:pt idx="49">
                          <c:v>588.5</c:v>
                        </c:pt>
                        <c:pt idx="50">
                          <c:v>591.6</c:v>
                        </c:pt>
                        <c:pt idx="51">
                          <c:v>594.7</c:v>
                        </c:pt>
                        <c:pt idx="52">
                          <c:v>597.8</c:v>
                        </c:pt>
                        <c:pt idx="53">
                          <c:v>601</c:v>
                        </c:pt>
                        <c:pt idx="54">
                          <c:v>604.3</c:v>
                        </c:pt>
                        <c:pt idx="55">
                          <c:v>607.6</c:v>
                        </c:pt>
                        <c:pt idx="56">
                          <c:v>610.9</c:v>
                        </c:pt>
                        <c:pt idx="57">
                          <c:v>614.3</c:v>
                        </c:pt>
                        <c:pt idx="58">
                          <c:v>617.8</c:v>
                        </c:pt>
                        <c:pt idx="59">
                          <c:v>621.4</c:v>
                        </c:pt>
                        <c:pt idx="60">
                          <c:v>625</c:v>
                        </c:pt>
                        <c:pt idx="61">
                          <c:v>628.6</c:v>
                        </c:pt>
                        <c:pt idx="62">
                          <c:v>632</c:v>
                        </c:pt>
                        <c:pt idx="63">
                          <c:v>635.5</c:v>
                        </c:pt>
                        <c:pt idx="64">
                          <c:v>639.3</c:v>
                        </c:pt>
                        <c:pt idx="65">
                          <c:v>643.3</c:v>
                        </c:pt>
                        <c:pt idx="66">
                          <c:v>647.4</c:v>
                        </c:pt>
                        <c:pt idx="67">
                          <c:v>651.4</c:v>
                        </c:pt>
                        <c:pt idx="68">
                          <c:v>655.2</c:v>
                        </c:pt>
                        <c:pt idx="69">
                          <c:v>659.4</c:v>
                        </c:pt>
                        <c:pt idx="70">
                          <c:v>664.4</c:v>
                        </c:pt>
                        <c:pt idx="71">
                          <c:v>669.7</c:v>
                        </c:pt>
                        <c:pt idx="72">
                          <c:v>674.4</c:v>
                        </c:pt>
                        <c:pt idx="73">
                          <c:v>680</c:v>
                        </c:pt>
                        <c:pt idx="74">
                          <c:v>685.4</c:v>
                        </c:pt>
                        <c:pt idx="75">
                          <c:v>691</c:v>
                        </c:pt>
                        <c:pt idx="76">
                          <c:v>696</c:v>
                        </c:pt>
                        <c:pt idx="77">
                          <c:v>702.3</c:v>
                        </c:pt>
                        <c:pt idx="78">
                          <c:v>708.5</c:v>
                        </c:pt>
                        <c:pt idx="79">
                          <c:v>716.3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436.7</c:v>
                        </c:pt>
                        <c:pt idx="1">
                          <c:v>499.2</c:v>
                        </c:pt>
                        <c:pt idx="2">
                          <c:v>527.2</c:v>
                        </c:pt>
                        <c:pt idx="3">
                          <c:v>538.6</c:v>
                        </c:pt>
                        <c:pt idx="4">
                          <c:v>546.5</c:v>
                        </c:pt>
                        <c:pt idx="5">
                          <c:v>553.1</c:v>
                        </c:pt>
                        <c:pt idx="6">
                          <c:v>558.5</c:v>
                        </c:pt>
                        <c:pt idx="7">
                          <c:v>563.2</c:v>
                        </c:pt>
                        <c:pt idx="8">
                          <c:v>567.4</c:v>
                        </c:pt>
                        <c:pt idx="9">
                          <c:v>571.1</c:v>
                        </c:pt>
                        <c:pt idx="10">
                          <c:v>574.7</c:v>
                        </c:pt>
                        <c:pt idx="11">
                          <c:v>578.2</c:v>
                        </c:pt>
                        <c:pt idx="12">
                          <c:v>581.7</c:v>
                        </c:pt>
                        <c:pt idx="13">
                          <c:v>585.1</c:v>
                        </c:pt>
                        <c:pt idx="14">
                          <c:v>588.4</c:v>
                        </c:pt>
                        <c:pt idx="15">
                          <c:v>591.6</c:v>
                        </c:pt>
                        <c:pt idx="16">
                          <c:v>594.8</c:v>
                        </c:pt>
                        <c:pt idx="17">
                          <c:v>598</c:v>
                        </c:pt>
                        <c:pt idx="18">
                          <c:v>601.2</c:v>
                        </c:pt>
                        <c:pt idx="19">
                          <c:v>604.6</c:v>
                        </c:pt>
                        <c:pt idx="20">
                          <c:v>607.9</c:v>
                        </c:pt>
                        <c:pt idx="21">
                          <c:v>611.2</c:v>
                        </c:pt>
                        <c:pt idx="22">
                          <c:v>614.5</c:v>
                        </c:pt>
                        <c:pt idx="23">
                          <c:v>618</c:v>
                        </c:pt>
                        <c:pt idx="24">
                          <c:v>621.5</c:v>
                        </c:pt>
                        <c:pt idx="25">
                          <c:v>624.9</c:v>
                        </c:pt>
                        <c:pt idx="26">
                          <c:v>628.4</c:v>
                        </c:pt>
                        <c:pt idx="27">
                          <c:v>631.8</c:v>
                        </c:pt>
                        <c:pt idx="28">
                          <c:v>635.2</c:v>
                        </c:pt>
                        <c:pt idx="29">
                          <c:v>638.8</c:v>
                        </c:pt>
                        <c:pt idx="30">
                          <c:v>642.6</c:v>
                        </c:pt>
                        <c:pt idx="31">
                          <c:v>646.5</c:v>
                        </c:pt>
                        <c:pt idx="32">
                          <c:v>650.2</c:v>
                        </c:pt>
                        <c:pt idx="33">
                          <c:v>654</c:v>
                        </c:pt>
                        <c:pt idx="34">
                          <c:v>657.6</c:v>
                        </c:pt>
                        <c:pt idx="35">
                          <c:v>662.3</c:v>
                        </c:pt>
                        <c:pt idx="36">
                          <c:v>667.3</c:v>
                        </c:pt>
                        <c:pt idx="37">
                          <c:v>672.1</c:v>
                        </c:pt>
                        <c:pt idx="38">
                          <c:v>677.2</c:v>
                        </c:pt>
                        <c:pt idx="39">
                          <c:v>683</c:v>
                        </c:pt>
                        <c:pt idx="40">
                          <c:v>688.5</c:v>
                        </c:pt>
                        <c:pt idx="41">
                          <c:v>693.9</c:v>
                        </c:pt>
                        <c:pt idx="42">
                          <c:v>700.7</c:v>
                        </c:pt>
                        <c:pt idx="43">
                          <c:v>708.3</c:v>
                        </c:pt>
                        <c:pt idx="44">
                          <c:v>721.3</c:v>
                        </c:pt>
                        <c:pt idx="45">
                          <c:v>-</c:v>
                        </c:pt>
                        <c:pt idx="46">
                          <c:v>-</c:v>
                        </c:pt>
                        <c:pt idx="47">
                          <c:v>-</c:v>
                        </c:pt>
                        <c:pt idx="48">
                          <c:v>-</c:v>
                        </c:pt>
                        <c:pt idx="49">
                          <c:v>-</c:v>
                        </c:pt>
                        <c:pt idx="50">
                          <c:v>-</c:v>
                        </c:pt>
                        <c:pt idx="51">
                          <c:v>-</c:v>
                        </c:pt>
                        <c:pt idx="52">
                          <c:v>-</c:v>
                        </c:pt>
                        <c:pt idx="53">
                          <c:v>-</c:v>
                        </c:pt>
                        <c:pt idx="54">
                          <c:v>-</c:v>
                        </c:pt>
                        <c:pt idx="55">
                          <c:v>-</c:v>
                        </c:pt>
                        <c:pt idx="56">
                          <c:v>-</c:v>
                        </c:pt>
                        <c:pt idx="57">
                          <c:v>-</c:v>
                        </c:pt>
                        <c:pt idx="58">
                          <c:v>-</c:v>
                        </c:pt>
                        <c:pt idx="59">
                          <c:v>-</c:v>
                        </c:pt>
                        <c:pt idx="60">
                          <c:v>-</c:v>
                        </c:pt>
                        <c:pt idx="61">
                          <c:v>-</c:v>
                        </c:pt>
                        <c:pt idx="62">
                          <c:v>-</c:v>
                        </c:pt>
                        <c:pt idx="63">
                          <c:v>-</c:v>
                        </c:pt>
                        <c:pt idx="64">
                          <c:v>-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462.3</c:v>
                        </c:pt>
                        <c:pt idx="1">
                          <c:v>528.9</c:v>
                        </c:pt>
                        <c:pt idx="2">
                          <c:v>546.9</c:v>
                        </c:pt>
                        <c:pt idx="3">
                          <c:v>555.2</c:v>
                        </c:pt>
                        <c:pt idx="4">
                          <c:v>561</c:v>
                        </c:pt>
                        <c:pt idx="5">
                          <c:v>565.7</c:v>
                        </c:pt>
                        <c:pt idx="6">
                          <c:v>569.7</c:v>
                        </c:pt>
                        <c:pt idx="7">
                          <c:v>573.2</c:v>
                        </c:pt>
                        <c:pt idx="8">
                          <c:v>576.7</c:v>
                        </c:pt>
                        <c:pt idx="9">
                          <c:v>580.1</c:v>
                        </c:pt>
                        <c:pt idx="10">
                          <c:v>583.4</c:v>
                        </c:pt>
                        <c:pt idx="11">
                          <c:v>586.6</c:v>
                        </c:pt>
                        <c:pt idx="12">
                          <c:v>589.6</c:v>
                        </c:pt>
                        <c:pt idx="13">
                          <c:v>592.6</c:v>
                        </c:pt>
                        <c:pt idx="14">
                          <c:v>595.6</c:v>
                        </c:pt>
                        <c:pt idx="15">
                          <c:v>598.5</c:v>
                        </c:pt>
                        <c:pt idx="16">
                          <c:v>601.4</c:v>
                        </c:pt>
                        <c:pt idx="17">
                          <c:v>604.4</c:v>
                        </c:pt>
                        <c:pt idx="18">
                          <c:v>607.3</c:v>
                        </c:pt>
                        <c:pt idx="19">
                          <c:v>610.2</c:v>
                        </c:pt>
                        <c:pt idx="20">
                          <c:v>613.1</c:v>
                        </c:pt>
                        <c:pt idx="21">
                          <c:v>616.1</c:v>
                        </c:pt>
                        <c:pt idx="22">
                          <c:v>619.2</c:v>
                        </c:pt>
                        <c:pt idx="23">
                          <c:v>622.3</c:v>
                        </c:pt>
                        <c:pt idx="24">
                          <c:v>625.3</c:v>
                        </c:pt>
                        <c:pt idx="25">
                          <c:v>628.4</c:v>
                        </c:pt>
                        <c:pt idx="26">
                          <c:v>631.4</c:v>
                        </c:pt>
                        <c:pt idx="27">
                          <c:v>634.4</c:v>
                        </c:pt>
                        <c:pt idx="28">
                          <c:v>637.5</c:v>
                        </c:pt>
                        <c:pt idx="29">
                          <c:v>640.8</c:v>
                        </c:pt>
                        <c:pt idx="30">
                          <c:v>644.2</c:v>
                        </c:pt>
                        <c:pt idx="31">
                          <c:v>647.6</c:v>
                        </c:pt>
                        <c:pt idx="32">
                          <c:v>650.9</c:v>
                        </c:pt>
                        <c:pt idx="33">
                          <c:v>654.2</c:v>
                        </c:pt>
                        <c:pt idx="34">
                          <c:v>657.5</c:v>
                        </c:pt>
                        <c:pt idx="35">
                          <c:v>661.5</c:v>
                        </c:pt>
                        <c:pt idx="36">
                          <c:v>665.8</c:v>
                        </c:pt>
                        <c:pt idx="37">
                          <c:v>670.3</c:v>
                        </c:pt>
                        <c:pt idx="38">
                          <c:v>674.2</c:v>
                        </c:pt>
                        <c:pt idx="39">
                          <c:v>679.2</c:v>
                        </c:pt>
                        <c:pt idx="40">
                          <c:v>683.9</c:v>
                        </c:pt>
                        <c:pt idx="41">
                          <c:v>688.5</c:v>
                        </c:pt>
                        <c:pt idx="42">
                          <c:v>693</c:v>
                        </c:pt>
                        <c:pt idx="43">
                          <c:v>697.8</c:v>
                        </c:pt>
                        <c:pt idx="44">
                          <c:v>702.9</c:v>
                        </c:pt>
                        <c:pt idx="45">
                          <c:v>708.2</c:v>
                        </c:pt>
                        <c:pt idx="46">
                          <c:v>715.3</c:v>
                        </c:pt>
                        <c:pt idx="47">
                          <c:v>724.1</c:v>
                        </c:pt>
                        <c:pt idx="48">
                          <c:v>-</c:v>
                        </c:pt>
                        <c:pt idx="49">
                          <c:v>-</c:v>
                        </c:pt>
                        <c:pt idx="50">
                          <c:v>-</c:v>
                        </c:pt>
                        <c:pt idx="51">
                          <c:v>-</c:v>
                        </c:pt>
                        <c:pt idx="52">
                          <c:v>-</c:v>
                        </c:pt>
                        <c:pt idx="53">
                          <c:v>-</c:v>
                        </c:pt>
                        <c:pt idx="54">
                          <c:v>-</c:v>
                        </c:pt>
                        <c:pt idx="55">
                          <c:v>-</c:v>
                        </c:pt>
                        <c:pt idx="56">
                          <c:v>-</c:v>
                        </c:pt>
                        <c:pt idx="57">
                          <c:v>-</c:v>
                        </c:pt>
                        <c:pt idx="58">
                          <c:v>-</c:v>
                        </c:pt>
                        <c:pt idx="59">
                          <c:v>-</c:v>
                        </c:pt>
                        <c:pt idx="60">
                          <c:v>-</c:v>
                        </c:pt>
                        <c:pt idx="61">
                          <c:v>-</c:v>
                        </c:pt>
                        <c:pt idx="62">
                          <c:v>-</c:v>
                        </c:pt>
                        <c:pt idx="63">
                          <c:v>-</c:v>
                        </c:pt>
                        <c:pt idx="64">
                          <c:v>-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375.98</c:v>
                        </c:pt>
                        <c:pt idx="1">
                          <c:v>402</c:v>
                        </c:pt>
                        <c:pt idx="2">
                          <c:v>422</c:v>
                        </c:pt>
                        <c:pt idx="3">
                          <c:v>462</c:v>
                        </c:pt>
                        <c:pt idx="4">
                          <c:v>489</c:v>
                        </c:pt>
                        <c:pt idx="5">
                          <c:v>510</c:v>
                        </c:pt>
                        <c:pt idx="6">
                          <c:v>518</c:v>
                        </c:pt>
                        <c:pt idx="7">
                          <c:v>525</c:v>
                        </c:pt>
                        <c:pt idx="8">
                          <c:v>533</c:v>
                        </c:pt>
                        <c:pt idx="9">
                          <c:v>538</c:v>
                        </c:pt>
                        <c:pt idx="10">
                          <c:v>543.5</c:v>
                        </c:pt>
                        <c:pt idx="11">
                          <c:v>548</c:v>
                        </c:pt>
                        <c:pt idx="12">
                          <c:v>553</c:v>
                        </c:pt>
                        <c:pt idx="13">
                          <c:v>556</c:v>
                        </c:pt>
                        <c:pt idx="14">
                          <c:v>560</c:v>
                        </c:pt>
                        <c:pt idx="15">
                          <c:v>563</c:v>
                        </c:pt>
                        <c:pt idx="16">
                          <c:v>566</c:v>
                        </c:pt>
                        <c:pt idx="17">
                          <c:v>569</c:v>
                        </c:pt>
                        <c:pt idx="18">
                          <c:v>572</c:v>
                        </c:pt>
                        <c:pt idx="19">
                          <c:v>575</c:v>
                        </c:pt>
                        <c:pt idx="20">
                          <c:v>578</c:v>
                        </c:pt>
                        <c:pt idx="21">
                          <c:v>581</c:v>
                        </c:pt>
                        <c:pt idx="22">
                          <c:v>584</c:v>
                        </c:pt>
                        <c:pt idx="23">
                          <c:v>587</c:v>
                        </c:pt>
                        <c:pt idx="24">
                          <c:v>590</c:v>
                        </c:pt>
                        <c:pt idx="25">
                          <c:v>593</c:v>
                        </c:pt>
                        <c:pt idx="26">
                          <c:v>595</c:v>
                        </c:pt>
                        <c:pt idx="27">
                          <c:v>598</c:v>
                        </c:pt>
                        <c:pt idx="28">
                          <c:v>600</c:v>
                        </c:pt>
                        <c:pt idx="29">
                          <c:v>602</c:v>
                        </c:pt>
                        <c:pt idx="30">
                          <c:v>606</c:v>
                        </c:pt>
                        <c:pt idx="31">
                          <c:v>609</c:v>
                        </c:pt>
                        <c:pt idx="32">
                          <c:v>611</c:v>
                        </c:pt>
                        <c:pt idx="33">
                          <c:v>614</c:v>
                        </c:pt>
                        <c:pt idx="34">
                          <c:v>617</c:v>
                        </c:pt>
                        <c:pt idx="35">
                          <c:v>620</c:v>
                        </c:pt>
                        <c:pt idx="36">
                          <c:v>622</c:v>
                        </c:pt>
                        <c:pt idx="37">
                          <c:v>626</c:v>
                        </c:pt>
                        <c:pt idx="38">
                          <c:v>630</c:v>
                        </c:pt>
                        <c:pt idx="39">
                          <c:v>632</c:v>
                        </c:pt>
                        <c:pt idx="40">
                          <c:v>635</c:v>
                        </c:pt>
                        <c:pt idx="41">
                          <c:v>638</c:v>
                        </c:pt>
                        <c:pt idx="42">
                          <c:v>641</c:v>
                        </c:pt>
                        <c:pt idx="43">
                          <c:v>644</c:v>
                        </c:pt>
                        <c:pt idx="44">
                          <c:v>647</c:v>
                        </c:pt>
                        <c:pt idx="45">
                          <c:v>650</c:v>
                        </c:pt>
                        <c:pt idx="46">
                          <c:v>654</c:v>
                        </c:pt>
                        <c:pt idx="47">
                          <c:v>657</c:v>
                        </c:pt>
                        <c:pt idx="48">
                          <c:v>661</c:v>
                        </c:pt>
                        <c:pt idx="49">
                          <c:v>664</c:v>
                        </c:pt>
                        <c:pt idx="50">
                          <c:v>667</c:v>
                        </c:pt>
                        <c:pt idx="51">
                          <c:v>671</c:v>
                        </c:pt>
                        <c:pt idx="52">
                          <c:v>675</c:v>
                        </c:pt>
                        <c:pt idx="53">
                          <c:v>678</c:v>
                        </c:pt>
                        <c:pt idx="54">
                          <c:v>682</c:v>
                        </c:pt>
                        <c:pt idx="55">
                          <c:v>687</c:v>
                        </c:pt>
                        <c:pt idx="56">
                          <c:v>691</c:v>
                        </c:pt>
                        <c:pt idx="57">
                          <c:v>694</c:v>
                        </c:pt>
                        <c:pt idx="58">
                          <c:v>698</c:v>
                        </c:pt>
                        <c:pt idx="59">
                          <c:v>702</c:v>
                        </c:pt>
                        <c:pt idx="60">
                          <c:v>705</c:v>
                        </c:pt>
                        <c:pt idx="61">
                          <c:v>708</c:v>
                        </c:pt>
                        <c:pt idx="62">
                          <c:v>713</c:v>
                        </c:pt>
                        <c:pt idx="63">
                          <c:v>718</c:v>
                        </c:pt>
                        <c:pt idx="64">
                          <c:v>720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560</c:v>
                        </c:pt>
                        <c:pt idx="1">
                          <c:v>560</c:v>
                        </c:pt>
                        <c:pt idx="2">
                          <c:v>560</c:v>
                        </c:pt>
                        <c:pt idx="3">
                          <c:v>560</c:v>
                        </c:pt>
                        <c:pt idx="4">
                          <c:v>560</c:v>
                        </c:pt>
                        <c:pt idx="5">
                          <c:v>560</c:v>
                        </c:pt>
                        <c:pt idx="6">
                          <c:v>560</c:v>
                        </c:pt>
                        <c:pt idx="7">
                          <c:v>560</c:v>
                        </c:pt>
                        <c:pt idx="8">
                          <c:v>560</c:v>
                        </c:pt>
                        <c:pt idx="9">
                          <c:v>560</c:v>
                        </c:pt>
                        <c:pt idx="10">
                          <c:v>560</c:v>
                        </c:pt>
                        <c:pt idx="11">
                          <c:v>560</c:v>
                        </c:pt>
                        <c:pt idx="12">
                          <c:v>560</c:v>
                        </c:pt>
                        <c:pt idx="13">
                          <c:v>560</c:v>
                        </c:pt>
                        <c:pt idx="14">
                          <c:v>560</c:v>
                        </c:pt>
                        <c:pt idx="15">
                          <c:v>560</c:v>
                        </c:pt>
                        <c:pt idx="16">
                          <c:v>560</c:v>
                        </c:pt>
                        <c:pt idx="17">
                          <c:v>560</c:v>
                        </c:pt>
                        <c:pt idx="18">
                          <c:v>560</c:v>
                        </c:pt>
                        <c:pt idx="19">
                          <c:v>560</c:v>
                        </c:pt>
                        <c:pt idx="20">
                          <c:v>560</c:v>
                        </c:pt>
                        <c:pt idx="21">
                          <c:v>560</c:v>
                        </c:pt>
                        <c:pt idx="22">
                          <c:v>560</c:v>
                        </c:pt>
                        <c:pt idx="23">
                          <c:v>560</c:v>
                        </c:pt>
                        <c:pt idx="24">
                          <c:v>560</c:v>
                        </c:pt>
                        <c:pt idx="25">
                          <c:v>560</c:v>
                        </c:pt>
                        <c:pt idx="26">
                          <c:v>560</c:v>
                        </c:pt>
                        <c:pt idx="27">
                          <c:v>560</c:v>
                        </c:pt>
                        <c:pt idx="28">
                          <c:v>560</c:v>
                        </c:pt>
                        <c:pt idx="29">
                          <c:v>560</c:v>
                        </c:pt>
                        <c:pt idx="30">
                          <c:v>560</c:v>
                        </c:pt>
                        <c:pt idx="31">
                          <c:v>560</c:v>
                        </c:pt>
                        <c:pt idx="32">
                          <c:v>560</c:v>
                        </c:pt>
                        <c:pt idx="33">
                          <c:v>560</c:v>
                        </c:pt>
                        <c:pt idx="34">
                          <c:v>560</c:v>
                        </c:pt>
                        <c:pt idx="35">
                          <c:v>560</c:v>
                        </c:pt>
                        <c:pt idx="36">
                          <c:v>560</c:v>
                        </c:pt>
                        <c:pt idx="37">
                          <c:v>560</c:v>
                        </c:pt>
                        <c:pt idx="38">
                          <c:v>560</c:v>
                        </c:pt>
                        <c:pt idx="39">
                          <c:v>560</c:v>
                        </c:pt>
                        <c:pt idx="40">
                          <c:v>560</c:v>
                        </c:pt>
                        <c:pt idx="41">
                          <c:v>560</c:v>
                        </c:pt>
                        <c:pt idx="42">
                          <c:v>560</c:v>
                        </c:pt>
                        <c:pt idx="43">
                          <c:v>560</c:v>
                        </c:pt>
                        <c:pt idx="44">
                          <c:v>560</c:v>
                        </c:pt>
                        <c:pt idx="45">
                          <c:v>560</c:v>
                        </c:pt>
                        <c:pt idx="46">
                          <c:v>560</c:v>
                        </c:pt>
                        <c:pt idx="47">
                          <c:v>560</c:v>
                        </c:pt>
                        <c:pt idx="48">
                          <c:v>560</c:v>
                        </c:pt>
                        <c:pt idx="49">
                          <c:v>560</c:v>
                        </c:pt>
                        <c:pt idx="50">
                          <c:v>560</c:v>
                        </c:pt>
                        <c:pt idx="51">
                          <c:v>560</c:v>
                        </c:pt>
                        <c:pt idx="52">
                          <c:v>560</c:v>
                        </c:pt>
                        <c:pt idx="53">
                          <c:v>560</c:v>
                        </c:pt>
                        <c:pt idx="54">
                          <c:v>560</c:v>
                        </c:pt>
                        <c:pt idx="55">
                          <c:v>560</c:v>
                        </c:pt>
                        <c:pt idx="56">
                          <c:v>560</c:v>
                        </c:pt>
                        <c:pt idx="57">
                          <c:v>560</c:v>
                        </c:pt>
                        <c:pt idx="58">
                          <c:v>560</c:v>
                        </c:pt>
                        <c:pt idx="59">
                          <c:v>560</c:v>
                        </c:pt>
                        <c:pt idx="60">
                          <c:v>560</c:v>
                        </c:pt>
                        <c:pt idx="61">
                          <c:v>560</c:v>
                        </c:pt>
                        <c:pt idx="62">
                          <c:v>560</c:v>
                        </c:pt>
                        <c:pt idx="63">
                          <c:v>560</c:v>
                        </c:pt>
                        <c:pt idx="64">
                          <c:v>560</c:v>
                        </c:pt>
                        <c:pt idx="65">
                          <c:v>560</c:v>
                        </c:pt>
                        <c:pt idx="66">
                          <c:v>560</c:v>
                        </c:pt>
                        <c:pt idx="67">
                          <c:v>560</c:v>
                        </c:pt>
                        <c:pt idx="68">
                          <c:v>560</c:v>
                        </c:pt>
                        <c:pt idx="69">
                          <c:v>560</c:v>
                        </c:pt>
                        <c:pt idx="70">
                          <c:v>560</c:v>
                        </c:pt>
                        <c:pt idx="71">
                          <c:v>560</c:v>
                        </c:pt>
                        <c:pt idx="72">
                          <c:v>560</c:v>
                        </c:pt>
                        <c:pt idx="73">
                          <c:v>560</c:v>
                        </c:pt>
                        <c:pt idx="74">
                          <c:v>560</c:v>
                        </c:pt>
                        <c:pt idx="75">
                          <c:v>560</c:v>
                        </c:pt>
                        <c:pt idx="76">
                          <c:v>560</c:v>
                        </c:pt>
                        <c:pt idx="77">
                          <c:v>560</c:v>
                        </c:pt>
                        <c:pt idx="78">
                          <c:v>560</c:v>
                        </c:pt>
                        <c:pt idx="79">
                          <c:v>560</c:v>
                        </c:pt>
                        <c:pt idx="80">
                          <c:v>560</c:v>
                        </c:pt>
                        <c:pt idx="81">
                          <c:v>560</c:v>
                        </c:pt>
                        <c:pt idx="82">
                          <c:v>560</c:v>
                        </c:pt>
                        <c:pt idx="83">
                          <c:v>560</c:v>
                        </c:pt>
                        <c:pt idx="84">
                          <c:v>560</c:v>
                        </c:pt>
                        <c:pt idx="85">
                          <c:v>560</c:v>
                        </c:pt>
                        <c:pt idx="86">
                          <c:v>560</c:v>
                        </c:pt>
                        <c:pt idx="87">
                          <c:v>560</c:v>
                        </c:pt>
                        <c:pt idx="88">
                          <c:v>560</c:v>
                        </c:pt>
                        <c:pt idx="89">
                          <c:v>560</c:v>
                        </c:pt>
                        <c:pt idx="90">
                          <c:v>560</c:v>
                        </c:pt>
                        <c:pt idx="91">
                          <c:v>560</c:v>
                        </c:pt>
                        <c:pt idx="92">
                          <c:v>560</c:v>
                        </c:pt>
                        <c:pt idx="93">
                          <c:v>560</c:v>
                        </c:pt>
                        <c:pt idx="94">
                          <c:v>560</c:v>
                        </c:pt>
                        <c:pt idx="95">
                          <c:v>560</c:v>
                        </c:pt>
                        <c:pt idx="96">
                          <c:v>560</c:v>
                        </c:pt>
                        <c:pt idx="97">
                          <c:v>560</c:v>
                        </c:pt>
                        <c:pt idx="98">
                          <c:v>560</c:v>
                        </c:pt>
                        <c:pt idx="99">
                          <c:v>560</c:v>
                        </c:pt>
                        <c:pt idx="100">
                          <c:v>560</c:v>
                        </c:pt>
                      </c:lvl>
                      <c:lvl>
                        <c:pt idx="0">
                          <c:v>500</c:v>
                        </c:pt>
                        <c:pt idx="1">
                          <c:v>500</c:v>
                        </c:pt>
                        <c:pt idx="2">
                          <c:v>500</c:v>
                        </c:pt>
                        <c:pt idx="3">
                          <c:v>500</c:v>
                        </c:pt>
                        <c:pt idx="4">
                          <c:v>500</c:v>
                        </c:pt>
                        <c:pt idx="5">
                          <c:v>500</c:v>
                        </c:pt>
                        <c:pt idx="6">
                          <c:v>500</c:v>
                        </c:pt>
                        <c:pt idx="7">
                          <c:v>500</c:v>
                        </c:pt>
                        <c:pt idx="8">
                          <c:v>500</c:v>
                        </c:pt>
                        <c:pt idx="9">
                          <c:v>500</c:v>
                        </c:pt>
                        <c:pt idx="10">
                          <c:v>500</c:v>
                        </c:pt>
                        <c:pt idx="11">
                          <c:v>500</c:v>
                        </c:pt>
                        <c:pt idx="12">
                          <c:v>500</c:v>
                        </c:pt>
                        <c:pt idx="13">
                          <c:v>500</c:v>
                        </c:pt>
                        <c:pt idx="14">
                          <c:v>500</c:v>
                        </c:pt>
                        <c:pt idx="15">
                          <c:v>500</c:v>
                        </c:pt>
                        <c:pt idx="16">
                          <c:v>500</c:v>
                        </c:pt>
                        <c:pt idx="17">
                          <c:v>500</c:v>
                        </c:pt>
                        <c:pt idx="18">
                          <c:v>500</c:v>
                        </c:pt>
                        <c:pt idx="19">
                          <c:v>500</c:v>
                        </c:pt>
                        <c:pt idx="20">
                          <c:v>500</c:v>
                        </c:pt>
                        <c:pt idx="21">
                          <c:v>500</c:v>
                        </c:pt>
                        <c:pt idx="22">
                          <c:v>500</c:v>
                        </c:pt>
                        <c:pt idx="23">
                          <c:v>500</c:v>
                        </c:pt>
                        <c:pt idx="24">
                          <c:v>500</c:v>
                        </c:pt>
                        <c:pt idx="25">
                          <c:v>500</c:v>
                        </c:pt>
                        <c:pt idx="26">
                          <c:v>500</c:v>
                        </c:pt>
                        <c:pt idx="27">
                          <c:v>500</c:v>
                        </c:pt>
                        <c:pt idx="28">
                          <c:v>500</c:v>
                        </c:pt>
                        <c:pt idx="29">
                          <c:v>500</c:v>
                        </c:pt>
                        <c:pt idx="30">
                          <c:v>500</c:v>
                        </c:pt>
                        <c:pt idx="31">
                          <c:v>500</c:v>
                        </c:pt>
                        <c:pt idx="32">
                          <c:v>500</c:v>
                        </c:pt>
                        <c:pt idx="33">
                          <c:v>500</c:v>
                        </c:pt>
                        <c:pt idx="34">
                          <c:v>500</c:v>
                        </c:pt>
                        <c:pt idx="35">
                          <c:v>500</c:v>
                        </c:pt>
                        <c:pt idx="36">
                          <c:v>500</c:v>
                        </c:pt>
                        <c:pt idx="37">
                          <c:v>500</c:v>
                        </c:pt>
                        <c:pt idx="38">
                          <c:v>500</c:v>
                        </c:pt>
                        <c:pt idx="39">
                          <c:v>500</c:v>
                        </c:pt>
                        <c:pt idx="40">
                          <c:v>500</c:v>
                        </c:pt>
                        <c:pt idx="41">
                          <c:v>500</c:v>
                        </c:pt>
                        <c:pt idx="42">
                          <c:v>500</c:v>
                        </c:pt>
                        <c:pt idx="43">
                          <c:v>500</c:v>
                        </c:pt>
                        <c:pt idx="44">
                          <c:v>500</c:v>
                        </c:pt>
                        <c:pt idx="45">
                          <c:v>500</c:v>
                        </c:pt>
                        <c:pt idx="46">
                          <c:v>500</c:v>
                        </c:pt>
                        <c:pt idx="47">
                          <c:v>500</c:v>
                        </c:pt>
                        <c:pt idx="48">
                          <c:v>500</c:v>
                        </c:pt>
                        <c:pt idx="49">
                          <c:v>500</c:v>
                        </c:pt>
                        <c:pt idx="50">
                          <c:v>500</c:v>
                        </c:pt>
                        <c:pt idx="51">
                          <c:v>500</c:v>
                        </c:pt>
                        <c:pt idx="52">
                          <c:v>500</c:v>
                        </c:pt>
                        <c:pt idx="53">
                          <c:v>500</c:v>
                        </c:pt>
                        <c:pt idx="54">
                          <c:v>500</c:v>
                        </c:pt>
                        <c:pt idx="55">
                          <c:v>500</c:v>
                        </c:pt>
                        <c:pt idx="56">
                          <c:v>500</c:v>
                        </c:pt>
                        <c:pt idx="57">
                          <c:v>500</c:v>
                        </c:pt>
                        <c:pt idx="58">
                          <c:v>500</c:v>
                        </c:pt>
                        <c:pt idx="59">
                          <c:v>500</c:v>
                        </c:pt>
                        <c:pt idx="60">
                          <c:v>500</c:v>
                        </c:pt>
                        <c:pt idx="61">
                          <c:v>500</c:v>
                        </c:pt>
                        <c:pt idx="62">
                          <c:v>500</c:v>
                        </c:pt>
                        <c:pt idx="63">
                          <c:v>500</c:v>
                        </c:pt>
                        <c:pt idx="64">
                          <c:v>500</c:v>
                        </c:pt>
                        <c:pt idx="65">
                          <c:v>500</c:v>
                        </c:pt>
                        <c:pt idx="66">
                          <c:v>500</c:v>
                        </c:pt>
                        <c:pt idx="67">
                          <c:v>500</c:v>
                        </c:pt>
                        <c:pt idx="68">
                          <c:v>500</c:v>
                        </c:pt>
                        <c:pt idx="69">
                          <c:v>500</c:v>
                        </c:pt>
                        <c:pt idx="70">
                          <c:v>500</c:v>
                        </c:pt>
                        <c:pt idx="71">
                          <c:v>500</c:v>
                        </c:pt>
                        <c:pt idx="72">
                          <c:v>500</c:v>
                        </c:pt>
                        <c:pt idx="73">
                          <c:v>500</c:v>
                        </c:pt>
                        <c:pt idx="74">
                          <c:v>500</c:v>
                        </c:pt>
                        <c:pt idx="75">
                          <c:v>500</c:v>
                        </c:pt>
                        <c:pt idx="76">
                          <c:v>500</c:v>
                        </c:pt>
                        <c:pt idx="77">
                          <c:v>500</c:v>
                        </c:pt>
                        <c:pt idx="78">
                          <c:v>500</c:v>
                        </c:pt>
                        <c:pt idx="79">
                          <c:v>500</c:v>
                        </c:pt>
                        <c:pt idx="80">
                          <c:v>500</c:v>
                        </c:pt>
                        <c:pt idx="81">
                          <c:v>500</c:v>
                        </c:pt>
                        <c:pt idx="82">
                          <c:v>500</c:v>
                        </c:pt>
                        <c:pt idx="83">
                          <c:v>500</c:v>
                        </c:pt>
                        <c:pt idx="84">
                          <c:v>500</c:v>
                        </c:pt>
                        <c:pt idx="85">
                          <c:v>500</c:v>
                        </c:pt>
                        <c:pt idx="86">
                          <c:v>500</c:v>
                        </c:pt>
                        <c:pt idx="87">
                          <c:v>500</c:v>
                        </c:pt>
                        <c:pt idx="88">
                          <c:v>500</c:v>
                        </c:pt>
                        <c:pt idx="89">
                          <c:v>500</c:v>
                        </c:pt>
                        <c:pt idx="90">
                          <c:v>500</c:v>
                        </c:pt>
                        <c:pt idx="91">
                          <c:v>500</c:v>
                        </c:pt>
                        <c:pt idx="92">
                          <c:v>500</c:v>
                        </c:pt>
                        <c:pt idx="93">
                          <c:v>500</c:v>
                        </c:pt>
                        <c:pt idx="94">
                          <c:v>500</c:v>
                        </c:pt>
                        <c:pt idx="95">
                          <c:v>500</c:v>
                        </c:pt>
                        <c:pt idx="96">
                          <c:v>500</c:v>
                        </c:pt>
                        <c:pt idx="97">
                          <c:v>500</c:v>
                        </c:pt>
                        <c:pt idx="98">
                          <c:v>500</c:v>
                        </c:pt>
                        <c:pt idx="99">
                          <c:v>500</c:v>
                        </c:pt>
                        <c:pt idx="100">
                          <c:v>500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24</c:v>
                        </c:pt>
                        <c:pt idx="25">
                          <c:v>25</c:v>
                        </c:pt>
                        <c:pt idx="26">
                          <c:v>26</c:v>
                        </c:pt>
                        <c:pt idx="27">
                          <c:v>27</c:v>
                        </c:pt>
                        <c:pt idx="28">
                          <c:v>28</c:v>
                        </c:pt>
                        <c:pt idx="29">
                          <c:v>29</c:v>
                        </c:pt>
                        <c:pt idx="30">
                          <c:v>30</c:v>
                        </c:pt>
                        <c:pt idx="31">
                          <c:v>31</c:v>
                        </c:pt>
                        <c:pt idx="32">
                          <c:v>32</c:v>
                        </c:pt>
                        <c:pt idx="33">
                          <c:v>33</c:v>
                        </c:pt>
                        <c:pt idx="34">
                          <c:v>34</c:v>
                        </c:pt>
                        <c:pt idx="35">
                          <c:v>35</c:v>
                        </c:pt>
                        <c:pt idx="36">
                          <c:v>36</c:v>
                        </c:pt>
                        <c:pt idx="37">
                          <c:v>37</c:v>
                        </c:pt>
                        <c:pt idx="38">
                          <c:v>38</c:v>
                        </c:pt>
                        <c:pt idx="39">
                          <c:v>39</c:v>
                        </c:pt>
                        <c:pt idx="40">
                          <c:v>40</c:v>
                        </c:pt>
                        <c:pt idx="41">
                          <c:v>41</c:v>
                        </c:pt>
                        <c:pt idx="42">
                          <c:v>42</c:v>
                        </c:pt>
                        <c:pt idx="43">
                          <c:v>43</c:v>
                        </c:pt>
                        <c:pt idx="44">
                          <c:v>44</c:v>
                        </c:pt>
                        <c:pt idx="45">
                          <c:v>45</c:v>
                        </c:pt>
                        <c:pt idx="46">
                          <c:v>46</c:v>
                        </c:pt>
                        <c:pt idx="47">
                          <c:v>47</c:v>
                        </c:pt>
                        <c:pt idx="48">
                          <c:v>48</c:v>
                        </c:pt>
                        <c:pt idx="49">
                          <c:v>49</c:v>
                        </c:pt>
                        <c:pt idx="50">
                          <c:v>50</c:v>
                        </c:pt>
                        <c:pt idx="51">
                          <c:v>51</c:v>
                        </c:pt>
                        <c:pt idx="52">
                          <c:v>52</c:v>
                        </c:pt>
                        <c:pt idx="53">
                          <c:v>53</c:v>
                        </c:pt>
                        <c:pt idx="54">
                          <c:v>54</c:v>
                        </c:pt>
                        <c:pt idx="55">
                          <c:v>55</c:v>
                        </c:pt>
                        <c:pt idx="56">
                          <c:v>56</c:v>
                        </c:pt>
                        <c:pt idx="57">
                          <c:v>57</c:v>
                        </c:pt>
                        <c:pt idx="58">
                          <c:v>58</c:v>
                        </c:pt>
                        <c:pt idx="59">
                          <c:v>59</c:v>
                        </c:pt>
                        <c:pt idx="60">
                          <c:v>60</c:v>
                        </c:pt>
                        <c:pt idx="61">
                          <c:v>61</c:v>
                        </c:pt>
                        <c:pt idx="62">
                          <c:v>62</c:v>
                        </c:pt>
                        <c:pt idx="63">
                          <c:v>63</c:v>
                        </c:pt>
                        <c:pt idx="64">
                          <c:v>64</c:v>
                        </c:pt>
                        <c:pt idx="65">
                          <c:v>65</c:v>
                        </c:pt>
                        <c:pt idx="66">
                          <c:v>66</c:v>
                        </c:pt>
                        <c:pt idx="67">
                          <c:v>67</c:v>
                        </c:pt>
                        <c:pt idx="68">
                          <c:v>68</c:v>
                        </c:pt>
                        <c:pt idx="69">
                          <c:v>69</c:v>
                        </c:pt>
                        <c:pt idx="70">
                          <c:v>70</c:v>
                        </c:pt>
                        <c:pt idx="71">
                          <c:v>71</c:v>
                        </c:pt>
                        <c:pt idx="72">
                          <c:v>72</c:v>
                        </c:pt>
                        <c:pt idx="73">
                          <c:v>73</c:v>
                        </c:pt>
                        <c:pt idx="74">
                          <c:v>74</c:v>
                        </c:pt>
                        <c:pt idx="75">
                          <c:v>75</c:v>
                        </c:pt>
                        <c:pt idx="76">
                          <c:v>76</c:v>
                        </c:pt>
                        <c:pt idx="77">
                          <c:v>77</c:v>
                        </c:pt>
                        <c:pt idx="78">
                          <c:v>78</c:v>
                        </c:pt>
                        <c:pt idx="79">
                          <c:v>79</c:v>
                        </c:pt>
                        <c:pt idx="80">
                          <c:v>80</c:v>
                        </c:pt>
                        <c:pt idx="81">
                          <c:v>81</c:v>
                        </c:pt>
                        <c:pt idx="82">
                          <c:v>82</c:v>
                        </c:pt>
                        <c:pt idx="83">
                          <c:v>83</c:v>
                        </c:pt>
                        <c:pt idx="84">
                          <c:v>84</c:v>
                        </c:pt>
                        <c:pt idx="85">
                          <c:v>85</c:v>
                        </c:pt>
                        <c:pt idx="86">
                          <c:v>86</c:v>
                        </c:pt>
                        <c:pt idx="87">
                          <c:v>87</c:v>
                        </c:pt>
                        <c:pt idx="88">
                          <c:v>88</c:v>
                        </c:pt>
                        <c:pt idx="89">
                          <c:v>89</c:v>
                        </c:pt>
                        <c:pt idx="90">
                          <c:v>90</c:v>
                        </c:pt>
                        <c:pt idx="91">
                          <c:v>91</c:v>
                        </c:pt>
                        <c:pt idx="92">
                          <c:v>92</c:v>
                        </c:pt>
                        <c:pt idx="93">
                          <c:v>93</c:v>
                        </c:pt>
                        <c:pt idx="94">
                          <c:v>94</c:v>
                        </c:pt>
                        <c:pt idx="95">
                          <c:v>95</c:v>
                        </c:pt>
                        <c:pt idx="96">
                          <c:v>96</c:v>
                        </c:pt>
                        <c:pt idx="97">
                          <c:v>97</c:v>
                        </c:pt>
                        <c:pt idx="98">
                          <c:v>98</c:v>
                        </c:pt>
                        <c:pt idx="99">
                          <c:v>99</c:v>
                        </c:pt>
                        <c:pt idx="100">
                          <c:v>100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Comparing'!$Y$10:$Y$110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A5C-4395-9C78-B97C184E9CD7}"/>
                  </c:ext>
                </c:extLst>
              </c15:ser>
            </c15:filteredScatterSeries>
          </c:ext>
        </c:extLst>
      </c:scatterChart>
      <c:valAx>
        <c:axId val="161194894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34063"/>
        <c:crosses val="autoZero"/>
        <c:crossBetween val="midCat"/>
        <c:majorUnit val="5"/>
      </c:valAx>
      <c:valAx>
        <c:axId val="1611934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Boiling Temp (deg.C)</a:t>
                </a:r>
              </a:p>
            </c:rich>
          </c:tx>
          <c:layout>
            <c:manualLayout>
              <c:xMode val="edge"/>
              <c:yMode val="edge"/>
              <c:x val="3.6279909515466682E-2"/>
              <c:y val="0.30633450304659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4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75607562603333189"/>
          <c:y val="0.37361098795536835"/>
          <c:w val="0.11724917440729837"/>
          <c:h val="0.23632547268898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D5 1ST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Comparing'!$N$116:$N$213</c:f>
              <c:numCache>
                <c:formatCode>General</c:formatCode>
                <c:ptCount val="98"/>
                <c:pt idx="0">
                  <c:v>83.8</c:v>
                </c:pt>
                <c:pt idx="1">
                  <c:v>120.1</c:v>
                </c:pt>
                <c:pt idx="2">
                  <c:v>152.69999999999999</c:v>
                </c:pt>
                <c:pt idx="3">
                  <c:v>175.8</c:v>
                </c:pt>
                <c:pt idx="4">
                  <c:v>191.3</c:v>
                </c:pt>
                <c:pt idx="5">
                  <c:v>205.8</c:v>
                </c:pt>
                <c:pt idx="6">
                  <c:v>216.5</c:v>
                </c:pt>
                <c:pt idx="7">
                  <c:v>229.2</c:v>
                </c:pt>
                <c:pt idx="8">
                  <c:v>237.9</c:v>
                </c:pt>
                <c:pt idx="9">
                  <c:v>247.6</c:v>
                </c:pt>
                <c:pt idx="10">
                  <c:v>256.10000000000002</c:v>
                </c:pt>
                <c:pt idx="11">
                  <c:v>264.8</c:v>
                </c:pt>
                <c:pt idx="12">
                  <c:v>272.7</c:v>
                </c:pt>
                <c:pt idx="13">
                  <c:v>281</c:v>
                </c:pt>
                <c:pt idx="14">
                  <c:v>288.3</c:v>
                </c:pt>
                <c:pt idx="15">
                  <c:v>296.10000000000002</c:v>
                </c:pt>
                <c:pt idx="16">
                  <c:v>303.2</c:v>
                </c:pt>
                <c:pt idx="17">
                  <c:v>310.3</c:v>
                </c:pt>
                <c:pt idx="18">
                  <c:v>316.89999999999998</c:v>
                </c:pt>
                <c:pt idx="19">
                  <c:v>323.60000000000002</c:v>
                </c:pt>
                <c:pt idx="20">
                  <c:v>330.4</c:v>
                </c:pt>
                <c:pt idx="21">
                  <c:v>336</c:v>
                </c:pt>
                <c:pt idx="22">
                  <c:v>342.3</c:v>
                </c:pt>
                <c:pt idx="23">
                  <c:v>347.3</c:v>
                </c:pt>
                <c:pt idx="24">
                  <c:v>352.9</c:v>
                </c:pt>
                <c:pt idx="25">
                  <c:v>357.5</c:v>
                </c:pt>
                <c:pt idx="26">
                  <c:v>363.2</c:v>
                </c:pt>
                <c:pt idx="27">
                  <c:v>368.4</c:v>
                </c:pt>
                <c:pt idx="28">
                  <c:v>374.4</c:v>
                </c:pt>
                <c:pt idx="29">
                  <c:v>381.3</c:v>
                </c:pt>
                <c:pt idx="30">
                  <c:v>387.3</c:v>
                </c:pt>
                <c:pt idx="31">
                  <c:v>393.2</c:v>
                </c:pt>
                <c:pt idx="32">
                  <c:v>397.9</c:v>
                </c:pt>
                <c:pt idx="33">
                  <c:v>403</c:v>
                </c:pt>
                <c:pt idx="34">
                  <c:v>407.7</c:v>
                </c:pt>
                <c:pt idx="35">
                  <c:v>412.7</c:v>
                </c:pt>
                <c:pt idx="36">
                  <c:v>418.2</c:v>
                </c:pt>
                <c:pt idx="37">
                  <c:v>424</c:v>
                </c:pt>
                <c:pt idx="38">
                  <c:v>429.3</c:v>
                </c:pt>
                <c:pt idx="39">
                  <c:v>434.6</c:v>
                </c:pt>
                <c:pt idx="40">
                  <c:v>439.3</c:v>
                </c:pt>
                <c:pt idx="41">
                  <c:v>444.2</c:v>
                </c:pt>
                <c:pt idx="42">
                  <c:v>449</c:v>
                </c:pt>
                <c:pt idx="43">
                  <c:v>454.5</c:v>
                </c:pt>
                <c:pt idx="44">
                  <c:v>459.7</c:v>
                </c:pt>
                <c:pt idx="45">
                  <c:v>465</c:v>
                </c:pt>
                <c:pt idx="46">
                  <c:v>470.1</c:v>
                </c:pt>
                <c:pt idx="47">
                  <c:v>474.9</c:v>
                </c:pt>
                <c:pt idx="48">
                  <c:v>479.9</c:v>
                </c:pt>
                <c:pt idx="49">
                  <c:v>485</c:v>
                </c:pt>
                <c:pt idx="50">
                  <c:v>490.4</c:v>
                </c:pt>
                <c:pt idx="51">
                  <c:v>495.8</c:v>
                </c:pt>
                <c:pt idx="52">
                  <c:v>500.3</c:v>
                </c:pt>
                <c:pt idx="53">
                  <c:v>504.8</c:v>
                </c:pt>
                <c:pt idx="54">
                  <c:v>509.4</c:v>
                </c:pt>
                <c:pt idx="55">
                  <c:v>514.5</c:v>
                </c:pt>
                <c:pt idx="56">
                  <c:v>519.70000000000005</c:v>
                </c:pt>
                <c:pt idx="57">
                  <c:v>524.5</c:v>
                </c:pt>
                <c:pt idx="58">
                  <c:v>529.1</c:v>
                </c:pt>
                <c:pt idx="59">
                  <c:v>533.6</c:v>
                </c:pt>
                <c:pt idx="60">
                  <c:v>538</c:v>
                </c:pt>
                <c:pt idx="61">
                  <c:v>542.5</c:v>
                </c:pt>
                <c:pt idx="62">
                  <c:v>547</c:v>
                </c:pt>
                <c:pt idx="63">
                  <c:v>551.6</c:v>
                </c:pt>
                <c:pt idx="64">
                  <c:v>556.20000000000005</c:v>
                </c:pt>
                <c:pt idx="65">
                  <c:v>560.4</c:v>
                </c:pt>
                <c:pt idx="66">
                  <c:v>564.5</c:v>
                </c:pt>
                <c:pt idx="67">
                  <c:v>568.4</c:v>
                </c:pt>
                <c:pt idx="68">
                  <c:v>572.1</c:v>
                </c:pt>
                <c:pt idx="69">
                  <c:v>575.9</c:v>
                </c:pt>
                <c:pt idx="70">
                  <c:v>579.70000000000005</c:v>
                </c:pt>
                <c:pt idx="71">
                  <c:v>583.5</c:v>
                </c:pt>
                <c:pt idx="72">
                  <c:v>587.29999999999995</c:v>
                </c:pt>
                <c:pt idx="73">
                  <c:v>591</c:v>
                </c:pt>
                <c:pt idx="74">
                  <c:v>594.79999999999995</c:v>
                </c:pt>
                <c:pt idx="75">
                  <c:v>598.5</c:v>
                </c:pt>
                <c:pt idx="76">
                  <c:v>602.4</c:v>
                </c:pt>
                <c:pt idx="77">
                  <c:v>606.29999999999995</c:v>
                </c:pt>
                <c:pt idx="78">
                  <c:v>610.29999999999995</c:v>
                </c:pt>
                <c:pt idx="79">
                  <c:v>614.4</c:v>
                </c:pt>
                <c:pt idx="80">
                  <c:v>618.6</c:v>
                </c:pt>
                <c:pt idx="81">
                  <c:v>623</c:v>
                </c:pt>
                <c:pt idx="82">
                  <c:v>627.29999999999995</c:v>
                </c:pt>
                <c:pt idx="83">
                  <c:v>631.70000000000005</c:v>
                </c:pt>
                <c:pt idx="84">
                  <c:v>636.20000000000005</c:v>
                </c:pt>
                <c:pt idx="85">
                  <c:v>641.1</c:v>
                </c:pt>
                <c:pt idx="86">
                  <c:v>646.29999999999995</c:v>
                </c:pt>
                <c:pt idx="87">
                  <c:v>651.4</c:v>
                </c:pt>
                <c:pt idx="88">
                  <c:v>656.4</c:v>
                </c:pt>
                <c:pt idx="89">
                  <c:v>662.9</c:v>
                </c:pt>
                <c:pt idx="90">
                  <c:v>670.2</c:v>
                </c:pt>
                <c:pt idx="91">
                  <c:v>677.2</c:v>
                </c:pt>
                <c:pt idx="92">
                  <c:v>685.2</c:v>
                </c:pt>
                <c:pt idx="93">
                  <c:v>692.9</c:v>
                </c:pt>
                <c:pt idx="94">
                  <c:v>701.1</c:v>
                </c:pt>
                <c:pt idx="95">
                  <c:v>709.2</c:v>
                </c:pt>
                <c:pt idx="96">
                  <c:v>718.8</c:v>
                </c:pt>
                <c:pt idx="97">
                  <c:v>729.2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1-4DBC-B2E1-09987C014495}"/>
            </c:ext>
          </c:extLst>
        </c:ser>
        <c:ser>
          <c:idx val="1"/>
          <c:order val="1"/>
          <c:tx>
            <c:v>D5 2ND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Comparing'!$N$10:$N$98</c:f>
              <c:numCache>
                <c:formatCode>General</c:formatCode>
                <c:ptCount val="89"/>
                <c:pt idx="0">
                  <c:v>95.5</c:v>
                </c:pt>
                <c:pt idx="1">
                  <c:v>125.7</c:v>
                </c:pt>
                <c:pt idx="2">
                  <c:v>155.6</c:v>
                </c:pt>
                <c:pt idx="3">
                  <c:v>174.7</c:v>
                </c:pt>
                <c:pt idx="4">
                  <c:v>190.5</c:v>
                </c:pt>
                <c:pt idx="5">
                  <c:v>203.2</c:v>
                </c:pt>
                <c:pt idx="6">
                  <c:v>216</c:v>
                </c:pt>
                <c:pt idx="7">
                  <c:v>226</c:v>
                </c:pt>
                <c:pt idx="8">
                  <c:v>235.1</c:v>
                </c:pt>
                <c:pt idx="9">
                  <c:v>245.2</c:v>
                </c:pt>
                <c:pt idx="10">
                  <c:v>253.3</c:v>
                </c:pt>
                <c:pt idx="11">
                  <c:v>262.5</c:v>
                </c:pt>
                <c:pt idx="12">
                  <c:v>270.2</c:v>
                </c:pt>
                <c:pt idx="13">
                  <c:v>278.8</c:v>
                </c:pt>
                <c:pt idx="14">
                  <c:v>286.39999999999998</c:v>
                </c:pt>
                <c:pt idx="15">
                  <c:v>294.10000000000002</c:v>
                </c:pt>
                <c:pt idx="16">
                  <c:v>301</c:v>
                </c:pt>
                <c:pt idx="17">
                  <c:v>308</c:v>
                </c:pt>
                <c:pt idx="18">
                  <c:v>314.89999999999998</c:v>
                </c:pt>
                <c:pt idx="19">
                  <c:v>321.3</c:v>
                </c:pt>
                <c:pt idx="20">
                  <c:v>328.2</c:v>
                </c:pt>
                <c:pt idx="21">
                  <c:v>334.2</c:v>
                </c:pt>
                <c:pt idx="22">
                  <c:v>340.8</c:v>
                </c:pt>
                <c:pt idx="23">
                  <c:v>346.4</c:v>
                </c:pt>
                <c:pt idx="24">
                  <c:v>352.3</c:v>
                </c:pt>
                <c:pt idx="25">
                  <c:v>357.5</c:v>
                </c:pt>
                <c:pt idx="26">
                  <c:v>363.2</c:v>
                </c:pt>
                <c:pt idx="27">
                  <c:v>368.5</c:v>
                </c:pt>
                <c:pt idx="28">
                  <c:v>375.1</c:v>
                </c:pt>
                <c:pt idx="29">
                  <c:v>381.5</c:v>
                </c:pt>
                <c:pt idx="30">
                  <c:v>388.2</c:v>
                </c:pt>
                <c:pt idx="31">
                  <c:v>393.9</c:v>
                </c:pt>
                <c:pt idx="32">
                  <c:v>399.4</c:v>
                </c:pt>
                <c:pt idx="33">
                  <c:v>404.7</c:v>
                </c:pt>
                <c:pt idx="34">
                  <c:v>410</c:v>
                </c:pt>
                <c:pt idx="35">
                  <c:v>415.6</c:v>
                </c:pt>
                <c:pt idx="36">
                  <c:v>421</c:v>
                </c:pt>
                <c:pt idx="37">
                  <c:v>427</c:v>
                </c:pt>
                <c:pt idx="38">
                  <c:v>432.5</c:v>
                </c:pt>
                <c:pt idx="39">
                  <c:v>438.1</c:v>
                </c:pt>
                <c:pt idx="40">
                  <c:v>443.3</c:v>
                </c:pt>
                <c:pt idx="41">
                  <c:v>448.5</c:v>
                </c:pt>
                <c:pt idx="42">
                  <c:v>454.3</c:v>
                </c:pt>
                <c:pt idx="43">
                  <c:v>459.9</c:v>
                </c:pt>
                <c:pt idx="44">
                  <c:v>465.4</c:v>
                </c:pt>
                <c:pt idx="45">
                  <c:v>471</c:v>
                </c:pt>
                <c:pt idx="46">
                  <c:v>476.4</c:v>
                </c:pt>
                <c:pt idx="47">
                  <c:v>481.9</c:v>
                </c:pt>
                <c:pt idx="48">
                  <c:v>487.5</c:v>
                </c:pt>
                <c:pt idx="49">
                  <c:v>493.2</c:v>
                </c:pt>
                <c:pt idx="50">
                  <c:v>498.4</c:v>
                </c:pt>
                <c:pt idx="51">
                  <c:v>503.4</c:v>
                </c:pt>
                <c:pt idx="52">
                  <c:v>508.3</c:v>
                </c:pt>
                <c:pt idx="53">
                  <c:v>513.70000000000005</c:v>
                </c:pt>
                <c:pt idx="54">
                  <c:v>519.1</c:v>
                </c:pt>
                <c:pt idx="55">
                  <c:v>524.20000000000005</c:v>
                </c:pt>
                <c:pt idx="56">
                  <c:v>529.1</c:v>
                </c:pt>
                <c:pt idx="57">
                  <c:v>533.9</c:v>
                </c:pt>
                <c:pt idx="58">
                  <c:v>538.70000000000005</c:v>
                </c:pt>
                <c:pt idx="59">
                  <c:v>543.29999999999995</c:v>
                </c:pt>
                <c:pt idx="60">
                  <c:v>548.1</c:v>
                </c:pt>
                <c:pt idx="61">
                  <c:v>552.79999999999995</c:v>
                </c:pt>
                <c:pt idx="62">
                  <c:v>557.4</c:v>
                </c:pt>
                <c:pt idx="63">
                  <c:v>561.79999999999995</c:v>
                </c:pt>
                <c:pt idx="64">
                  <c:v>566.1</c:v>
                </c:pt>
                <c:pt idx="65">
                  <c:v>570.20000000000005</c:v>
                </c:pt>
                <c:pt idx="66">
                  <c:v>574.20000000000005</c:v>
                </c:pt>
                <c:pt idx="67">
                  <c:v>578.5</c:v>
                </c:pt>
                <c:pt idx="68">
                  <c:v>582.9</c:v>
                </c:pt>
                <c:pt idx="69">
                  <c:v>587.20000000000005</c:v>
                </c:pt>
                <c:pt idx="70">
                  <c:v>591.6</c:v>
                </c:pt>
                <c:pt idx="71">
                  <c:v>596</c:v>
                </c:pt>
                <c:pt idx="72">
                  <c:v>600.5</c:v>
                </c:pt>
                <c:pt idx="73">
                  <c:v>605.29999999999995</c:v>
                </c:pt>
                <c:pt idx="74">
                  <c:v>610.29999999999995</c:v>
                </c:pt>
                <c:pt idx="75">
                  <c:v>615.29999999999995</c:v>
                </c:pt>
                <c:pt idx="76">
                  <c:v>620.9</c:v>
                </c:pt>
                <c:pt idx="77">
                  <c:v>626.4</c:v>
                </c:pt>
                <c:pt idx="78">
                  <c:v>632.1</c:v>
                </c:pt>
                <c:pt idx="79">
                  <c:v>638</c:v>
                </c:pt>
                <c:pt idx="80">
                  <c:v>644.6</c:v>
                </c:pt>
                <c:pt idx="81">
                  <c:v>651.6</c:v>
                </c:pt>
                <c:pt idx="82">
                  <c:v>658.6</c:v>
                </c:pt>
                <c:pt idx="83">
                  <c:v>667.9</c:v>
                </c:pt>
                <c:pt idx="84">
                  <c:v>677.4</c:v>
                </c:pt>
                <c:pt idx="85">
                  <c:v>688.1</c:v>
                </c:pt>
                <c:pt idx="86">
                  <c:v>698.6</c:v>
                </c:pt>
                <c:pt idx="87">
                  <c:v>709.6</c:v>
                </c:pt>
                <c:pt idx="88">
                  <c:v>722.6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1-4DBC-B2E1-09987C01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080384"/>
        <c:axId val="1502075104"/>
      </c:scatterChart>
      <c:valAx>
        <c:axId val="1502080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75104"/>
        <c:crosses val="autoZero"/>
        <c:crossBetween val="midCat"/>
      </c:valAx>
      <c:valAx>
        <c:axId val="15020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8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D6 1ST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Comparing'!$O$116:$O$208</c:f>
              <c:numCache>
                <c:formatCode>General</c:formatCode>
                <c:ptCount val="93"/>
                <c:pt idx="0">
                  <c:v>96.6</c:v>
                </c:pt>
                <c:pt idx="1">
                  <c:v>124.3</c:v>
                </c:pt>
                <c:pt idx="2">
                  <c:v>152.1</c:v>
                </c:pt>
                <c:pt idx="3">
                  <c:v>173.7</c:v>
                </c:pt>
                <c:pt idx="4">
                  <c:v>191.4</c:v>
                </c:pt>
                <c:pt idx="5">
                  <c:v>205.2</c:v>
                </c:pt>
                <c:pt idx="6">
                  <c:v>218.2</c:v>
                </c:pt>
                <c:pt idx="7">
                  <c:v>229.6</c:v>
                </c:pt>
                <c:pt idx="8">
                  <c:v>239.8</c:v>
                </c:pt>
                <c:pt idx="9">
                  <c:v>250.7</c:v>
                </c:pt>
                <c:pt idx="10">
                  <c:v>260</c:v>
                </c:pt>
                <c:pt idx="11">
                  <c:v>269.8</c:v>
                </c:pt>
                <c:pt idx="12">
                  <c:v>278.8</c:v>
                </c:pt>
                <c:pt idx="13">
                  <c:v>287</c:v>
                </c:pt>
                <c:pt idx="14">
                  <c:v>295.8</c:v>
                </c:pt>
                <c:pt idx="15">
                  <c:v>303</c:v>
                </c:pt>
                <c:pt idx="16">
                  <c:v>311.39999999999998</c:v>
                </c:pt>
                <c:pt idx="17">
                  <c:v>318.3</c:v>
                </c:pt>
                <c:pt idx="18">
                  <c:v>326.39999999999998</c:v>
                </c:pt>
                <c:pt idx="19">
                  <c:v>333.1</c:v>
                </c:pt>
                <c:pt idx="20">
                  <c:v>340.8</c:v>
                </c:pt>
                <c:pt idx="21">
                  <c:v>347.4</c:v>
                </c:pt>
                <c:pt idx="22">
                  <c:v>354.7</c:v>
                </c:pt>
                <c:pt idx="23">
                  <c:v>360.8</c:v>
                </c:pt>
                <c:pt idx="24">
                  <c:v>367.9</c:v>
                </c:pt>
                <c:pt idx="25">
                  <c:v>373.9</c:v>
                </c:pt>
                <c:pt idx="26">
                  <c:v>380</c:v>
                </c:pt>
                <c:pt idx="27">
                  <c:v>386.5</c:v>
                </c:pt>
                <c:pt idx="28">
                  <c:v>392.4</c:v>
                </c:pt>
                <c:pt idx="29">
                  <c:v>398.9</c:v>
                </c:pt>
                <c:pt idx="30">
                  <c:v>404.9</c:v>
                </c:pt>
                <c:pt idx="31">
                  <c:v>411.2</c:v>
                </c:pt>
                <c:pt idx="32">
                  <c:v>416.8</c:v>
                </c:pt>
                <c:pt idx="33">
                  <c:v>422.2</c:v>
                </c:pt>
                <c:pt idx="34">
                  <c:v>428.1</c:v>
                </c:pt>
                <c:pt idx="35">
                  <c:v>433.6</c:v>
                </c:pt>
                <c:pt idx="36">
                  <c:v>439.5</c:v>
                </c:pt>
                <c:pt idx="37">
                  <c:v>445</c:v>
                </c:pt>
                <c:pt idx="38">
                  <c:v>450.4</c:v>
                </c:pt>
                <c:pt idx="39">
                  <c:v>456.3</c:v>
                </c:pt>
                <c:pt idx="40">
                  <c:v>461.8</c:v>
                </c:pt>
                <c:pt idx="41">
                  <c:v>467.4</c:v>
                </c:pt>
                <c:pt idx="42">
                  <c:v>473</c:v>
                </c:pt>
                <c:pt idx="43">
                  <c:v>478.6</c:v>
                </c:pt>
                <c:pt idx="44">
                  <c:v>484.1</c:v>
                </c:pt>
                <c:pt idx="45">
                  <c:v>489.7</c:v>
                </c:pt>
                <c:pt idx="46">
                  <c:v>495.3</c:v>
                </c:pt>
                <c:pt idx="47">
                  <c:v>500.3</c:v>
                </c:pt>
                <c:pt idx="48">
                  <c:v>505.2</c:v>
                </c:pt>
                <c:pt idx="49">
                  <c:v>510.2</c:v>
                </c:pt>
                <c:pt idx="50">
                  <c:v>515.5</c:v>
                </c:pt>
                <c:pt idx="51">
                  <c:v>520.79999999999995</c:v>
                </c:pt>
                <c:pt idx="52">
                  <c:v>525.70000000000005</c:v>
                </c:pt>
                <c:pt idx="53">
                  <c:v>530.4</c:v>
                </c:pt>
                <c:pt idx="54">
                  <c:v>535.1</c:v>
                </c:pt>
                <c:pt idx="55">
                  <c:v>539.6</c:v>
                </c:pt>
                <c:pt idx="56">
                  <c:v>544.1</c:v>
                </c:pt>
                <c:pt idx="57">
                  <c:v>548.5</c:v>
                </c:pt>
                <c:pt idx="58">
                  <c:v>553</c:v>
                </c:pt>
                <c:pt idx="59">
                  <c:v>557.29999999999995</c:v>
                </c:pt>
                <c:pt idx="60">
                  <c:v>561.4</c:v>
                </c:pt>
                <c:pt idx="61">
                  <c:v>565.29999999999995</c:v>
                </c:pt>
                <c:pt idx="62">
                  <c:v>569</c:v>
                </c:pt>
                <c:pt idx="63">
                  <c:v>572.5</c:v>
                </c:pt>
                <c:pt idx="64">
                  <c:v>576.20000000000005</c:v>
                </c:pt>
                <c:pt idx="65">
                  <c:v>580</c:v>
                </c:pt>
                <c:pt idx="66">
                  <c:v>583.70000000000005</c:v>
                </c:pt>
                <c:pt idx="67">
                  <c:v>587.5</c:v>
                </c:pt>
                <c:pt idx="68">
                  <c:v>591.29999999999995</c:v>
                </c:pt>
                <c:pt idx="69">
                  <c:v>595</c:v>
                </c:pt>
                <c:pt idx="70">
                  <c:v>598.70000000000005</c:v>
                </c:pt>
                <c:pt idx="71">
                  <c:v>602.6</c:v>
                </c:pt>
                <c:pt idx="72">
                  <c:v>606.70000000000005</c:v>
                </c:pt>
                <c:pt idx="73">
                  <c:v>610.79999999999995</c:v>
                </c:pt>
                <c:pt idx="74">
                  <c:v>614.9</c:v>
                </c:pt>
                <c:pt idx="75">
                  <c:v>619.4</c:v>
                </c:pt>
                <c:pt idx="76">
                  <c:v>623.9</c:v>
                </c:pt>
                <c:pt idx="77">
                  <c:v>628.5</c:v>
                </c:pt>
                <c:pt idx="78">
                  <c:v>633</c:v>
                </c:pt>
                <c:pt idx="79">
                  <c:v>637.9</c:v>
                </c:pt>
                <c:pt idx="80">
                  <c:v>643.20000000000005</c:v>
                </c:pt>
                <c:pt idx="81">
                  <c:v>648.70000000000005</c:v>
                </c:pt>
                <c:pt idx="82">
                  <c:v>654.1</c:v>
                </c:pt>
                <c:pt idx="83">
                  <c:v>659.8</c:v>
                </c:pt>
                <c:pt idx="84">
                  <c:v>667</c:v>
                </c:pt>
                <c:pt idx="85">
                  <c:v>673.9</c:v>
                </c:pt>
                <c:pt idx="86">
                  <c:v>682.1</c:v>
                </c:pt>
                <c:pt idx="87">
                  <c:v>689.8</c:v>
                </c:pt>
                <c:pt idx="88">
                  <c:v>697</c:v>
                </c:pt>
                <c:pt idx="89">
                  <c:v>705</c:v>
                </c:pt>
                <c:pt idx="90">
                  <c:v>713.3</c:v>
                </c:pt>
                <c:pt idx="91">
                  <c:v>721.8</c:v>
                </c:pt>
                <c:pt idx="92">
                  <c:v>730.5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1-4DBC-B2E1-09987C014495}"/>
            </c:ext>
          </c:extLst>
        </c:ser>
        <c:ser>
          <c:idx val="1"/>
          <c:order val="1"/>
          <c:tx>
            <c:v>D6 2ND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Comparing'!$O$10:$O$97</c:f>
              <c:numCache>
                <c:formatCode>General</c:formatCode>
                <c:ptCount val="88"/>
                <c:pt idx="0">
                  <c:v>110.4</c:v>
                </c:pt>
                <c:pt idx="1">
                  <c:v>133.4</c:v>
                </c:pt>
                <c:pt idx="2">
                  <c:v>162.30000000000001</c:v>
                </c:pt>
                <c:pt idx="3">
                  <c:v>180.8</c:v>
                </c:pt>
                <c:pt idx="4">
                  <c:v>196.7</c:v>
                </c:pt>
                <c:pt idx="5">
                  <c:v>211.2</c:v>
                </c:pt>
                <c:pt idx="6">
                  <c:v>222.6</c:v>
                </c:pt>
                <c:pt idx="7">
                  <c:v>234</c:v>
                </c:pt>
                <c:pt idx="8">
                  <c:v>244.8</c:v>
                </c:pt>
                <c:pt idx="9">
                  <c:v>253.6</c:v>
                </c:pt>
                <c:pt idx="10">
                  <c:v>264</c:v>
                </c:pt>
                <c:pt idx="11">
                  <c:v>273.10000000000002</c:v>
                </c:pt>
                <c:pt idx="12">
                  <c:v>283</c:v>
                </c:pt>
                <c:pt idx="13">
                  <c:v>291.5</c:v>
                </c:pt>
                <c:pt idx="14">
                  <c:v>299.39999999999998</c:v>
                </c:pt>
                <c:pt idx="15">
                  <c:v>306.89999999999998</c:v>
                </c:pt>
                <c:pt idx="16">
                  <c:v>314.2</c:v>
                </c:pt>
                <c:pt idx="17">
                  <c:v>321.7</c:v>
                </c:pt>
                <c:pt idx="18">
                  <c:v>328.5</c:v>
                </c:pt>
                <c:pt idx="19">
                  <c:v>336.2</c:v>
                </c:pt>
                <c:pt idx="20">
                  <c:v>342.6</c:v>
                </c:pt>
                <c:pt idx="21">
                  <c:v>349.8</c:v>
                </c:pt>
                <c:pt idx="22">
                  <c:v>355.6</c:v>
                </c:pt>
                <c:pt idx="23">
                  <c:v>362.1</c:v>
                </c:pt>
                <c:pt idx="24">
                  <c:v>368</c:v>
                </c:pt>
                <c:pt idx="25">
                  <c:v>375.3</c:v>
                </c:pt>
                <c:pt idx="26">
                  <c:v>382.2</c:v>
                </c:pt>
                <c:pt idx="27">
                  <c:v>389</c:v>
                </c:pt>
                <c:pt idx="28">
                  <c:v>395.6</c:v>
                </c:pt>
                <c:pt idx="29">
                  <c:v>401.3</c:v>
                </c:pt>
                <c:pt idx="30">
                  <c:v>407.5</c:v>
                </c:pt>
                <c:pt idx="31">
                  <c:v>413.1</c:v>
                </c:pt>
                <c:pt idx="32">
                  <c:v>419</c:v>
                </c:pt>
                <c:pt idx="33">
                  <c:v>425.4</c:v>
                </c:pt>
                <c:pt idx="34">
                  <c:v>431.3</c:v>
                </c:pt>
                <c:pt idx="35">
                  <c:v>437.2</c:v>
                </c:pt>
                <c:pt idx="36">
                  <c:v>442.9</c:v>
                </c:pt>
                <c:pt idx="37">
                  <c:v>448.4</c:v>
                </c:pt>
                <c:pt idx="38">
                  <c:v>454.4</c:v>
                </c:pt>
                <c:pt idx="39">
                  <c:v>460.3</c:v>
                </c:pt>
                <c:pt idx="40">
                  <c:v>466.1</c:v>
                </c:pt>
                <c:pt idx="41">
                  <c:v>471.7</c:v>
                </c:pt>
                <c:pt idx="42">
                  <c:v>477.5</c:v>
                </c:pt>
                <c:pt idx="43">
                  <c:v>483.1</c:v>
                </c:pt>
                <c:pt idx="44">
                  <c:v>488.8</c:v>
                </c:pt>
                <c:pt idx="45">
                  <c:v>494.6</c:v>
                </c:pt>
                <c:pt idx="46">
                  <c:v>499.9</c:v>
                </c:pt>
                <c:pt idx="47">
                  <c:v>504.9</c:v>
                </c:pt>
                <c:pt idx="48">
                  <c:v>510</c:v>
                </c:pt>
                <c:pt idx="49">
                  <c:v>515.4</c:v>
                </c:pt>
                <c:pt idx="50">
                  <c:v>520.79999999999995</c:v>
                </c:pt>
                <c:pt idx="51">
                  <c:v>525.79999999999995</c:v>
                </c:pt>
                <c:pt idx="52">
                  <c:v>530.6</c:v>
                </c:pt>
                <c:pt idx="53">
                  <c:v>535.29999999999995</c:v>
                </c:pt>
                <c:pt idx="54">
                  <c:v>539.9</c:v>
                </c:pt>
                <c:pt idx="55">
                  <c:v>544.4</c:v>
                </c:pt>
                <c:pt idx="56">
                  <c:v>549</c:v>
                </c:pt>
                <c:pt idx="57">
                  <c:v>553.5</c:v>
                </c:pt>
                <c:pt idx="58">
                  <c:v>557.79999999999995</c:v>
                </c:pt>
                <c:pt idx="59">
                  <c:v>561.79999999999995</c:v>
                </c:pt>
                <c:pt idx="60">
                  <c:v>565.79999999999995</c:v>
                </c:pt>
                <c:pt idx="61">
                  <c:v>569.5</c:v>
                </c:pt>
                <c:pt idx="62">
                  <c:v>573.20000000000005</c:v>
                </c:pt>
                <c:pt idx="63">
                  <c:v>577.1</c:v>
                </c:pt>
                <c:pt idx="64">
                  <c:v>581</c:v>
                </c:pt>
                <c:pt idx="65">
                  <c:v>584.9</c:v>
                </c:pt>
                <c:pt idx="66">
                  <c:v>588.79999999999995</c:v>
                </c:pt>
                <c:pt idx="67">
                  <c:v>592.79999999999995</c:v>
                </c:pt>
                <c:pt idx="68">
                  <c:v>596.70000000000005</c:v>
                </c:pt>
                <c:pt idx="69">
                  <c:v>600.79999999999995</c:v>
                </c:pt>
                <c:pt idx="70">
                  <c:v>605.1</c:v>
                </c:pt>
                <c:pt idx="71">
                  <c:v>609.5</c:v>
                </c:pt>
                <c:pt idx="72">
                  <c:v>614</c:v>
                </c:pt>
                <c:pt idx="73">
                  <c:v>618.9</c:v>
                </c:pt>
                <c:pt idx="74">
                  <c:v>623.9</c:v>
                </c:pt>
                <c:pt idx="75">
                  <c:v>628.9</c:v>
                </c:pt>
                <c:pt idx="76">
                  <c:v>634.1</c:v>
                </c:pt>
                <c:pt idx="77">
                  <c:v>639.6</c:v>
                </c:pt>
                <c:pt idx="78">
                  <c:v>645.70000000000005</c:v>
                </c:pt>
                <c:pt idx="79">
                  <c:v>651.9</c:v>
                </c:pt>
                <c:pt idx="80">
                  <c:v>658</c:v>
                </c:pt>
                <c:pt idx="81">
                  <c:v>666.2</c:v>
                </c:pt>
                <c:pt idx="82">
                  <c:v>674.4</c:v>
                </c:pt>
                <c:pt idx="83">
                  <c:v>684</c:v>
                </c:pt>
                <c:pt idx="84">
                  <c:v>693</c:v>
                </c:pt>
                <c:pt idx="85">
                  <c:v>702.7</c:v>
                </c:pt>
                <c:pt idx="86">
                  <c:v>713.1</c:v>
                </c:pt>
                <c:pt idx="87">
                  <c:v>724.8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1-4DBC-B2E1-09987C01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080384"/>
        <c:axId val="1502075104"/>
      </c:scatterChart>
      <c:valAx>
        <c:axId val="1502080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75104"/>
        <c:crosses val="autoZero"/>
        <c:crossBetween val="midCat"/>
      </c:valAx>
      <c:valAx>
        <c:axId val="15020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8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D7 1ST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Comparing'!$P$116:$P$208</c:f>
              <c:numCache>
                <c:formatCode>General</c:formatCode>
                <c:ptCount val="93"/>
                <c:pt idx="0">
                  <c:v>106</c:v>
                </c:pt>
                <c:pt idx="1">
                  <c:v>138.5</c:v>
                </c:pt>
                <c:pt idx="2">
                  <c:v>164.7</c:v>
                </c:pt>
                <c:pt idx="3">
                  <c:v>182.9</c:v>
                </c:pt>
                <c:pt idx="4">
                  <c:v>198.3</c:v>
                </c:pt>
                <c:pt idx="5">
                  <c:v>211.5</c:v>
                </c:pt>
                <c:pt idx="6">
                  <c:v>223.1</c:v>
                </c:pt>
                <c:pt idx="7">
                  <c:v>233.5</c:v>
                </c:pt>
                <c:pt idx="8">
                  <c:v>244</c:v>
                </c:pt>
                <c:pt idx="9">
                  <c:v>252.5</c:v>
                </c:pt>
                <c:pt idx="10">
                  <c:v>262.60000000000002</c:v>
                </c:pt>
                <c:pt idx="11">
                  <c:v>271.3</c:v>
                </c:pt>
                <c:pt idx="12">
                  <c:v>281.2</c:v>
                </c:pt>
                <c:pt idx="13">
                  <c:v>289.7</c:v>
                </c:pt>
                <c:pt idx="14">
                  <c:v>297.89999999999998</c:v>
                </c:pt>
                <c:pt idx="15">
                  <c:v>305</c:v>
                </c:pt>
                <c:pt idx="16">
                  <c:v>312.89999999999998</c:v>
                </c:pt>
                <c:pt idx="17">
                  <c:v>319.60000000000002</c:v>
                </c:pt>
                <c:pt idx="18">
                  <c:v>327.2</c:v>
                </c:pt>
                <c:pt idx="19">
                  <c:v>333.8</c:v>
                </c:pt>
                <c:pt idx="20">
                  <c:v>341</c:v>
                </c:pt>
                <c:pt idx="21">
                  <c:v>347.6</c:v>
                </c:pt>
                <c:pt idx="22">
                  <c:v>354.2</c:v>
                </c:pt>
                <c:pt idx="23">
                  <c:v>360.4</c:v>
                </c:pt>
                <c:pt idx="24">
                  <c:v>366.8</c:v>
                </c:pt>
                <c:pt idx="25">
                  <c:v>373.1</c:v>
                </c:pt>
                <c:pt idx="26">
                  <c:v>378.8</c:v>
                </c:pt>
                <c:pt idx="27">
                  <c:v>385.1</c:v>
                </c:pt>
                <c:pt idx="28">
                  <c:v>390.8</c:v>
                </c:pt>
                <c:pt idx="29">
                  <c:v>397.1</c:v>
                </c:pt>
                <c:pt idx="30">
                  <c:v>402.8</c:v>
                </c:pt>
                <c:pt idx="31">
                  <c:v>408.9</c:v>
                </c:pt>
                <c:pt idx="32">
                  <c:v>414.3</c:v>
                </c:pt>
                <c:pt idx="33">
                  <c:v>419.8</c:v>
                </c:pt>
                <c:pt idx="34">
                  <c:v>425.2</c:v>
                </c:pt>
                <c:pt idx="35">
                  <c:v>430.3</c:v>
                </c:pt>
                <c:pt idx="36">
                  <c:v>436</c:v>
                </c:pt>
                <c:pt idx="37">
                  <c:v>441.2</c:v>
                </c:pt>
                <c:pt idx="38">
                  <c:v>446.6</c:v>
                </c:pt>
                <c:pt idx="39">
                  <c:v>451.9</c:v>
                </c:pt>
                <c:pt idx="40">
                  <c:v>457.1</c:v>
                </c:pt>
                <c:pt idx="41">
                  <c:v>462.6</c:v>
                </c:pt>
                <c:pt idx="42">
                  <c:v>467.8</c:v>
                </c:pt>
                <c:pt idx="43">
                  <c:v>473</c:v>
                </c:pt>
                <c:pt idx="44">
                  <c:v>478.3</c:v>
                </c:pt>
                <c:pt idx="45">
                  <c:v>483.4</c:v>
                </c:pt>
                <c:pt idx="46">
                  <c:v>488.6</c:v>
                </c:pt>
                <c:pt idx="47">
                  <c:v>493.8</c:v>
                </c:pt>
                <c:pt idx="48">
                  <c:v>498.7</c:v>
                </c:pt>
                <c:pt idx="49">
                  <c:v>503.3</c:v>
                </c:pt>
                <c:pt idx="50">
                  <c:v>507.9</c:v>
                </c:pt>
                <c:pt idx="51">
                  <c:v>512.70000000000005</c:v>
                </c:pt>
                <c:pt idx="52">
                  <c:v>517.6</c:v>
                </c:pt>
                <c:pt idx="53">
                  <c:v>522.4</c:v>
                </c:pt>
                <c:pt idx="54">
                  <c:v>526.79999999999995</c:v>
                </c:pt>
                <c:pt idx="55">
                  <c:v>531.20000000000005</c:v>
                </c:pt>
                <c:pt idx="56">
                  <c:v>535.4</c:v>
                </c:pt>
                <c:pt idx="57">
                  <c:v>539.5</c:v>
                </c:pt>
                <c:pt idx="58">
                  <c:v>543.5</c:v>
                </c:pt>
                <c:pt idx="59">
                  <c:v>547.6</c:v>
                </c:pt>
                <c:pt idx="60">
                  <c:v>551.70000000000005</c:v>
                </c:pt>
                <c:pt idx="61">
                  <c:v>555.70000000000005</c:v>
                </c:pt>
                <c:pt idx="62">
                  <c:v>559.4</c:v>
                </c:pt>
                <c:pt idx="63">
                  <c:v>563</c:v>
                </c:pt>
                <c:pt idx="64">
                  <c:v>566.5</c:v>
                </c:pt>
                <c:pt idx="65">
                  <c:v>569.79999999999995</c:v>
                </c:pt>
                <c:pt idx="66">
                  <c:v>573.1</c:v>
                </c:pt>
                <c:pt idx="67">
                  <c:v>576.5</c:v>
                </c:pt>
                <c:pt idx="68">
                  <c:v>579.9</c:v>
                </c:pt>
                <c:pt idx="69">
                  <c:v>583.4</c:v>
                </c:pt>
                <c:pt idx="70">
                  <c:v>586.9</c:v>
                </c:pt>
                <c:pt idx="71">
                  <c:v>590.5</c:v>
                </c:pt>
                <c:pt idx="72">
                  <c:v>594</c:v>
                </c:pt>
                <c:pt idx="73">
                  <c:v>597.5</c:v>
                </c:pt>
                <c:pt idx="74">
                  <c:v>601.20000000000005</c:v>
                </c:pt>
                <c:pt idx="75">
                  <c:v>605.1</c:v>
                </c:pt>
                <c:pt idx="76">
                  <c:v>609</c:v>
                </c:pt>
                <c:pt idx="77">
                  <c:v>613</c:v>
                </c:pt>
                <c:pt idx="78">
                  <c:v>617.20000000000005</c:v>
                </c:pt>
                <c:pt idx="79">
                  <c:v>621.6</c:v>
                </c:pt>
                <c:pt idx="80">
                  <c:v>626.1</c:v>
                </c:pt>
                <c:pt idx="81">
                  <c:v>630.70000000000005</c:v>
                </c:pt>
                <c:pt idx="82">
                  <c:v>635.29999999999995</c:v>
                </c:pt>
                <c:pt idx="83">
                  <c:v>640.4</c:v>
                </c:pt>
                <c:pt idx="84">
                  <c:v>646</c:v>
                </c:pt>
                <c:pt idx="85">
                  <c:v>651.70000000000005</c:v>
                </c:pt>
                <c:pt idx="86">
                  <c:v>657.5</c:v>
                </c:pt>
                <c:pt idx="87">
                  <c:v>665.3</c:v>
                </c:pt>
                <c:pt idx="88">
                  <c:v>673.5</c:v>
                </c:pt>
                <c:pt idx="89">
                  <c:v>683.4</c:v>
                </c:pt>
                <c:pt idx="90">
                  <c:v>693.3</c:v>
                </c:pt>
                <c:pt idx="91">
                  <c:v>705.2</c:v>
                </c:pt>
                <c:pt idx="92">
                  <c:v>724.8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1-4DBC-B2E1-09987C014495}"/>
            </c:ext>
          </c:extLst>
        </c:ser>
        <c:ser>
          <c:idx val="1"/>
          <c:order val="1"/>
          <c:tx>
            <c:v>D7 2ND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Comparing'!$P$10:$P$102</c:f>
              <c:numCache>
                <c:formatCode>General</c:formatCode>
                <c:ptCount val="93"/>
                <c:pt idx="0">
                  <c:v>111.6</c:v>
                </c:pt>
                <c:pt idx="1">
                  <c:v>136.19999999999999</c:v>
                </c:pt>
                <c:pt idx="2">
                  <c:v>162.80000000000001</c:v>
                </c:pt>
                <c:pt idx="3">
                  <c:v>181.4</c:v>
                </c:pt>
                <c:pt idx="4">
                  <c:v>196.4</c:v>
                </c:pt>
                <c:pt idx="5">
                  <c:v>209.9</c:v>
                </c:pt>
                <c:pt idx="6">
                  <c:v>220.8</c:v>
                </c:pt>
                <c:pt idx="7">
                  <c:v>231.5</c:v>
                </c:pt>
                <c:pt idx="8">
                  <c:v>241.8</c:v>
                </c:pt>
                <c:pt idx="9">
                  <c:v>250.5</c:v>
                </c:pt>
                <c:pt idx="10">
                  <c:v>260.3</c:v>
                </c:pt>
                <c:pt idx="11">
                  <c:v>268.3</c:v>
                </c:pt>
                <c:pt idx="12">
                  <c:v>278.10000000000002</c:v>
                </c:pt>
                <c:pt idx="13">
                  <c:v>286.39999999999998</c:v>
                </c:pt>
                <c:pt idx="14">
                  <c:v>294.60000000000002</c:v>
                </c:pt>
                <c:pt idx="15">
                  <c:v>301.60000000000002</c:v>
                </c:pt>
                <c:pt idx="16">
                  <c:v>309.5</c:v>
                </c:pt>
                <c:pt idx="17">
                  <c:v>316</c:v>
                </c:pt>
                <c:pt idx="18">
                  <c:v>323.7</c:v>
                </c:pt>
                <c:pt idx="19">
                  <c:v>330.2</c:v>
                </c:pt>
                <c:pt idx="20">
                  <c:v>337.5</c:v>
                </c:pt>
                <c:pt idx="21">
                  <c:v>343.9</c:v>
                </c:pt>
                <c:pt idx="22">
                  <c:v>350.3</c:v>
                </c:pt>
                <c:pt idx="23">
                  <c:v>355.9</c:v>
                </c:pt>
                <c:pt idx="24">
                  <c:v>361.9</c:v>
                </c:pt>
                <c:pt idx="25">
                  <c:v>367.7</c:v>
                </c:pt>
                <c:pt idx="26">
                  <c:v>374.1</c:v>
                </c:pt>
                <c:pt idx="27">
                  <c:v>381.5</c:v>
                </c:pt>
                <c:pt idx="28">
                  <c:v>388.1</c:v>
                </c:pt>
                <c:pt idx="29">
                  <c:v>394.7</c:v>
                </c:pt>
                <c:pt idx="30">
                  <c:v>400.2</c:v>
                </c:pt>
                <c:pt idx="31">
                  <c:v>406.1</c:v>
                </c:pt>
                <c:pt idx="32">
                  <c:v>411.5</c:v>
                </c:pt>
                <c:pt idx="33">
                  <c:v>417.2</c:v>
                </c:pt>
                <c:pt idx="34">
                  <c:v>423.4</c:v>
                </c:pt>
                <c:pt idx="35">
                  <c:v>429.2</c:v>
                </c:pt>
                <c:pt idx="36">
                  <c:v>435</c:v>
                </c:pt>
                <c:pt idx="37">
                  <c:v>440.4</c:v>
                </c:pt>
                <c:pt idx="38">
                  <c:v>445.8</c:v>
                </c:pt>
                <c:pt idx="39">
                  <c:v>451.6</c:v>
                </c:pt>
                <c:pt idx="40">
                  <c:v>457.2</c:v>
                </c:pt>
                <c:pt idx="41">
                  <c:v>462.8</c:v>
                </c:pt>
                <c:pt idx="42">
                  <c:v>468.5</c:v>
                </c:pt>
                <c:pt idx="43">
                  <c:v>473.8</c:v>
                </c:pt>
                <c:pt idx="44">
                  <c:v>479.2</c:v>
                </c:pt>
                <c:pt idx="45">
                  <c:v>484.6</c:v>
                </c:pt>
                <c:pt idx="46">
                  <c:v>490.2</c:v>
                </c:pt>
                <c:pt idx="47">
                  <c:v>495.6</c:v>
                </c:pt>
                <c:pt idx="48">
                  <c:v>500.4</c:v>
                </c:pt>
                <c:pt idx="49">
                  <c:v>505.2</c:v>
                </c:pt>
                <c:pt idx="50">
                  <c:v>510</c:v>
                </c:pt>
                <c:pt idx="51">
                  <c:v>515.1</c:v>
                </c:pt>
                <c:pt idx="52">
                  <c:v>520.1</c:v>
                </c:pt>
                <c:pt idx="53">
                  <c:v>524.79999999999995</c:v>
                </c:pt>
                <c:pt idx="54">
                  <c:v>529.29999999999995</c:v>
                </c:pt>
                <c:pt idx="55">
                  <c:v>533.70000000000005</c:v>
                </c:pt>
                <c:pt idx="56">
                  <c:v>538</c:v>
                </c:pt>
                <c:pt idx="57">
                  <c:v>542.20000000000005</c:v>
                </c:pt>
                <c:pt idx="58">
                  <c:v>546.4</c:v>
                </c:pt>
                <c:pt idx="59">
                  <c:v>550.5</c:v>
                </c:pt>
                <c:pt idx="60">
                  <c:v>554.6</c:v>
                </c:pt>
                <c:pt idx="61">
                  <c:v>558.5</c:v>
                </c:pt>
                <c:pt idx="62">
                  <c:v>562.20000000000005</c:v>
                </c:pt>
                <c:pt idx="63">
                  <c:v>565.9</c:v>
                </c:pt>
                <c:pt idx="64">
                  <c:v>569.29999999999995</c:v>
                </c:pt>
                <c:pt idx="65">
                  <c:v>572.70000000000005</c:v>
                </c:pt>
                <c:pt idx="66">
                  <c:v>576.20000000000005</c:v>
                </c:pt>
                <c:pt idx="67">
                  <c:v>579.79999999999995</c:v>
                </c:pt>
                <c:pt idx="68">
                  <c:v>583.5</c:v>
                </c:pt>
                <c:pt idx="69">
                  <c:v>587</c:v>
                </c:pt>
                <c:pt idx="70">
                  <c:v>590.6</c:v>
                </c:pt>
                <c:pt idx="71">
                  <c:v>594.29999999999995</c:v>
                </c:pt>
                <c:pt idx="72">
                  <c:v>598</c:v>
                </c:pt>
                <c:pt idx="73">
                  <c:v>601.79999999999995</c:v>
                </c:pt>
                <c:pt idx="74">
                  <c:v>605.79999999999995</c:v>
                </c:pt>
                <c:pt idx="75">
                  <c:v>609.9</c:v>
                </c:pt>
                <c:pt idx="76">
                  <c:v>614.1</c:v>
                </c:pt>
                <c:pt idx="77">
                  <c:v>618.6</c:v>
                </c:pt>
                <c:pt idx="78">
                  <c:v>623.20000000000005</c:v>
                </c:pt>
                <c:pt idx="79">
                  <c:v>628</c:v>
                </c:pt>
                <c:pt idx="80">
                  <c:v>632.79999999999995</c:v>
                </c:pt>
                <c:pt idx="81">
                  <c:v>638</c:v>
                </c:pt>
                <c:pt idx="82">
                  <c:v>643.70000000000005</c:v>
                </c:pt>
                <c:pt idx="83">
                  <c:v>649.70000000000005</c:v>
                </c:pt>
                <c:pt idx="84">
                  <c:v>655.7</c:v>
                </c:pt>
                <c:pt idx="85">
                  <c:v>662.9</c:v>
                </c:pt>
                <c:pt idx="86">
                  <c:v>671.4</c:v>
                </c:pt>
                <c:pt idx="87">
                  <c:v>680.7</c:v>
                </c:pt>
                <c:pt idx="88">
                  <c:v>690.4</c:v>
                </c:pt>
                <c:pt idx="89">
                  <c:v>700.8</c:v>
                </c:pt>
                <c:pt idx="90">
                  <c:v>712.8</c:v>
                </c:pt>
                <c:pt idx="91">
                  <c:v>729.3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1-4DBC-B2E1-09987C01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080384"/>
        <c:axId val="1502075104"/>
      </c:scatterChart>
      <c:valAx>
        <c:axId val="1502080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75104"/>
        <c:crosses val="autoZero"/>
        <c:crossBetween val="midCat"/>
      </c:valAx>
      <c:valAx>
        <c:axId val="15020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8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D8 1ST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Comparing'!$Q$116:$Q$204</c:f>
              <c:numCache>
                <c:formatCode>General</c:formatCode>
                <c:ptCount val="89"/>
                <c:pt idx="0">
                  <c:v>112.2</c:v>
                </c:pt>
                <c:pt idx="1">
                  <c:v>134.4</c:v>
                </c:pt>
                <c:pt idx="2">
                  <c:v>161.5</c:v>
                </c:pt>
                <c:pt idx="3">
                  <c:v>179.5</c:v>
                </c:pt>
                <c:pt idx="4">
                  <c:v>194.5</c:v>
                </c:pt>
                <c:pt idx="5">
                  <c:v>208.9</c:v>
                </c:pt>
                <c:pt idx="6">
                  <c:v>220.4</c:v>
                </c:pt>
                <c:pt idx="7">
                  <c:v>231.9</c:v>
                </c:pt>
                <c:pt idx="8">
                  <c:v>242.9</c:v>
                </c:pt>
                <c:pt idx="9">
                  <c:v>252</c:v>
                </c:pt>
                <c:pt idx="10">
                  <c:v>262.7</c:v>
                </c:pt>
                <c:pt idx="11">
                  <c:v>272.3</c:v>
                </c:pt>
                <c:pt idx="12">
                  <c:v>282.7</c:v>
                </c:pt>
                <c:pt idx="13">
                  <c:v>287.39999999999998</c:v>
                </c:pt>
                <c:pt idx="14">
                  <c:v>289.89999999999998</c:v>
                </c:pt>
                <c:pt idx="15">
                  <c:v>292.7</c:v>
                </c:pt>
                <c:pt idx="16">
                  <c:v>296.5</c:v>
                </c:pt>
                <c:pt idx="17">
                  <c:v>300.2</c:v>
                </c:pt>
                <c:pt idx="18">
                  <c:v>305.60000000000002</c:v>
                </c:pt>
                <c:pt idx="19">
                  <c:v>311.39999999999998</c:v>
                </c:pt>
                <c:pt idx="20">
                  <c:v>316.5</c:v>
                </c:pt>
                <c:pt idx="21">
                  <c:v>322.7</c:v>
                </c:pt>
                <c:pt idx="22">
                  <c:v>328.1</c:v>
                </c:pt>
                <c:pt idx="23">
                  <c:v>334.9</c:v>
                </c:pt>
                <c:pt idx="24">
                  <c:v>340.8</c:v>
                </c:pt>
                <c:pt idx="25">
                  <c:v>348</c:v>
                </c:pt>
                <c:pt idx="26">
                  <c:v>354</c:v>
                </c:pt>
                <c:pt idx="27">
                  <c:v>360.9</c:v>
                </c:pt>
                <c:pt idx="28">
                  <c:v>367</c:v>
                </c:pt>
                <c:pt idx="29">
                  <c:v>373.7</c:v>
                </c:pt>
                <c:pt idx="30">
                  <c:v>379.7</c:v>
                </c:pt>
                <c:pt idx="31">
                  <c:v>386.4</c:v>
                </c:pt>
                <c:pt idx="32">
                  <c:v>392.3</c:v>
                </c:pt>
                <c:pt idx="33">
                  <c:v>398.5</c:v>
                </c:pt>
                <c:pt idx="34">
                  <c:v>404.9</c:v>
                </c:pt>
                <c:pt idx="35">
                  <c:v>410.7</c:v>
                </c:pt>
                <c:pt idx="36">
                  <c:v>417</c:v>
                </c:pt>
                <c:pt idx="37">
                  <c:v>422.6</c:v>
                </c:pt>
                <c:pt idx="38">
                  <c:v>428.2</c:v>
                </c:pt>
                <c:pt idx="39">
                  <c:v>434.3</c:v>
                </c:pt>
                <c:pt idx="40">
                  <c:v>440</c:v>
                </c:pt>
                <c:pt idx="41">
                  <c:v>445.7</c:v>
                </c:pt>
                <c:pt idx="42">
                  <c:v>451.7</c:v>
                </c:pt>
                <c:pt idx="43">
                  <c:v>457.4</c:v>
                </c:pt>
                <c:pt idx="44">
                  <c:v>463</c:v>
                </c:pt>
                <c:pt idx="45">
                  <c:v>469</c:v>
                </c:pt>
                <c:pt idx="46">
                  <c:v>474.6</c:v>
                </c:pt>
                <c:pt idx="47">
                  <c:v>480.3</c:v>
                </c:pt>
                <c:pt idx="48">
                  <c:v>486</c:v>
                </c:pt>
                <c:pt idx="49">
                  <c:v>491.8</c:v>
                </c:pt>
                <c:pt idx="50">
                  <c:v>497.3</c:v>
                </c:pt>
                <c:pt idx="51">
                  <c:v>502.3</c:v>
                </c:pt>
                <c:pt idx="52">
                  <c:v>507.4</c:v>
                </c:pt>
                <c:pt idx="53">
                  <c:v>512.70000000000005</c:v>
                </c:pt>
                <c:pt idx="54">
                  <c:v>518</c:v>
                </c:pt>
                <c:pt idx="55">
                  <c:v>523.20000000000005</c:v>
                </c:pt>
                <c:pt idx="56">
                  <c:v>528.1</c:v>
                </c:pt>
                <c:pt idx="57">
                  <c:v>532.79999999999995</c:v>
                </c:pt>
                <c:pt idx="58">
                  <c:v>537.4</c:v>
                </c:pt>
                <c:pt idx="59">
                  <c:v>541.9</c:v>
                </c:pt>
                <c:pt idx="60">
                  <c:v>546.4</c:v>
                </c:pt>
                <c:pt idx="61">
                  <c:v>550.9</c:v>
                </c:pt>
                <c:pt idx="62">
                  <c:v>555.29999999999995</c:v>
                </c:pt>
                <c:pt idx="63">
                  <c:v>559.4</c:v>
                </c:pt>
                <c:pt idx="64">
                  <c:v>563.4</c:v>
                </c:pt>
                <c:pt idx="65">
                  <c:v>567.29999999999995</c:v>
                </c:pt>
                <c:pt idx="66">
                  <c:v>570.9</c:v>
                </c:pt>
                <c:pt idx="67">
                  <c:v>574.5</c:v>
                </c:pt>
                <c:pt idx="68">
                  <c:v>578.29999999999995</c:v>
                </c:pt>
                <c:pt idx="69">
                  <c:v>582.1</c:v>
                </c:pt>
                <c:pt idx="70">
                  <c:v>586</c:v>
                </c:pt>
                <c:pt idx="71">
                  <c:v>589.79999999999995</c:v>
                </c:pt>
                <c:pt idx="72">
                  <c:v>593.70000000000005</c:v>
                </c:pt>
                <c:pt idx="73">
                  <c:v>597.6</c:v>
                </c:pt>
                <c:pt idx="74">
                  <c:v>601.70000000000005</c:v>
                </c:pt>
                <c:pt idx="75">
                  <c:v>606</c:v>
                </c:pt>
                <c:pt idx="76">
                  <c:v>610.5</c:v>
                </c:pt>
                <c:pt idx="77">
                  <c:v>615</c:v>
                </c:pt>
                <c:pt idx="78">
                  <c:v>620</c:v>
                </c:pt>
                <c:pt idx="79">
                  <c:v>625.1</c:v>
                </c:pt>
                <c:pt idx="80">
                  <c:v>630.29999999999995</c:v>
                </c:pt>
                <c:pt idx="81">
                  <c:v>635.70000000000005</c:v>
                </c:pt>
                <c:pt idx="82">
                  <c:v>641.79999999999995</c:v>
                </c:pt>
                <c:pt idx="83">
                  <c:v>648.5</c:v>
                </c:pt>
                <c:pt idx="84">
                  <c:v>655.20000000000005</c:v>
                </c:pt>
                <c:pt idx="85">
                  <c:v>663.5</c:v>
                </c:pt>
                <c:pt idx="86">
                  <c:v>673.4</c:v>
                </c:pt>
                <c:pt idx="87">
                  <c:v>685.9</c:v>
                </c:pt>
                <c:pt idx="88">
                  <c:v>703.1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1-4DBC-B2E1-09987C014495}"/>
            </c:ext>
          </c:extLst>
        </c:ser>
        <c:ser>
          <c:idx val="1"/>
          <c:order val="1"/>
          <c:tx>
            <c:v>D8 2ND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Comparing'!$Q$10:$Q$91</c:f>
              <c:numCache>
                <c:formatCode>General</c:formatCode>
                <c:ptCount val="82"/>
                <c:pt idx="0">
                  <c:v>109.6</c:v>
                </c:pt>
                <c:pt idx="1">
                  <c:v>135.4</c:v>
                </c:pt>
                <c:pt idx="2">
                  <c:v>164.5</c:v>
                </c:pt>
                <c:pt idx="3">
                  <c:v>184.4</c:v>
                </c:pt>
                <c:pt idx="4">
                  <c:v>200.6</c:v>
                </c:pt>
                <c:pt idx="5">
                  <c:v>215.6</c:v>
                </c:pt>
                <c:pt idx="6">
                  <c:v>227.3</c:v>
                </c:pt>
                <c:pt idx="7">
                  <c:v>238.1</c:v>
                </c:pt>
                <c:pt idx="8">
                  <c:v>249.9</c:v>
                </c:pt>
                <c:pt idx="9">
                  <c:v>260</c:v>
                </c:pt>
                <c:pt idx="10">
                  <c:v>270</c:v>
                </c:pt>
                <c:pt idx="11">
                  <c:v>280.2</c:v>
                </c:pt>
                <c:pt idx="12">
                  <c:v>289.60000000000002</c:v>
                </c:pt>
                <c:pt idx="13">
                  <c:v>298.89999999999998</c:v>
                </c:pt>
                <c:pt idx="14">
                  <c:v>307.10000000000002</c:v>
                </c:pt>
                <c:pt idx="15">
                  <c:v>315.2</c:v>
                </c:pt>
                <c:pt idx="16">
                  <c:v>323.3</c:v>
                </c:pt>
                <c:pt idx="17">
                  <c:v>330.6</c:v>
                </c:pt>
                <c:pt idx="18">
                  <c:v>339.1</c:v>
                </c:pt>
                <c:pt idx="19">
                  <c:v>346.3</c:v>
                </c:pt>
                <c:pt idx="20">
                  <c:v>353.6</c:v>
                </c:pt>
                <c:pt idx="21">
                  <c:v>359.8</c:v>
                </c:pt>
                <c:pt idx="22">
                  <c:v>366.1</c:v>
                </c:pt>
                <c:pt idx="23">
                  <c:v>374</c:v>
                </c:pt>
                <c:pt idx="24">
                  <c:v>381.7</c:v>
                </c:pt>
                <c:pt idx="25">
                  <c:v>389.7</c:v>
                </c:pt>
                <c:pt idx="26">
                  <c:v>396.3</c:v>
                </c:pt>
                <c:pt idx="27">
                  <c:v>402.4</c:v>
                </c:pt>
                <c:pt idx="28">
                  <c:v>409.2</c:v>
                </c:pt>
                <c:pt idx="29">
                  <c:v>415.4</c:v>
                </c:pt>
                <c:pt idx="30">
                  <c:v>421.8</c:v>
                </c:pt>
                <c:pt idx="31">
                  <c:v>428.8</c:v>
                </c:pt>
                <c:pt idx="32">
                  <c:v>434.9</c:v>
                </c:pt>
                <c:pt idx="33">
                  <c:v>440.9</c:v>
                </c:pt>
                <c:pt idx="34">
                  <c:v>447.2</c:v>
                </c:pt>
                <c:pt idx="35">
                  <c:v>453.5</c:v>
                </c:pt>
                <c:pt idx="36">
                  <c:v>459.8</c:v>
                </c:pt>
                <c:pt idx="37">
                  <c:v>466</c:v>
                </c:pt>
                <c:pt idx="38">
                  <c:v>472.2</c:v>
                </c:pt>
                <c:pt idx="39">
                  <c:v>478.2</c:v>
                </c:pt>
                <c:pt idx="40">
                  <c:v>484.3</c:v>
                </c:pt>
                <c:pt idx="41">
                  <c:v>490.5</c:v>
                </c:pt>
                <c:pt idx="42">
                  <c:v>496.6</c:v>
                </c:pt>
                <c:pt idx="43">
                  <c:v>502</c:v>
                </c:pt>
                <c:pt idx="44">
                  <c:v>507.4</c:v>
                </c:pt>
                <c:pt idx="45">
                  <c:v>513</c:v>
                </c:pt>
                <c:pt idx="46">
                  <c:v>518.79999999999995</c:v>
                </c:pt>
                <c:pt idx="47">
                  <c:v>524.20000000000005</c:v>
                </c:pt>
                <c:pt idx="48">
                  <c:v>529.4</c:v>
                </c:pt>
                <c:pt idx="49">
                  <c:v>534.4</c:v>
                </c:pt>
                <c:pt idx="50">
                  <c:v>539.29999999999995</c:v>
                </c:pt>
                <c:pt idx="51">
                  <c:v>544.20000000000005</c:v>
                </c:pt>
                <c:pt idx="52">
                  <c:v>549</c:v>
                </c:pt>
                <c:pt idx="53">
                  <c:v>553.70000000000005</c:v>
                </c:pt>
                <c:pt idx="54">
                  <c:v>558.20000000000005</c:v>
                </c:pt>
                <c:pt idx="55">
                  <c:v>562.5</c:v>
                </c:pt>
                <c:pt idx="56">
                  <c:v>566.70000000000005</c:v>
                </c:pt>
                <c:pt idx="57">
                  <c:v>570.6</c:v>
                </c:pt>
                <c:pt idx="58">
                  <c:v>574.5</c:v>
                </c:pt>
                <c:pt idx="59">
                  <c:v>578.5</c:v>
                </c:pt>
                <c:pt idx="60">
                  <c:v>582.6</c:v>
                </c:pt>
                <c:pt idx="61">
                  <c:v>586.6</c:v>
                </c:pt>
                <c:pt idx="62">
                  <c:v>590.70000000000005</c:v>
                </c:pt>
                <c:pt idx="63">
                  <c:v>594.70000000000005</c:v>
                </c:pt>
                <c:pt idx="64">
                  <c:v>598.79999999999995</c:v>
                </c:pt>
                <c:pt idx="65">
                  <c:v>603.1</c:v>
                </c:pt>
                <c:pt idx="66">
                  <c:v>607.6</c:v>
                </c:pt>
                <c:pt idx="67">
                  <c:v>612.1</c:v>
                </c:pt>
                <c:pt idx="68">
                  <c:v>616.79999999999995</c:v>
                </c:pt>
                <c:pt idx="69">
                  <c:v>621.9</c:v>
                </c:pt>
                <c:pt idx="70">
                  <c:v>626.9</c:v>
                </c:pt>
                <c:pt idx="71">
                  <c:v>632.1</c:v>
                </c:pt>
                <c:pt idx="72">
                  <c:v>637.6</c:v>
                </c:pt>
                <c:pt idx="73">
                  <c:v>643.6</c:v>
                </c:pt>
                <c:pt idx="74">
                  <c:v>650</c:v>
                </c:pt>
                <c:pt idx="75">
                  <c:v>656.4</c:v>
                </c:pt>
                <c:pt idx="76">
                  <c:v>664.5</c:v>
                </c:pt>
                <c:pt idx="77">
                  <c:v>673.5</c:v>
                </c:pt>
                <c:pt idx="78">
                  <c:v>684</c:v>
                </c:pt>
                <c:pt idx="79">
                  <c:v>694.5</c:v>
                </c:pt>
                <c:pt idx="80">
                  <c:v>706.9</c:v>
                </c:pt>
                <c:pt idx="81">
                  <c:v>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1-4DBC-B2E1-09987C01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080384"/>
        <c:axId val="1502075104"/>
      </c:scatterChart>
      <c:valAx>
        <c:axId val="1502080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75104"/>
        <c:crosses val="autoZero"/>
        <c:crossBetween val="midCat"/>
      </c:valAx>
      <c:valAx>
        <c:axId val="15020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8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Boiling Point of VR Feed and </a:t>
            </a:r>
            <a:r>
              <a:rPr lang="en-US" sz="2000" b="1" baseline="0"/>
              <a:t>HPS Product_ Acceptance</a:t>
            </a:r>
            <a:endParaRPr lang="en-US" sz="2000" b="1"/>
          </a:p>
        </c:rich>
      </c:tx>
      <c:layout>
        <c:manualLayout>
          <c:xMode val="edge"/>
          <c:yMode val="edge"/>
          <c:x val="0.32751667293888309"/>
          <c:y val="3.3448821366716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1455262970878"/>
          <c:y val="0.12946676939384819"/>
          <c:w val="0.80200331062635477"/>
          <c:h val="0.67649138697457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'[1]Raw Data TBP'!$H$2</c:f>
              <c:strCache>
                <c:ptCount val="1"/>
                <c:pt idx="0">
                  <c:v>d2 ART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 TBP'!$A$3:$A$103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'[1]Raw Data TBP'!$H$3:$H$103</c:f>
              <c:numCache>
                <c:formatCode>General</c:formatCode>
                <c:ptCount val="101"/>
                <c:pt idx="0">
                  <c:v>108.67</c:v>
                </c:pt>
                <c:pt idx="1">
                  <c:v>131.38999999999999</c:v>
                </c:pt>
                <c:pt idx="2">
                  <c:v>159.06</c:v>
                </c:pt>
                <c:pt idx="3">
                  <c:v>178.83</c:v>
                </c:pt>
                <c:pt idx="4">
                  <c:v>195.72</c:v>
                </c:pt>
                <c:pt idx="5">
                  <c:v>208.33</c:v>
                </c:pt>
                <c:pt idx="6">
                  <c:v>219.11</c:v>
                </c:pt>
                <c:pt idx="7">
                  <c:v>229.72</c:v>
                </c:pt>
                <c:pt idx="8">
                  <c:v>239.28</c:v>
                </c:pt>
                <c:pt idx="9">
                  <c:v>249</c:v>
                </c:pt>
                <c:pt idx="10">
                  <c:v>256.94</c:v>
                </c:pt>
                <c:pt idx="11">
                  <c:v>265.44</c:v>
                </c:pt>
                <c:pt idx="12">
                  <c:v>272.44</c:v>
                </c:pt>
                <c:pt idx="13">
                  <c:v>280.17</c:v>
                </c:pt>
                <c:pt idx="14">
                  <c:v>287.17</c:v>
                </c:pt>
                <c:pt idx="15">
                  <c:v>293.67</c:v>
                </c:pt>
                <c:pt idx="16">
                  <c:v>300.27999999999997</c:v>
                </c:pt>
                <c:pt idx="17">
                  <c:v>305.61</c:v>
                </c:pt>
                <c:pt idx="18">
                  <c:v>311.5</c:v>
                </c:pt>
                <c:pt idx="19">
                  <c:v>316.94</c:v>
                </c:pt>
                <c:pt idx="20">
                  <c:v>322.67</c:v>
                </c:pt>
                <c:pt idx="21">
                  <c:v>328.5</c:v>
                </c:pt>
                <c:pt idx="22">
                  <c:v>333.39</c:v>
                </c:pt>
                <c:pt idx="23">
                  <c:v>338.61</c:v>
                </c:pt>
                <c:pt idx="24">
                  <c:v>343.89</c:v>
                </c:pt>
                <c:pt idx="25">
                  <c:v>348.94</c:v>
                </c:pt>
                <c:pt idx="26">
                  <c:v>353.72</c:v>
                </c:pt>
                <c:pt idx="27">
                  <c:v>358.22</c:v>
                </c:pt>
                <c:pt idx="28">
                  <c:v>363.28</c:v>
                </c:pt>
                <c:pt idx="29">
                  <c:v>368</c:v>
                </c:pt>
                <c:pt idx="30">
                  <c:v>372.61</c:v>
                </c:pt>
                <c:pt idx="31">
                  <c:v>377.28</c:v>
                </c:pt>
                <c:pt idx="32">
                  <c:v>381.67</c:v>
                </c:pt>
                <c:pt idx="33">
                  <c:v>386.5</c:v>
                </c:pt>
                <c:pt idx="34">
                  <c:v>390.89</c:v>
                </c:pt>
                <c:pt idx="35">
                  <c:v>395.22</c:v>
                </c:pt>
                <c:pt idx="36">
                  <c:v>399.83</c:v>
                </c:pt>
                <c:pt idx="37">
                  <c:v>403.94</c:v>
                </c:pt>
                <c:pt idx="38">
                  <c:v>408.33</c:v>
                </c:pt>
                <c:pt idx="39">
                  <c:v>412.61</c:v>
                </c:pt>
                <c:pt idx="40">
                  <c:v>417.06</c:v>
                </c:pt>
                <c:pt idx="41">
                  <c:v>421.33</c:v>
                </c:pt>
                <c:pt idx="42">
                  <c:v>425.61</c:v>
                </c:pt>
                <c:pt idx="43">
                  <c:v>430.06</c:v>
                </c:pt>
                <c:pt idx="44">
                  <c:v>434.33</c:v>
                </c:pt>
                <c:pt idx="45">
                  <c:v>438.78</c:v>
                </c:pt>
                <c:pt idx="46">
                  <c:v>443.06</c:v>
                </c:pt>
                <c:pt idx="47">
                  <c:v>447.61</c:v>
                </c:pt>
                <c:pt idx="48">
                  <c:v>452</c:v>
                </c:pt>
                <c:pt idx="49">
                  <c:v>456.5</c:v>
                </c:pt>
                <c:pt idx="50">
                  <c:v>460.94</c:v>
                </c:pt>
                <c:pt idx="51">
                  <c:v>465.5</c:v>
                </c:pt>
                <c:pt idx="52">
                  <c:v>469.72</c:v>
                </c:pt>
                <c:pt idx="53">
                  <c:v>473.94</c:v>
                </c:pt>
                <c:pt idx="54">
                  <c:v>478.11</c:v>
                </c:pt>
                <c:pt idx="55">
                  <c:v>482.39</c:v>
                </c:pt>
                <c:pt idx="56">
                  <c:v>486.61</c:v>
                </c:pt>
                <c:pt idx="57">
                  <c:v>490.83</c:v>
                </c:pt>
                <c:pt idx="58">
                  <c:v>495.11</c:v>
                </c:pt>
                <c:pt idx="59">
                  <c:v>499.17</c:v>
                </c:pt>
                <c:pt idx="60">
                  <c:v>503.22</c:v>
                </c:pt>
                <c:pt idx="61">
                  <c:v>507.33</c:v>
                </c:pt>
                <c:pt idx="62">
                  <c:v>511.39</c:v>
                </c:pt>
                <c:pt idx="63">
                  <c:v>515.5</c:v>
                </c:pt>
                <c:pt idx="64">
                  <c:v>519.61</c:v>
                </c:pt>
                <c:pt idx="65">
                  <c:v>523.66999999999996</c:v>
                </c:pt>
                <c:pt idx="66">
                  <c:v>527.78</c:v>
                </c:pt>
                <c:pt idx="67">
                  <c:v>531.83000000000004</c:v>
                </c:pt>
                <c:pt idx="68">
                  <c:v>535.83000000000004</c:v>
                </c:pt>
                <c:pt idx="69">
                  <c:v>539.72</c:v>
                </c:pt>
                <c:pt idx="70">
                  <c:v>543.66999999999996</c:v>
                </c:pt>
                <c:pt idx="71">
                  <c:v>547.66999999999996</c:v>
                </c:pt>
                <c:pt idx="72">
                  <c:v>551.78</c:v>
                </c:pt>
                <c:pt idx="73">
                  <c:v>555.94000000000005</c:v>
                </c:pt>
                <c:pt idx="74">
                  <c:v>559.94000000000005</c:v>
                </c:pt>
                <c:pt idx="75">
                  <c:v>563.94000000000005</c:v>
                </c:pt>
                <c:pt idx="76">
                  <c:v>567.89</c:v>
                </c:pt>
                <c:pt idx="77">
                  <c:v>571.78</c:v>
                </c:pt>
                <c:pt idx="78">
                  <c:v>575.83000000000004</c:v>
                </c:pt>
                <c:pt idx="79">
                  <c:v>580.11</c:v>
                </c:pt>
                <c:pt idx="80">
                  <c:v>584.44000000000005</c:v>
                </c:pt>
                <c:pt idx="81">
                  <c:v>588.61</c:v>
                </c:pt>
                <c:pt idx="82">
                  <c:v>593</c:v>
                </c:pt>
                <c:pt idx="83">
                  <c:v>597.72</c:v>
                </c:pt>
                <c:pt idx="84">
                  <c:v>602.72</c:v>
                </c:pt>
                <c:pt idx="85">
                  <c:v>608.11</c:v>
                </c:pt>
                <c:pt idx="86">
                  <c:v>613.22</c:v>
                </c:pt>
                <c:pt idx="87">
                  <c:v>618.78</c:v>
                </c:pt>
                <c:pt idx="88">
                  <c:v>624.78</c:v>
                </c:pt>
                <c:pt idx="89">
                  <c:v>631.05999999999995</c:v>
                </c:pt>
                <c:pt idx="90">
                  <c:v>637.33000000000004</c:v>
                </c:pt>
                <c:pt idx="91">
                  <c:v>644.44000000000005</c:v>
                </c:pt>
                <c:pt idx="92">
                  <c:v>652.5</c:v>
                </c:pt>
                <c:pt idx="93">
                  <c:v>660.94</c:v>
                </c:pt>
                <c:pt idx="94">
                  <c:v>672.06</c:v>
                </c:pt>
                <c:pt idx="95">
                  <c:v>685.83</c:v>
                </c:pt>
                <c:pt idx="96">
                  <c:v>704.28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858F-476D-AA90-8EF35DFD1C88}"/>
            </c:ext>
          </c:extLst>
        </c:ser>
        <c:ser>
          <c:idx val="1"/>
          <c:order val="1"/>
          <c:tx>
            <c:strRef>
              <c:f>'[1]Raw Data TBP'!$I$2</c:f>
              <c:strCache>
                <c:ptCount val="1"/>
                <c:pt idx="0">
                  <c:v>d3 ART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'[1]Raw Data TBP'!$A$3:$A$103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'[1]Raw Data TBP'!$I$3:$I$103</c:f>
              <c:numCache>
                <c:formatCode>General</c:formatCode>
                <c:ptCount val="101"/>
                <c:pt idx="0">
                  <c:v>113.56</c:v>
                </c:pt>
                <c:pt idx="1">
                  <c:v>136.61000000000001</c:v>
                </c:pt>
                <c:pt idx="2">
                  <c:v>164</c:v>
                </c:pt>
                <c:pt idx="3">
                  <c:v>183</c:v>
                </c:pt>
                <c:pt idx="4">
                  <c:v>197.83</c:v>
                </c:pt>
                <c:pt idx="5">
                  <c:v>211.94</c:v>
                </c:pt>
                <c:pt idx="6">
                  <c:v>221.94</c:v>
                </c:pt>
                <c:pt idx="7">
                  <c:v>233.22</c:v>
                </c:pt>
                <c:pt idx="8">
                  <c:v>242.44</c:v>
                </c:pt>
                <c:pt idx="9">
                  <c:v>252.28</c:v>
                </c:pt>
                <c:pt idx="10">
                  <c:v>259.77999999999997</c:v>
                </c:pt>
                <c:pt idx="11">
                  <c:v>268.33</c:v>
                </c:pt>
                <c:pt idx="12">
                  <c:v>275.22000000000003</c:v>
                </c:pt>
                <c:pt idx="13">
                  <c:v>283.11</c:v>
                </c:pt>
                <c:pt idx="14">
                  <c:v>289.39</c:v>
                </c:pt>
                <c:pt idx="15">
                  <c:v>296</c:v>
                </c:pt>
                <c:pt idx="16">
                  <c:v>302.11</c:v>
                </c:pt>
                <c:pt idx="17">
                  <c:v>308.17</c:v>
                </c:pt>
                <c:pt idx="18">
                  <c:v>314.27999999999997</c:v>
                </c:pt>
                <c:pt idx="19">
                  <c:v>319.33</c:v>
                </c:pt>
                <c:pt idx="20">
                  <c:v>325.17</c:v>
                </c:pt>
                <c:pt idx="21">
                  <c:v>330.33</c:v>
                </c:pt>
                <c:pt idx="22">
                  <c:v>335.56</c:v>
                </c:pt>
                <c:pt idx="23">
                  <c:v>341.28</c:v>
                </c:pt>
                <c:pt idx="24">
                  <c:v>345.94</c:v>
                </c:pt>
                <c:pt idx="25">
                  <c:v>350.94</c:v>
                </c:pt>
                <c:pt idx="26">
                  <c:v>355.78</c:v>
                </c:pt>
                <c:pt idx="27">
                  <c:v>360.56</c:v>
                </c:pt>
                <c:pt idx="28">
                  <c:v>365.39</c:v>
                </c:pt>
                <c:pt idx="29">
                  <c:v>369.72</c:v>
                </c:pt>
                <c:pt idx="30">
                  <c:v>374.56</c:v>
                </c:pt>
                <c:pt idx="31">
                  <c:v>379.28</c:v>
                </c:pt>
                <c:pt idx="32">
                  <c:v>383.72</c:v>
                </c:pt>
                <c:pt idx="33">
                  <c:v>388.28</c:v>
                </c:pt>
                <c:pt idx="34">
                  <c:v>392.5</c:v>
                </c:pt>
                <c:pt idx="35">
                  <c:v>397.06</c:v>
                </c:pt>
                <c:pt idx="36">
                  <c:v>401.39</c:v>
                </c:pt>
                <c:pt idx="37">
                  <c:v>405.67</c:v>
                </c:pt>
                <c:pt idx="38">
                  <c:v>410.11</c:v>
                </c:pt>
                <c:pt idx="39">
                  <c:v>414.28</c:v>
                </c:pt>
                <c:pt idx="40">
                  <c:v>418.61</c:v>
                </c:pt>
                <c:pt idx="41">
                  <c:v>422.78</c:v>
                </c:pt>
                <c:pt idx="42">
                  <c:v>427.17</c:v>
                </c:pt>
                <c:pt idx="43">
                  <c:v>431.44</c:v>
                </c:pt>
                <c:pt idx="44">
                  <c:v>435.83</c:v>
                </c:pt>
                <c:pt idx="45">
                  <c:v>440.17</c:v>
                </c:pt>
                <c:pt idx="46">
                  <c:v>444.5</c:v>
                </c:pt>
                <c:pt idx="47">
                  <c:v>448.94</c:v>
                </c:pt>
                <c:pt idx="48">
                  <c:v>453.39</c:v>
                </c:pt>
                <c:pt idx="49">
                  <c:v>457.78</c:v>
                </c:pt>
                <c:pt idx="50">
                  <c:v>462.22</c:v>
                </c:pt>
                <c:pt idx="51">
                  <c:v>466.61</c:v>
                </c:pt>
                <c:pt idx="52">
                  <c:v>470.78</c:v>
                </c:pt>
                <c:pt idx="53">
                  <c:v>474.94</c:v>
                </c:pt>
                <c:pt idx="54">
                  <c:v>479.11</c:v>
                </c:pt>
                <c:pt idx="55">
                  <c:v>483.28</c:v>
                </c:pt>
                <c:pt idx="56">
                  <c:v>487.5</c:v>
                </c:pt>
                <c:pt idx="57">
                  <c:v>491.67</c:v>
                </c:pt>
                <c:pt idx="58">
                  <c:v>495.83</c:v>
                </c:pt>
                <c:pt idx="59">
                  <c:v>499.89</c:v>
                </c:pt>
                <c:pt idx="60">
                  <c:v>503.89</c:v>
                </c:pt>
                <c:pt idx="61">
                  <c:v>507.94</c:v>
                </c:pt>
                <c:pt idx="62">
                  <c:v>511.94</c:v>
                </c:pt>
                <c:pt idx="63">
                  <c:v>516</c:v>
                </c:pt>
                <c:pt idx="64">
                  <c:v>520.05999999999995</c:v>
                </c:pt>
                <c:pt idx="65">
                  <c:v>524.05999999999995</c:v>
                </c:pt>
                <c:pt idx="66">
                  <c:v>528.05999999999995</c:v>
                </c:pt>
                <c:pt idx="67">
                  <c:v>532.11</c:v>
                </c:pt>
                <c:pt idx="68">
                  <c:v>536</c:v>
                </c:pt>
                <c:pt idx="69">
                  <c:v>539.83000000000004</c:v>
                </c:pt>
                <c:pt idx="70">
                  <c:v>543.72</c:v>
                </c:pt>
                <c:pt idx="71">
                  <c:v>547.66999999999996</c:v>
                </c:pt>
                <c:pt idx="72">
                  <c:v>551.72</c:v>
                </c:pt>
                <c:pt idx="73">
                  <c:v>555.78</c:v>
                </c:pt>
                <c:pt idx="74">
                  <c:v>559.72</c:v>
                </c:pt>
                <c:pt idx="75">
                  <c:v>563.61</c:v>
                </c:pt>
                <c:pt idx="76">
                  <c:v>567.5</c:v>
                </c:pt>
                <c:pt idx="77">
                  <c:v>571.33000000000004</c:v>
                </c:pt>
                <c:pt idx="78">
                  <c:v>575.28</c:v>
                </c:pt>
                <c:pt idx="79">
                  <c:v>579.44000000000005</c:v>
                </c:pt>
                <c:pt idx="80">
                  <c:v>583.72</c:v>
                </c:pt>
                <c:pt idx="81">
                  <c:v>587.78</c:v>
                </c:pt>
                <c:pt idx="82">
                  <c:v>592</c:v>
                </c:pt>
                <c:pt idx="83">
                  <c:v>596.61</c:v>
                </c:pt>
                <c:pt idx="84">
                  <c:v>601.39</c:v>
                </c:pt>
                <c:pt idx="85">
                  <c:v>606.61</c:v>
                </c:pt>
                <c:pt idx="86">
                  <c:v>611.66999999999996</c:v>
                </c:pt>
                <c:pt idx="87">
                  <c:v>616.94000000000005</c:v>
                </c:pt>
                <c:pt idx="88">
                  <c:v>622.61</c:v>
                </c:pt>
                <c:pt idx="89">
                  <c:v>628.89</c:v>
                </c:pt>
                <c:pt idx="90">
                  <c:v>634.78</c:v>
                </c:pt>
                <c:pt idx="91">
                  <c:v>641.33000000000004</c:v>
                </c:pt>
                <c:pt idx="92">
                  <c:v>648.72</c:v>
                </c:pt>
                <c:pt idx="93">
                  <c:v>656.39</c:v>
                </c:pt>
                <c:pt idx="94">
                  <c:v>665.89</c:v>
                </c:pt>
                <c:pt idx="95">
                  <c:v>676.89</c:v>
                </c:pt>
                <c:pt idx="96">
                  <c:v>690.83</c:v>
                </c:pt>
                <c:pt idx="97">
                  <c:v>709.11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858F-476D-AA90-8EF35DFD1C88}"/>
            </c:ext>
          </c:extLst>
        </c:ser>
        <c:ser>
          <c:idx val="2"/>
          <c:order val="2"/>
          <c:tx>
            <c:strRef>
              <c:f>'[1]Raw Data TBP'!$J$2</c:f>
              <c:strCache>
                <c:ptCount val="1"/>
                <c:pt idx="0">
                  <c:v>d4 ART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'[1]Raw Data TBP'!$A$3:$A$103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'[1]Raw Data TBP'!$J$3:$J$103</c:f>
              <c:numCache>
                <c:formatCode>General</c:formatCode>
                <c:ptCount val="101"/>
                <c:pt idx="0">
                  <c:v>112.17</c:v>
                </c:pt>
                <c:pt idx="1">
                  <c:v>135.22</c:v>
                </c:pt>
                <c:pt idx="2">
                  <c:v>164</c:v>
                </c:pt>
                <c:pt idx="3">
                  <c:v>183.39</c:v>
                </c:pt>
                <c:pt idx="4">
                  <c:v>198.72</c:v>
                </c:pt>
                <c:pt idx="5">
                  <c:v>213.5</c:v>
                </c:pt>
                <c:pt idx="6">
                  <c:v>223.67</c:v>
                </c:pt>
                <c:pt idx="7">
                  <c:v>234.28</c:v>
                </c:pt>
                <c:pt idx="8">
                  <c:v>244.39</c:v>
                </c:pt>
                <c:pt idx="9">
                  <c:v>253.5</c:v>
                </c:pt>
                <c:pt idx="10">
                  <c:v>262.06</c:v>
                </c:pt>
                <c:pt idx="11">
                  <c:v>270.22000000000003</c:v>
                </c:pt>
                <c:pt idx="12">
                  <c:v>277.72000000000003</c:v>
                </c:pt>
                <c:pt idx="13">
                  <c:v>285.83</c:v>
                </c:pt>
                <c:pt idx="14">
                  <c:v>292</c:v>
                </c:pt>
                <c:pt idx="15">
                  <c:v>298.94</c:v>
                </c:pt>
                <c:pt idx="16">
                  <c:v>304.61</c:v>
                </c:pt>
                <c:pt idx="17">
                  <c:v>310.83</c:v>
                </c:pt>
                <c:pt idx="18">
                  <c:v>316.44</c:v>
                </c:pt>
                <c:pt idx="19">
                  <c:v>322.33</c:v>
                </c:pt>
                <c:pt idx="20">
                  <c:v>328.33</c:v>
                </c:pt>
                <c:pt idx="21">
                  <c:v>333.44</c:v>
                </c:pt>
                <c:pt idx="22">
                  <c:v>338.78</c:v>
                </c:pt>
                <c:pt idx="23">
                  <c:v>344</c:v>
                </c:pt>
                <c:pt idx="24">
                  <c:v>349.28</c:v>
                </c:pt>
                <c:pt idx="25">
                  <c:v>354.17</c:v>
                </c:pt>
                <c:pt idx="26">
                  <c:v>358.83</c:v>
                </c:pt>
                <c:pt idx="27">
                  <c:v>363.83</c:v>
                </c:pt>
                <c:pt idx="28">
                  <c:v>368.44</c:v>
                </c:pt>
                <c:pt idx="29">
                  <c:v>373.28</c:v>
                </c:pt>
                <c:pt idx="30">
                  <c:v>378.11</c:v>
                </c:pt>
                <c:pt idx="31">
                  <c:v>382.5</c:v>
                </c:pt>
                <c:pt idx="32">
                  <c:v>387.22</c:v>
                </c:pt>
                <c:pt idx="33">
                  <c:v>391.5</c:v>
                </c:pt>
                <c:pt idx="34">
                  <c:v>396.11</c:v>
                </c:pt>
                <c:pt idx="35">
                  <c:v>400.72</c:v>
                </c:pt>
                <c:pt idx="36">
                  <c:v>404.89</c:v>
                </c:pt>
                <c:pt idx="37">
                  <c:v>409.33</c:v>
                </c:pt>
                <c:pt idx="38">
                  <c:v>413.61</c:v>
                </c:pt>
                <c:pt idx="39">
                  <c:v>418</c:v>
                </c:pt>
                <c:pt idx="40">
                  <c:v>422.22</c:v>
                </c:pt>
                <c:pt idx="41">
                  <c:v>426.67</c:v>
                </c:pt>
                <c:pt idx="42">
                  <c:v>431</c:v>
                </c:pt>
                <c:pt idx="43">
                  <c:v>435.39</c:v>
                </c:pt>
                <c:pt idx="44">
                  <c:v>439.83</c:v>
                </c:pt>
                <c:pt idx="45">
                  <c:v>444.17</c:v>
                </c:pt>
                <c:pt idx="46">
                  <c:v>448.72</c:v>
                </c:pt>
                <c:pt idx="47">
                  <c:v>453.17</c:v>
                </c:pt>
                <c:pt idx="48">
                  <c:v>457.61</c:v>
                </c:pt>
                <c:pt idx="49">
                  <c:v>462.11</c:v>
                </c:pt>
                <c:pt idx="50">
                  <c:v>466.56</c:v>
                </c:pt>
                <c:pt idx="51">
                  <c:v>470.78</c:v>
                </c:pt>
                <c:pt idx="52">
                  <c:v>474.94</c:v>
                </c:pt>
                <c:pt idx="53">
                  <c:v>479.17</c:v>
                </c:pt>
                <c:pt idx="54">
                  <c:v>483.39</c:v>
                </c:pt>
                <c:pt idx="55">
                  <c:v>487.61</c:v>
                </c:pt>
                <c:pt idx="56">
                  <c:v>491.78</c:v>
                </c:pt>
                <c:pt idx="57">
                  <c:v>496.06</c:v>
                </c:pt>
                <c:pt idx="58">
                  <c:v>500.11</c:v>
                </c:pt>
                <c:pt idx="59">
                  <c:v>504.11</c:v>
                </c:pt>
                <c:pt idx="60">
                  <c:v>508.22</c:v>
                </c:pt>
                <c:pt idx="61">
                  <c:v>512.22</c:v>
                </c:pt>
                <c:pt idx="62">
                  <c:v>516.28</c:v>
                </c:pt>
                <c:pt idx="63">
                  <c:v>520.39</c:v>
                </c:pt>
                <c:pt idx="64">
                  <c:v>524.39</c:v>
                </c:pt>
                <c:pt idx="65">
                  <c:v>528.44000000000005</c:v>
                </c:pt>
                <c:pt idx="66">
                  <c:v>532.5</c:v>
                </c:pt>
                <c:pt idx="67">
                  <c:v>536.39</c:v>
                </c:pt>
                <c:pt idx="68">
                  <c:v>540.28</c:v>
                </c:pt>
                <c:pt idx="69">
                  <c:v>544.11</c:v>
                </c:pt>
                <c:pt idx="70">
                  <c:v>548.11</c:v>
                </c:pt>
                <c:pt idx="71">
                  <c:v>552.16999999999996</c:v>
                </c:pt>
                <c:pt idx="72">
                  <c:v>556.22</c:v>
                </c:pt>
                <c:pt idx="73">
                  <c:v>560.16999999999996</c:v>
                </c:pt>
                <c:pt idx="74">
                  <c:v>564.11</c:v>
                </c:pt>
                <c:pt idx="75">
                  <c:v>568</c:v>
                </c:pt>
                <c:pt idx="76">
                  <c:v>571.83000000000004</c:v>
                </c:pt>
                <c:pt idx="77">
                  <c:v>575.78</c:v>
                </c:pt>
                <c:pt idx="78">
                  <c:v>579.94000000000005</c:v>
                </c:pt>
                <c:pt idx="79">
                  <c:v>584.22</c:v>
                </c:pt>
                <c:pt idx="80">
                  <c:v>588.33000000000004</c:v>
                </c:pt>
                <c:pt idx="81">
                  <c:v>592.55999999999995</c:v>
                </c:pt>
                <c:pt idx="82">
                  <c:v>597.16999999999996</c:v>
                </c:pt>
                <c:pt idx="83">
                  <c:v>602.05999999999995</c:v>
                </c:pt>
                <c:pt idx="84">
                  <c:v>607.22</c:v>
                </c:pt>
                <c:pt idx="85">
                  <c:v>612.28</c:v>
                </c:pt>
                <c:pt idx="86">
                  <c:v>617.55999999999995</c:v>
                </c:pt>
                <c:pt idx="87">
                  <c:v>623.28</c:v>
                </c:pt>
                <c:pt idx="88">
                  <c:v>629.44000000000005</c:v>
                </c:pt>
                <c:pt idx="89">
                  <c:v>635.33000000000004</c:v>
                </c:pt>
                <c:pt idx="90">
                  <c:v>641.89</c:v>
                </c:pt>
                <c:pt idx="91">
                  <c:v>649.28</c:v>
                </c:pt>
                <c:pt idx="92">
                  <c:v>656.83</c:v>
                </c:pt>
                <c:pt idx="93">
                  <c:v>666.39</c:v>
                </c:pt>
                <c:pt idx="94">
                  <c:v>677.17</c:v>
                </c:pt>
                <c:pt idx="95">
                  <c:v>690.72</c:v>
                </c:pt>
                <c:pt idx="96">
                  <c:v>707.94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858F-476D-AA90-8EF35DFD1C88}"/>
            </c:ext>
          </c:extLst>
        </c:ser>
        <c:ser>
          <c:idx val="6"/>
          <c:order val="6"/>
          <c:tx>
            <c:strRef>
              <c:f>'[1]Raw Data TBP'!$AA$2</c:f>
              <c:strCache>
                <c:ptCount val="1"/>
                <c:pt idx="0">
                  <c:v>d2 TOP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'[1]Raw Data TBP'!$A$3:$A$103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'[1]Raw Data TBP'!$AA$3:$AA$104</c:f>
              <c:numCache>
                <c:formatCode>General</c:formatCode>
                <c:ptCount val="102"/>
                <c:pt idx="0">
                  <c:v>94.4</c:v>
                </c:pt>
                <c:pt idx="1">
                  <c:v>119.27</c:v>
                </c:pt>
                <c:pt idx="2">
                  <c:v>148.83000000000001</c:v>
                </c:pt>
                <c:pt idx="3">
                  <c:v>170.14</c:v>
                </c:pt>
                <c:pt idx="4">
                  <c:v>185.01</c:v>
                </c:pt>
                <c:pt idx="5">
                  <c:v>199.54</c:v>
                </c:pt>
                <c:pt idx="6">
                  <c:v>211.85</c:v>
                </c:pt>
                <c:pt idx="7">
                  <c:v>222.31</c:v>
                </c:pt>
                <c:pt idx="8">
                  <c:v>232.37</c:v>
                </c:pt>
                <c:pt idx="9">
                  <c:v>242.16</c:v>
                </c:pt>
                <c:pt idx="10">
                  <c:v>251.34</c:v>
                </c:pt>
                <c:pt idx="11">
                  <c:v>259.73</c:v>
                </c:pt>
                <c:pt idx="12">
                  <c:v>268.02</c:v>
                </c:pt>
                <c:pt idx="13">
                  <c:v>275.39999999999998</c:v>
                </c:pt>
                <c:pt idx="14">
                  <c:v>282.79000000000002</c:v>
                </c:pt>
                <c:pt idx="15">
                  <c:v>289.75</c:v>
                </c:pt>
                <c:pt idx="16">
                  <c:v>296.07</c:v>
                </c:pt>
                <c:pt idx="17">
                  <c:v>301.81</c:v>
                </c:pt>
                <c:pt idx="18">
                  <c:v>308.24</c:v>
                </c:pt>
                <c:pt idx="19">
                  <c:v>314.02</c:v>
                </c:pt>
                <c:pt idx="20">
                  <c:v>319.83999999999997</c:v>
                </c:pt>
                <c:pt idx="21">
                  <c:v>325.8</c:v>
                </c:pt>
                <c:pt idx="22">
                  <c:v>330.94</c:v>
                </c:pt>
                <c:pt idx="23">
                  <c:v>336.61</c:v>
                </c:pt>
                <c:pt idx="24">
                  <c:v>341.85</c:v>
                </c:pt>
                <c:pt idx="25">
                  <c:v>346.94</c:v>
                </c:pt>
                <c:pt idx="26">
                  <c:v>352.09</c:v>
                </c:pt>
                <c:pt idx="27">
                  <c:v>356.68</c:v>
                </c:pt>
                <c:pt idx="28">
                  <c:v>361.55</c:v>
                </c:pt>
                <c:pt idx="29">
                  <c:v>366.32</c:v>
                </c:pt>
                <c:pt idx="30">
                  <c:v>371.15</c:v>
                </c:pt>
                <c:pt idx="31">
                  <c:v>375.92</c:v>
                </c:pt>
                <c:pt idx="32">
                  <c:v>380.32</c:v>
                </c:pt>
                <c:pt idx="33">
                  <c:v>385.18</c:v>
                </c:pt>
                <c:pt idx="34">
                  <c:v>389.65</c:v>
                </c:pt>
                <c:pt idx="35">
                  <c:v>394.33</c:v>
                </c:pt>
                <c:pt idx="36">
                  <c:v>398.8</c:v>
                </c:pt>
                <c:pt idx="37">
                  <c:v>403.16</c:v>
                </c:pt>
                <c:pt idx="38">
                  <c:v>407.81</c:v>
                </c:pt>
                <c:pt idx="39">
                  <c:v>412.14</c:v>
                </c:pt>
                <c:pt idx="40">
                  <c:v>416.68</c:v>
                </c:pt>
                <c:pt idx="41">
                  <c:v>421.11</c:v>
                </c:pt>
                <c:pt idx="42">
                  <c:v>425.75</c:v>
                </c:pt>
                <c:pt idx="43">
                  <c:v>430.29</c:v>
                </c:pt>
                <c:pt idx="44">
                  <c:v>434.99</c:v>
                </c:pt>
                <c:pt idx="45">
                  <c:v>439.45</c:v>
                </c:pt>
                <c:pt idx="46">
                  <c:v>444.1</c:v>
                </c:pt>
                <c:pt idx="47">
                  <c:v>448.54</c:v>
                </c:pt>
                <c:pt idx="48">
                  <c:v>453.22</c:v>
                </c:pt>
                <c:pt idx="49">
                  <c:v>457.79</c:v>
                </c:pt>
                <c:pt idx="50">
                  <c:v>462.33</c:v>
                </c:pt>
                <c:pt idx="51">
                  <c:v>466.92</c:v>
                </c:pt>
                <c:pt idx="52">
                  <c:v>471.35</c:v>
                </c:pt>
                <c:pt idx="53">
                  <c:v>475.79</c:v>
                </c:pt>
                <c:pt idx="54">
                  <c:v>480.27</c:v>
                </c:pt>
                <c:pt idx="55">
                  <c:v>484.77</c:v>
                </c:pt>
                <c:pt idx="56">
                  <c:v>489.24</c:v>
                </c:pt>
                <c:pt idx="57">
                  <c:v>493.72</c:v>
                </c:pt>
                <c:pt idx="58">
                  <c:v>498.17</c:v>
                </c:pt>
                <c:pt idx="59">
                  <c:v>502.45</c:v>
                </c:pt>
                <c:pt idx="60">
                  <c:v>506.8</c:v>
                </c:pt>
                <c:pt idx="61">
                  <c:v>511.15</c:v>
                </c:pt>
                <c:pt idx="62">
                  <c:v>515.47</c:v>
                </c:pt>
                <c:pt idx="63">
                  <c:v>519.83000000000004</c:v>
                </c:pt>
                <c:pt idx="64">
                  <c:v>524.13</c:v>
                </c:pt>
                <c:pt idx="65">
                  <c:v>528.32000000000005</c:v>
                </c:pt>
                <c:pt idx="66">
                  <c:v>532.51</c:v>
                </c:pt>
                <c:pt idx="67">
                  <c:v>536.73</c:v>
                </c:pt>
                <c:pt idx="68">
                  <c:v>540.92999999999995</c:v>
                </c:pt>
                <c:pt idx="69">
                  <c:v>545.11</c:v>
                </c:pt>
                <c:pt idx="70">
                  <c:v>549.33000000000004</c:v>
                </c:pt>
                <c:pt idx="71">
                  <c:v>553.55999999999995</c:v>
                </c:pt>
                <c:pt idx="72">
                  <c:v>557.67999999999995</c:v>
                </c:pt>
                <c:pt idx="73">
                  <c:v>561.69000000000005</c:v>
                </c:pt>
                <c:pt idx="74">
                  <c:v>565.72</c:v>
                </c:pt>
                <c:pt idx="75">
                  <c:v>569.84</c:v>
                </c:pt>
                <c:pt idx="76">
                  <c:v>574.04999999999995</c:v>
                </c:pt>
                <c:pt idx="77">
                  <c:v>578.45000000000005</c:v>
                </c:pt>
                <c:pt idx="78">
                  <c:v>583</c:v>
                </c:pt>
                <c:pt idx="79">
                  <c:v>587.49</c:v>
                </c:pt>
                <c:pt idx="80">
                  <c:v>592.11</c:v>
                </c:pt>
                <c:pt idx="81">
                  <c:v>596.92999999999995</c:v>
                </c:pt>
                <c:pt idx="82">
                  <c:v>602.04</c:v>
                </c:pt>
                <c:pt idx="83">
                  <c:v>607.49</c:v>
                </c:pt>
                <c:pt idx="84">
                  <c:v>613.19000000000005</c:v>
                </c:pt>
                <c:pt idx="85">
                  <c:v>619.12</c:v>
                </c:pt>
                <c:pt idx="86">
                  <c:v>625.39</c:v>
                </c:pt>
                <c:pt idx="87">
                  <c:v>632.07000000000005</c:v>
                </c:pt>
                <c:pt idx="88">
                  <c:v>639.15</c:v>
                </c:pt>
                <c:pt idx="89">
                  <c:v>646.79</c:v>
                </c:pt>
                <c:pt idx="90">
                  <c:v>655.29</c:v>
                </c:pt>
                <c:pt idx="91">
                  <c:v>664.56</c:v>
                </c:pt>
                <c:pt idx="92">
                  <c:v>675.22</c:v>
                </c:pt>
                <c:pt idx="93">
                  <c:v>687.44</c:v>
                </c:pt>
                <c:pt idx="94">
                  <c:v>700.09</c:v>
                </c:pt>
                <c:pt idx="95">
                  <c:v>713.39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858F-476D-AA90-8EF35DFD1C88}"/>
            </c:ext>
          </c:extLst>
        </c:ser>
        <c:ser>
          <c:idx val="7"/>
          <c:order val="7"/>
          <c:tx>
            <c:strRef>
              <c:f>'[1]Raw Data TBP'!$AB$2</c:f>
              <c:strCache>
                <c:ptCount val="1"/>
                <c:pt idx="0">
                  <c:v>d3 TOP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'[1]Raw Data TBP'!$A$3:$A$103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'[1]Raw Data TBP'!$AB$3:$AB$105</c:f>
              <c:numCache>
                <c:formatCode>General</c:formatCode>
                <c:ptCount val="103"/>
                <c:pt idx="0">
                  <c:v>97.26</c:v>
                </c:pt>
                <c:pt idx="1">
                  <c:v>122.15</c:v>
                </c:pt>
                <c:pt idx="2">
                  <c:v>154.13999999999999</c:v>
                </c:pt>
                <c:pt idx="3">
                  <c:v>173.44</c:v>
                </c:pt>
                <c:pt idx="4">
                  <c:v>190.25</c:v>
                </c:pt>
                <c:pt idx="5">
                  <c:v>203.42</c:v>
                </c:pt>
                <c:pt idx="6">
                  <c:v>215.86</c:v>
                </c:pt>
                <c:pt idx="7">
                  <c:v>226.8</c:v>
                </c:pt>
                <c:pt idx="8">
                  <c:v>236.7</c:v>
                </c:pt>
                <c:pt idx="9">
                  <c:v>247.63</c:v>
                </c:pt>
                <c:pt idx="10">
                  <c:v>256.39</c:v>
                </c:pt>
                <c:pt idx="11">
                  <c:v>265.20999999999998</c:v>
                </c:pt>
                <c:pt idx="12">
                  <c:v>273.23</c:v>
                </c:pt>
                <c:pt idx="13">
                  <c:v>281.17</c:v>
                </c:pt>
                <c:pt idx="14">
                  <c:v>288.68</c:v>
                </c:pt>
                <c:pt idx="15">
                  <c:v>295.58</c:v>
                </c:pt>
                <c:pt idx="16">
                  <c:v>301.73</c:v>
                </c:pt>
                <c:pt idx="17">
                  <c:v>308.52999999999997</c:v>
                </c:pt>
                <c:pt idx="18">
                  <c:v>314.43</c:v>
                </c:pt>
                <c:pt idx="19">
                  <c:v>320.76</c:v>
                </c:pt>
                <c:pt idx="20">
                  <c:v>327.08999999999997</c:v>
                </c:pt>
                <c:pt idx="21">
                  <c:v>332.57</c:v>
                </c:pt>
                <c:pt idx="22">
                  <c:v>338.35</c:v>
                </c:pt>
                <c:pt idx="23">
                  <c:v>343.58</c:v>
                </c:pt>
                <c:pt idx="24">
                  <c:v>349.13</c:v>
                </c:pt>
                <c:pt idx="25">
                  <c:v>354.33</c:v>
                </c:pt>
                <c:pt idx="26">
                  <c:v>359.45</c:v>
                </c:pt>
                <c:pt idx="27">
                  <c:v>364.34</c:v>
                </c:pt>
                <c:pt idx="28">
                  <c:v>369.2</c:v>
                </c:pt>
                <c:pt idx="29">
                  <c:v>374.25</c:v>
                </c:pt>
                <c:pt idx="30">
                  <c:v>378.86</c:v>
                </c:pt>
                <c:pt idx="31">
                  <c:v>383.9</c:v>
                </c:pt>
                <c:pt idx="32">
                  <c:v>388.7</c:v>
                </c:pt>
                <c:pt idx="33">
                  <c:v>393.42</c:v>
                </c:pt>
                <c:pt idx="34">
                  <c:v>398.17</c:v>
                </c:pt>
                <c:pt idx="35">
                  <c:v>402.57</c:v>
                </c:pt>
                <c:pt idx="36">
                  <c:v>407.41</c:v>
                </c:pt>
                <c:pt idx="37">
                  <c:v>411.91</c:v>
                </c:pt>
                <c:pt idx="38">
                  <c:v>416.63</c:v>
                </c:pt>
                <c:pt idx="39">
                  <c:v>421.22</c:v>
                </c:pt>
                <c:pt idx="40">
                  <c:v>425.72</c:v>
                </c:pt>
                <c:pt idx="41">
                  <c:v>430.37</c:v>
                </c:pt>
                <c:pt idx="42">
                  <c:v>435.22</c:v>
                </c:pt>
                <c:pt idx="43">
                  <c:v>439.82</c:v>
                </c:pt>
                <c:pt idx="44">
                  <c:v>444.6</c:v>
                </c:pt>
                <c:pt idx="45">
                  <c:v>449.15</c:v>
                </c:pt>
                <c:pt idx="46">
                  <c:v>453.98</c:v>
                </c:pt>
                <c:pt idx="47">
                  <c:v>458.68</c:v>
                </c:pt>
                <c:pt idx="48">
                  <c:v>463.34</c:v>
                </c:pt>
                <c:pt idx="49">
                  <c:v>468.03</c:v>
                </c:pt>
                <c:pt idx="50">
                  <c:v>472.52</c:v>
                </c:pt>
                <c:pt idx="51">
                  <c:v>477.15</c:v>
                </c:pt>
                <c:pt idx="52">
                  <c:v>481.73</c:v>
                </c:pt>
                <c:pt idx="53">
                  <c:v>486.34</c:v>
                </c:pt>
                <c:pt idx="54">
                  <c:v>490.97</c:v>
                </c:pt>
                <c:pt idx="55">
                  <c:v>495.52</c:v>
                </c:pt>
                <c:pt idx="56">
                  <c:v>500.01</c:v>
                </c:pt>
                <c:pt idx="57">
                  <c:v>504.41</c:v>
                </c:pt>
                <c:pt idx="58">
                  <c:v>508.8</c:v>
                </c:pt>
                <c:pt idx="59">
                  <c:v>513.23</c:v>
                </c:pt>
                <c:pt idx="60">
                  <c:v>517.64</c:v>
                </c:pt>
                <c:pt idx="61">
                  <c:v>522.02</c:v>
                </c:pt>
                <c:pt idx="62">
                  <c:v>526.29</c:v>
                </c:pt>
                <c:pt idx="63">
                  <c:v>530.55999999999995</c:v>
                </c:pt>
                <c:pt idx="64">
                  <c:v>534.79</c:v>
                </c:pt>
                <c:pt idx="65">
                  <c:v>539.03</c:v>
                </c:pt>
                <c:pt idx="66">
                  <c:v>543.24</c:v>
                </c:pt>
                <c:pt idx="67">
                  <c:v>547.48</c:v>
                </c:pt>
                <c:pt idx="68">
                  <c:v>551.72</c:v>
                </c:pt>
                <c:pt idx="69">
                  <c:v>555.95000000000005</c:v>
                </c:pt>
                <c:pt idx="70">
                  <c:v>559.91999999999996</c:v>
                </c:pt>
                <c:pt idx="71">
                  <c:v>563.94000000000005</c:v>
                </c:pt>
                <c:pt idx="72">
                  <c:v>568.01</c:v>
                </c:pt>
                <c:pt idx="73">
                  <c:v>572.16</c:v>
                </c:pt>
                <c:pt idx="74">
                  <c:v>576.42999999999995</c:v>
                </c:pt>
                <c:pt idx="75">
                  <c:v>580.87</c:v>
                </c:pt>
                <c:pt idx="76">
                  <c:v>585.37</c:v>
                </c:pt>
                <c:pt idx="77">
                  <c:v>589.85</c:v>
                </c:pt>
                <c:pt idx="78">
                  <c:v>594.52</c:v>
                </c:pt>
                <c:pt idx="79">
                  <c:v>599.4</c:v>
                </c:pt>
                <c:pt idx="80">
                  <c:v>604.59</c:v>
                </c:pt>
                <c:pt idx="81">
                  <c:v>610.08000000000004</c:v>
                </c:pt>
                <c:pt idx="82">
                  <c:v>615.77</c:v>
                </c:pt>
                <c:pt idx="83">
                  <c:v>621.67999999999995</c:v>
                </c:pt>
                <c:pt idx="84">
                  <c:v>627.92999999999995</c:v>
                </c:pt>
                <c:pt idx="85">
                  <c:v>634.57000000000005</c:v>
                </c:pt>
                <c:pt idx="86">
                  <c:v>641.54</c:v>
                </c:pt>
                <c:pt idx="87">
                  <c:v>649.09</c:v>
                </c:pt>
                <c:pt idx="88">
                  <c:v>657.37</c:v>
                </c:pt>
                <c:pt idx="89">
                  <c:v>666.4</c:v>
                </c:pt>
                <c:pt idx="90">
                  <c:v>676.07</c:v>
                </c:pt>
                <c:pt idx="91">
                  <c:v>686.95</c:v>
                </c:pt>
                <c:pt idx="92">
                  <c:v>697.83</c:v>
                </c:pt>
                <c:pt idx="93">
                  <c:v>708.49</c:v>
                </c:pt>
                <c:pt idx="94">
                  <c:v>720.1</c:v>
                </c:pt>
                <c:pt idx="95">
                  <c:v>722.84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858F-476D-AA90-8EF35DFD1C88}"/>
            </c:ext>
          </c:extLst>
        </c:ser>
        <c:ser>
          <c:idx val="8"/>
          <c:order val="8"/>
          <c:tx>
            <c:strRef>
              <c:f>'[1]Raw Data TBP'!$AC$2</c:f>
              <c:strCache>
                <c:ptCount val="1"/>
                <c:pt idx="0">
                  <c:v>d4 TOP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'[1]Raw Data TBP'!$A$3:$A$103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'[1]Raw Data TBP'!$AC$3:$AC$103</c:f>
              <c:numCache>
                <c:formatCode>General</c:formatCode>
                <c:ptCount val="101"/>
                <c:pt idx="0">
                  <c:v>95.55</c:v>
                </c:pt>
                <c:pt idx="1">
                  <c:v>121.33</c:v>
                </c:pt>
                <c:pt idx="2">
                  <c:v>152.68</c:v>
                </c:pt>
                <c:pt idx="3">
                  <c:v>172.57</c:v>
                </c:pt>
                <c:pt idx="4">
                  <c:v>189.45</c:v>
                </c:pt>
                <c:pt idx="5">
                  <c:v>203.23</c:v>
                </c:pt>
                <c:pt idx="6">
                  <c:v>215.87</c:v>
                </c:pt>
                <c:pt idx="7">
                  <c:v>226.97</c:v>
                </c:pt>
                <c:pt idx="8">
                  <c:v>237.07</c:v>
                </c:pt>
                <c:pt idx="9">
                  <c:v>248.03</c:v>
                </c:pt>
                <c:pt idx="10">
                  <c:v>256.95999999999998</c:v>
                </c:pt>
                <c:pt idx="11">
                  <c:v>265.81</c:v>
                </c:pt>
                <c:pt idx="12">
                  <c:v>273.86</c:v>
                </c:pt>
                <c:pt idx="13">
                  <c:v>281.76</c:v>
                </c:pt>
                <c:pt idx="14">
                  <c:v>289.23</c:v>
                </c:pt>
                <c:pt idx="15">
                  <c:v>296.06</c:v>
                </c:pt>
                <c:pt idx="16">
                  <c:v>302.16000000000003</c:v>
                </c:pt>
                <c:pt idx="17">
                  <c:v>308.88</c:v>
                </c:pt>
                <c:pt idx="18">
                  <c:v>314.67</c:v>
                </c:pt>
                <c:pt idx="19">
                  <c:v>321.02999999999997</c:v>
                </c:pt>
                <c:pt idx="20">
                  <c:v>327.3</c:v>
                </c:pt>
                <c:pt idx="21">
                  <c:v>332.78</c:v>
                </c:pt>
                <c:pt idx="22">
                  <c:v>338.53</c:v>
                </c:pt>
                <c:pt idx="23">
                  <c:v>343.73</c:v>
                </c:pt>
                <c:pt idx="24">
                  <c:v>349.23</c:v>
                </c:pt>
                <c:pt idx="25">
                  <c:v>354.39</c:v>
                </c:pt>
                <c:pt idx="26">
                  <c:v>359.48</c:v>
                </c:pt>
                <c:pt idx="27">
                  <c:v>364.34</c:v>
                </c:pt>
                <c:pt idx="28">
                  <c:v>369.2</c:v>
                </c:pt>
                <c:pt idx="29">
                  <c:v>374.25</c:v>
                </c:pt>
                <c:pt idx="30">
                  <c:v>378.86</c:v>
                </c:pt>
                <c:pt idx="31">
                  <c:v>383.9</c:v>
                </c:pt>
                <c:pt idx="32">
                  <c:v>388.7</c:v>
                </c:pt>
                <c:pt idx="33">
                  <c:v>393.42</c:v>
                </c:pt>
                <c:pt idx="34">
                  <c:v>398.17</c:v>
                </c:pt>
                <c:pt idx="35">
                  <c:v>402.57</c:v>
                </c:pt>
                <c:pt idx="36">
                  <c:v>407.41</c:v>
                </c:pt>
                <c:pt idx="37">
                  <c:v>411.91</c:v>
                </c:pt>
                <c:pt idx="38">
                  <c:v>416.63</c:v>
                </c:pt>
                <c:pt idx="39">
                  <c:v>421.22</c:v>
                </c:pt>
                <c:pt idx="40">
                  <c:v>425.72</c:v>
                </c:pt>
                <c:pt idx="41">
                  <c:v>430.37</c:v>
                </c:pt>
                <c:pt idx="42">
                  <c:v>435.22</c:v>
                </c:pt>
                <c:pt idx="43">
                  <c:v>439.82</c:v>
                </c:pt>
                <c:pt idx="44">
                  <c:v>444.6</c:v>
                </c:pt>
                <c:pt idx="45">
                  <c:v>449.15</c:v>
                </c:pt>
                <c:pt idx="46">
                  <c:v>453.98</c:v>
                </c:pt>
                <c:pt idx="47">
                  <c:v>458.68</c:v>
                </c:pt>
                <c:pt idx="48">
                  <c:v>463.34</c:v>
                </c:pt>
                <c:pt idx="49">
                  <c:v>468.03</c:v>
                </c:pt>
                <c:pt idx="50">
                  <c:v>472.52</c:v>
                </c:pt>
                <c:pt idx="51">
                  <c:v>477.15</c:v>
                </c:pt>
                <c:pt idx="52">
                  <c:v>481.73</c:v>
                </c:pt>
                <c:pt idx="53">
                  <c:v>486.34</c:v>
                </c:pt>
                <c:pt idx="54">
                  <c:v>490.97</c:v>
                </c:pt>
                <c:pt idx="55">
                  <c:v>495.52</c:v>
                </c:pt>
                <c:pt idx="56">
                  <c:v>500.01</c:v>
                </c:pt>
                <c:pt idx="57">
                  <c:v>504.41</c:v>
                </c:pt>
                <c:pt idx="58">
                  <c:v>508.8</c:v>
                </c:pt>
                <c:pt idx="59">
                  <c:v>513.23</c:v>
                </c:pt>
                <c:pt idx="60">
                  <c:v>517.64</c:v>
                </c:pt>
                <c:pt idx="61">
                  <c:v>522.02</c:v>
                </c:pt>
                <c:pt idx="62">
                  <c:v>526.29</c:v>
                </c:pt>
                <c:pt idx="63">
                  <c:v>530.55999999999995</c:v>
                </c:pt>
                <c:pt idx="64">
                  <c:v>534.79</c:v>
                </c:pt>
                <c:pt idx="65">
                  <c:v>539.03</c:v>
                </c:pt>
                <c:pt idx="66">
                  <c:v>543.24</c:v>
                </c:pt>
                <c:pt idx="67">
                  <c:v>547.48</c:v>
                </c:pt>
                <c:pt idx="68">
                  <c:v>551.72</c:v>
                </c:pt>
                <c:pt idx="69">
                  <c:v>555.95000000000005</c:v>
                </c:pt>
                <c:pt idx="70">
                  <c:v>559.91999999999996</c:v>
                </c:pt>
                <c:pt idx="71">
                  <c:v>563.94000000000005</c:v>
                </c:pt>
                <c:pt idx="72">
                  <c:v>568.01</c:v>
                </c:pt>
                <c:pt idx="73">
                  <c:v>572.16</c:v>
                </c:pt>
                <c:pt idx="74">
                  <c:v>576.42999999999995</c:v>
                </c:pt>
                <c:pt idx="75">
                  <c:v>580.87</c:v>
                </c:pt>
                <c:pt idx="76">
                  <c:v>585.37</c:v>
                </c:pt>
                <c:pt idx="77">
                  <c:v>589.85</c:v>
                </c:pt>
                <c:pt idx="78">
                  <c:v>594.52</c:v>
                </c:pt>
                <c:pt idx="79">
                  <c:v>599.4</c:v>
                </c:pt>
                <c:pt idx="80">
                  <c:v>604.59</c:v>
                </c:pt>
                <c:pt idx="81">
                  <c:v>610.08000000000004</c:v>
                </c:pt>
                <c:pt idx="82">
                  <c:v>615.77</c:v>
                </c:pt>
                <c:pt idx="83">
                  <c:v>621.67999999999995</c:v>
                </c:pt>
                <c:pt idx="84">
                  <c:v>627.92999999999995</c:v>
                </c:pt>
                <c:pt idx="85">
                  <c:v>634.57000000000005</c:v>
                </c:pt>
                <c:pt idx="86">
                  <c:v>641.54</c:v>
                </c:pt>
                <c:pt idx="87">
                  <c:v>649.09</c:v>
                </c:pt>
                <c:pt idx="88">
                  <c:v>657.37</c:v>
                </c:pt>
                <c:pt idx="89">
                  <c:v>666.4</c:v>
                </c:pt>
                <c:pt idx="90">
                  <c:v>676.07</c:v>
                </c:pt>
                <c:pt idx="91">
                  <c:v>686.95</c:v>
                </c:pt>
                <c:pt idx="92">
                  <c:v>697.83</c:v>
                </c:pt>
                <c:pt idx="93">
                  <c:v>708.49</c:v>
                </c:pt>
                <c:pt idx="94">
                  <c:v>720.1</c:v>
                </c:pt>
                <c:pt idx="95">
                  <c:v>722.84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858F-476D-AA90-8EF35DFD1C88}"/>
            </c:ext>
          </c:extLst>
        </c:ser>
        <c:ser>
          <c:idx val="12"/>
          <c:order val="12"/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'[1]HPS Curve (2)'!$V$12:$V$13</c:f>
              <c:numCache>
                <c:formatCode>General</c:formatCode>
                <c:ptCount val="2"/>
                <c:pt idx="0">
                  <c:v>-5</c:v>
                </c:pt>
                <c:pt idx="1">
                  <c:v>120</c:v>
                </c:pt>
              </c:numCache>
            </c:numRef>
          </c:xVal>
          <c:yVal>
            <c:numRef>
              <c:f>'[1]HPS Curve (2)'!$U$12:$U$13</c:f>
              <c:numCache>
                <c:formatCode>General</c:formatCode>
                <c:ptCount val="2"/>
                <c:pt idx="0">
                  <c:v>560</c:v>
                </c:pt>
                <c:pt idx="1">
                  <c:v>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58F-476D-AA90-8EF35DFD1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583408"/>
        <c:axId val="253598768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'[1]Raw Data TBP'!$K$2</c15:sqref>
                        </c15:formulaRef>
                      </c:ext>
                    </c:extLst>
                    <c:strCache>
                      <c:ptCount val="1"/>
                      <c:pt idx="0">
                        <c:v>d5 ART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'[1]Raw Data TBP'!$A$3:$A$103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'[1]Raw Data TBP'!$K$3:$K$103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100.06</c:v>
                      </c:pt>
                      <c:pt idx="1">
                        <c:v>133.5</c:v>
                      </c:pt>
                      <c:pt idx="2">
                        <c:v>161.56</c:v>
                      </c:pt>
                      <c:pt idx="3">
                        <c:v>180.83</c:v>
                      </c:pt>
                      <c:pt idx="4">
                        <c:v>196.83</c:v>
                      </c:pt>
                      <c:pt idx="5">
                        <c:v>210.22</c:v>
                      </c:pt>
                      <c:pt idx="6">
                        <c:v>221.17</c:v>
                      </c:pt>
                      <c:pt idx="7">
                        <c:v>232.39</c:v>
                      </c:pt>
                      <c:pt idx="8">
                        <c:v>241.78</c:v>
                      </c:pt>
                      <c:pt idx="9">
                        <c:v>252.56</c:v>
                      </c:pt>
                      <c:pt idx="10">
                        <c:v>260.33</c:v>
                      </c:pt>
                      <c:pt idx="11">
                        <c:v>269.5</c:v>
                      </c:pt>
                      <c:pt idx="12">
                        <c:v>276.61</c:v>
                      </c:pt>
                      <c:pt idx="13">
                        <c:v>285.33</c:v>
                      </c:pt>
                      <c:pt idx="14">
                        <c:v>291.61</c:v>
                      </c:pt>
                      <c:pt idx="15">
                        <c:v>298.72000000000003</c:v>
                      </c:pt>
                      <c:pt idx="16">
                        <c:v>304.61</c:v>
                      </c:pt>
                      <c:pt idx="17">
                        <c:v>311</c:v>
                      </c:pt>
                      <c:pt idx="18">
                        <c:v>316.89</c:v>
                      </c:pt>
                      <c:pt idx="19">
                        <c:v>322.94</c:v>
                      </c:pt>
                      <c:pt idx="20">
                        <c:v>329.17</c:v>
                      </c:pt>
                      <c:pt idx="21">
                        <c:v>334.33</c:v>
                      </c:pt>
                      <c:pt idx="22">
                        <c:v>340</c:v>
                      </c:pt>
                      <c:pt idx="23">
                        <c:v>345.11</c:v>
                      </c:pt>
                      <c:pt idx="24">
                        <c:v>350.5</c:v>
                      </c:pt>
                      <c:pt idx="25">
                        <c:v>355.78</c:v>
                      </c:pt>
                      <c:pt idx="26">
                        <c:v>360.72</c:v>
                      </c:pt>
                      <c:pt idx="27">
                        <c:v>365.78</c:v>
                      </c:pt>
                      <c:pt idx="28">
                        <c:v>370.39</c:v>
                      </c:pt>
                      <c:pt idx="29">
                        <c:v>375.44</c:v>
                      </c:pt>
                      <c:pt idx="30">
                        <c:v>380.22</c:v>
                      </c:pt>
                      <c:pt idx="31">
                        <c:v>385.17</c:v>
                      </c:pt>
                      <c:pt idx="32">
                        <c:v>389.89</c:v>
                      </c:pt>
                      <c:pt idx="33">
                        <c:v>394.33</c:v>
                      </c:pt>
                      <c:pt idx="34">
                        <c:v>399.17</c:v>
                      </c:pt>
                      <c:pt idx="35">
                        <c:v>403.44</c:v>
                      </c:pt>
                      <c:pt idx="36">
                        <c:v>408.11</c:v>
                      </c:pt>
                      <c:pt idx="37">
                        <c:v>412.61</c:v>
                      </c:pt>
                      <c:pt idx="38">
                        <c:v>417.28</c:v>
                      </c:pt>
                      <c:pt idx="39">
                        <c:v>421.72</c:v>
                      </c:pt>
                      <c:pt idx="40">
                        <c:v>426.28</c:v>
                      </c:pt>
                      <c:pt idx="41">
                        <c:v>430.89</c:v>
                      </c:pt>
                      <c:pt idx="42">
                        <c:v>435.39</c:v>
                      </c:pt>
                      <c:pt idx="43">
                        <c:v>440</c:v>
                      </c:pt>
                      <c:pt idx="44">
                        <c:v>444.56</c:v>
                      </c:pt>
                      <c:pt idx="45">
                        <c:v>449.28</c:v>
                      </c:pt>
                      <c:pt idx="46">
                        <c:v>453.83</c:v>
                      </c:pt>
                      <c:pt idx="47">
                        <c:v>458.5</c:v>
                      </c:pt>
                      <c:pt idx="48">
                        <c:v>463.22</c:v>
                      </c:pt>
                      <c:pt idx="49">
                        <c:v>467.78</c:v>
                      </c:pt>
                      <c:pt idx="50">
                        <c:v>472.22</c:v>
                      </c:pt>
                      <c:pt idx="51">
                        <c:v>476.61</c:v>
                      </c:pt>
                      <c:pt idx="52">
                        <c:v>481.06</c:v>
                      </c:pt>
                      <c:pt idx="53">
                        <c:v>485.44</c:v>
                      </c:pt>
                      <c:pt idx="54">
                        <c:v>489.89</c:v>
                      </c:pt>
                      <c:pt idx="55">
                        <c:v>494.33</c:v>
                      </c:pt>
                      <c:pt idx="56">
                        <c:v>498.61</c:v>
                      </c:pt>
                      <c:pt idx="57">
                        <c:v>502.89</c:v>
                      </c:pt>
                      <c:pt idx="58">
                        <c:v>507.17</c:v>
                      </c:pt>
                      <c:pt idx="59">
                        <c:v>511.39</c:v>
                      </c:pt>
                      <c:pt idx="60">
                        <c:v>515.66999999999996</c:v>
                      </c:pt>
                      <c:pt idx="61">
                        <c:v>519.94000000000005</c:v>
                      </c:pt>
                      <c:pt idx="62">
                        <c:v>524.16999999999996</c:v>
                      </c:pt>
                      <c:pt idx="63">
                        <c:v>528.39</c:v>
                      </c:pt>
                      <c:pt idx="64">
                        <c:v>532.61</c:v>
                      </c:pt>
                      <c:pt idx="65">
                        <c:v>536.72</c:v>
                      </c:pt>
                      <c:pt idx="66">
                        <c:v>540.72</c:v>
                      </c:pt>
                      <c:pt idx="67">
                        <c:v>544.83000000000004</c:v>
                      </c:pt>
                      <c:pt idx="68">
                        <c:v>549.11</c:v>
                      </c:pt>
                      <c:pt idx="69">
                        <c:v>553.39</c:v>
                      </c:pt>
                      <c:pt idx="70">
                        <c:v>557.61</c:v>
                      </c:pt>
                      <c:pt idx="71">
                        <c:v>561.72</c:v>
                      </c:pt>
                      <c:pt idx="72">
                        <c:v>565.94000000000005</c:v>
                      </c:pt>
                      <c:pt idx="73">
                        <c:v>569.94000000000005</c:v>
                      </c:pt>
                      <c:pt idx="74">
                        <c:v>574</c:v>
                      </c:pt>
                      <c:pt idx="75">
                        <c:v>578.28</c:v>
                      </c:pt>
                      <c:pt idx="76">
                        <c:v>582.72</c:v>
                      </c:pt>
                      <c:pt idx="77">
                        <c:v>587.05999999999995</c:v>
                      </c:pt>
                      <c:pt idx="78">
                        <c:v>591.5</c:v>
                      </c:pt>
                      <c:pt idx="79">
                        <c:v>596.22</c:v>
                      </c:pt>
                      <c:pt idx="80">
                        <c:v>601.28</c:v>
                      </c:pt>
                      <c:pt idx="81">
                        <c:v>606.66999999999996</c:v>
                      </c:pt>
                      <c:pt idx="82">
                        <c:v>611.94000000000005</c:v>
                      </c:pt>
                      <c:pt idx="83">
                        <c:v>617.44000000000005</c:v>
                      </c:pt>
                      <c:pt idx="84">
                        <c:v>623.44000000000005</c:v>
                      </c:pt>
                      <c:pt idx="85">
                        <c:v>630</c:v>
                      </c:pt>
                      <c:pt idx="86">
                        <c:v>636.22</c:v>
                      </c:pt>
                      <c:pt idx="87">
                        <c:v>643.33000000000004</c:v>
                      </c:pt>
                      <c:pt idx="88">
                        <c:v>651.28</c:v>
                      </c:pt>
                      <c:pt idx="89">
                        <c:v>659.39</c:v>
                      </c:pt>
                      <c:pt idx="90">
                        <c:v>670.28</c:v>
                      </c:pt>
                      <c:pt idx="91">
                        <c:v>682.61</c:v>
                      </c:pt>
                      <c:pt idx="92">
                        <c:v>697.56</c:v>
                      </c:pt>
                      <c:pt idx="93">
                        <c:v>723.78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9-858F-476D-AA90-8EF35DFD1C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TBP'!$L$2</c15:sqref>
                        </c15:formulaRef>
                      </c:ext>
                    </c:extLst>
                    <c:strCache>
                      <c:ptCount val="1"/>
                      <c:pt idx="0">
                        <c:v>d6 ART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TBP'!$A$3:$A$103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TBP'!$L$3:$L$104</c15:sqref>
                        </c15:formulaRef>
                      </c:ext>
                    </c:extLst>
                    <c:numCache>
                      <c:formatCode>General</c:formatCode>
                      <c:ptCount val="102"/>
                      <c:pt idx="0">
                        <c:v>99.94</c:v>
                      </c:pt>
                      <c:pt idx="1">
                        <c:v>134.78</c:v>
                      </c:pt>
                      <c:pt idx="2">
                        <c:v>163.72</c:v>
                      </c:pt>
                      <c:pt idx="3">
                        <c:v>182.67</c:v>
                      </c:pt>
                      <c:pt idx="4">
                        <c:v>197.72</c:v>
                      </c:pt>
                      <c:pt idx="5">
                        <c:v>212.39</c:v>
                      </c:pt>
                      <c:pt idx="6">
                        <c:v>222.67</c:v>
                      </c:pt>
                      <c:pt idx="7">
                        <c:v>234.22</c:v>
                      </c:pt>
                      <c:pt idx="8">
                        <c:v>244.11</c:v>
                      </c:pt>
                      <c:pt idx="9">
                        <c:v>253.61</c:v>
                      </c:pt>
                      <c:pt idx="10">
                        <c:v>262.22000000000003</c:v>
                      </c:pt>
                      <c:pt idx="11">
                        <c:v>270.56</c:v>
                      </c:pt>
                      <c:pt idx="12">
                        <c:v>278.44</c:v>
                      </c:pt>
                      <c:pt idx="13">
                        <c:v>286.5</c:v>
                      </c:pt>
                      <c:pt idx="14">
                        <c:v>293.27999999999997</c:v>
                      </c:pt>
                      <c:pt idx="15">
                        <c:v>300.5</c:v>
                      </c:pt>
                      <c:pt idx="16">
                        <c:v>306.33</c:v>
                      </c:pt>
                      <c:pt idx="17">
                        <c:v>312.72000000000003</c:v>
                      </c:pt>
                      <c:pt idx="18">
                        <c:v>318.27999999999997</c:v>
                      </c:pt>
                      <c:pt idx="19">
                        <c:v>324.61</c:v>
                      </c:pt>
                      <c:pt idx="20">
                        <c:v>330.28</c:v>
                      </c:pt>
                      <c:pt idx="21">
                        <c:v>335.72</c:v>
                      </c:pt>
                      <c:pt idx="22">
                        <c:v>341.83</c:v>
                      </c:pt>
                      <c:pt idx="23">
                        <c:v>346.78</c:v>
                      </c:pt>
                      <c:pt idx="24">
                        <c:v>352</c:v>
                      </c:pt>
                      <c:pt idx="25">
                        <c:v>356.78</c:v>
                      </c:pt>
                      <c:pt idx="26">
                        <c:v>362.11</c:v>
                      </c:pt>
                      <c:pt idx="27">
                        <c:v>367.28</c:v>
                      </c:pt>
                      <c:pt idx="28">
                        <c:v>371.94</c:v>
                      </c:pt>
                      <c:pt idx="29">
                        <c:v>376.89</c:v>
                      </c:pt>
                      <c:pt idx="30">
                        <c:v>381.5</c:v>
                      </c:pt>
                      <c:pt idx="31">
                        <c:v>386.56</c:v>
                      </c:pt>
                      <c:pt idx="32">
                        <c:v>391.11</c:v>
                      </c:pt>
                      <c:pt idx="33">
                        <c:v>395.78</c:v>
                      </c:pt>
                      <c:pt idx="34">
                        <c:v>400.56</c:v>
                      </c:pt>
                      <c:pt idx="35">
                        <c:v>404.94</c:v>
                      </c:pt>
                      <c:pt idx="36">
                        <c:v>409.61</c:v>
                      </c:pt>
                      <c:pt idx="37">
                        <c:v>414.06</c:v>
                      </c:pt>
                      <c:pt idx="38">
                        <c:v>418.67</c:v>
                      </c:pt>
                      <c:pt idx="39">
                        <c:v>423.06</c:v>
                      </c:pt>
                      <c:pt idx="40">
                        <c:v>427.72</c:v>
                      </c:pt>
                      <c:pt idx="41">
                        <c:v>432.22</c:v>
                      </c:pt>
                      <c:pt idx="42">
                        <c:v>436.83</c:v>
                      </c:pt>
                      <c:pt idx="43">
                        <c:v>441.33</c:v>
                      </c:pt>
                      <c:pt idx="44">
                        <c:v>446.11</c:v>
                      </c:pt>
                      <c:pt idx="45">
                        <c:v>450.67</c:v>
                      </c:pt>
                      <c:pt idx="46">
                        <c:v>455.39</c:v>
                      </c:pt>
                      <c:pt idx="47">
                        <c:v>460.06</c:v>
                      </c:pt>
                      <c:pt idx="48">
                        <c:v>464.78</c:v>
                      </c:pt>
                      <c:pt idx="49">
                        <c:v>469.22</c:v>
                      </c:pt>
                      <c:pt idx="50">
                        <c:v>473.67</c:v>
                      </c:pt>
                      <c:pt idx="51">
                        <c:v>478.06</c:v>
                      </c:pt>
                      <c:pt idx="52">
                        <c:v>482.44</c:v>
                      </c:pt>
                      <c:pt idx="53">
                        <c:v>486.94</c:v>
                      </c:pt>
                      <c:pt idx="54">
                        <c:v>491.28</c:v>
                      </c:pt>
                      <c:pt idx="55">
                        <c:v>495.78</c:v>
                      </c:pt>
                      <c:pt idx="56">
                        <c:v>500</c:v>
                      </c:pt>
                      <c:pt idx="57">
                        <c:v>504.28</c:v>
                      </c:pt>
                      <c:pt idx="58">
                        <c:v>508.56</c:v>
                      </c:pt>
                      <c:pt idx="59">
                        <c:v>512.78</c:v>
                      </c:pt>
                      <c:pt idx="60">
                        <c:v>517.05999999999995</c:v>
                      </c:pt>
                      <c:pt idx="61">
                        <c:v>521.33000000000004</c:v>
                      </c:pt>
                      <c:pt idx="62">
                        <c:v>525.55999999999995</c:v>
                      </c:pt>
                      <c:pt idx="63">
                        <c:v>529.72</c:v>
                      </c:pt>
                      <c:pt idx="64">
                        <c:v>533.94000000000005</c:v>
                      </c:pt>
                      <c:pt idx="65">
                        <c:v>538</c:v>
                      </c:pt>
                      <c:pt idx="66">
                        <c:v>542</c:v>
                      </c:pt>
                      <c:pt idx="67">
                        <c:v>546.11</c:v>
                      </c:pt>
                      <c:pt idx="68">
                        <c:v>550.39</c:v>
                      </c:pt>
                      <c:pt idx="69">
                        <c:v>554.66999999999996</c:v>
                      </c:pt>
                      <c:pt idx="70">
                        <c:v>558.83000000000004</c:v>
                      </c:pt>
                      <c:pt idx="71">
                        <c:v>563</c:v>
                      </c:pt>
                      <c:pt idx="72">
                        <c:v>567.11</c:v>
                      </c:pt>
                      <c:pt idx="73">
                        <c:v>571.11</c:v>
                      </c:pt>
                      <c:pt idx="74">
                        <c:v>575.16999999999996</c:v>
                      </c:pt>
                      <c:pt idx="75">
                        <c:v>579.5</c:v>
                      </c:pt>
                      <c:pt idx="76">
                        <c:v>583.94000000000005</c:v>
                      </c:pt>
                      <c:pt idx="77">
                        <c:v>588.22</c:v>
                      </c:pt>
                      <c:pt idx="78">
                        <c:v>592.66999999999996</c:v>
                      </c:pt>
                      <c:pt idx="79">
                        <c:v>597.44000000000005</c:v>
                      </c:pt>
                      <c:pt idx="80">
                        <c:v>602.55999999999995</c:v>
                      </c:pt>
                      <c:pt idx="81">
                        <c:v>607.94000000000005</c:v>
                      </c:pt>
                      <c:pt idx="82">
                        <c:v>613.11</c:v>
                      </c:pt>
                      <c:pt idx="83">
                        <c:v>618.66999999999996</c:v>
                      </c:pt>
                      <c:pt idx="84">
                        <c:v>624.78</c:v>
                      </c:pt>
                      <c:pt idx="85">
                        <c:v>631.11</c:v>
                      </c:pt>
                      <c:pt idx="86">
                        <c:v>637.39</c:v>
                      </c:pt>
                      <c:pt idx="87">
                        <c:v>644.5</c:v>
                      </c:pt>
                      <c:pt idx="88">
                        <c:v>652.39</c:v>
                      </c:pt>
                      <c:pt idx="89">
                        <c:v>660.56</c:v>
                      </c:pt>
                      <c:pt idx="90">
                        <c:v>671.11</c:v>
                      </c:pt>
                      <c:pt idx="91">
                        <c:v>683.33</c:v>
                      </c:pt>
                      <c:pt idx="92">
                        <c:v>697.89</c:v>
                      </c:pt>
                      <c:pt idx="93">
                        <c:v>722.11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58F-476D-AA90-8EF35DFD1C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TBP'!$M$2</c15:sqref>
                        </c15:formulaRef>
                      </c:ext>
                    </c:extLst>
                    <c:strCache>
                      <c:ptCount val="1"/>
                      <c:pt idx="0">
                        <c:v>d7 ART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TBP'!$A$3:$A$103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TBP'!$M$3:$M$103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113.11</c:v>
                      </c:pt>
                      <c:pt idx="1">
                        <c:v>139.5</c:v>
                      </c:pt>
                      <c:pt idx="2">
                        <c:v>165.28</c:v>
                      </c:pt>
                      <c:pt idx="3">
                        <c:v>185.39</c:v>
                      </c:pt>
                      <c:pt idx="4">
                        <c:v>200.56</c:v>
                      </c:pt>
                      <c:pt idx="5">
                        <c:v>215.17</c:v>
                      </c:pt>
                      <c:pt idx="6">
                        <c:v>225.67</c:v>
                      </c:pt>
                      <c:pt idx="7">
                        <c:v>235.11</c:v>
                      </c:pt>
                      <c:pt idx="8">
                        <c:v>245.89</c:v>
                      </c:pt>
                      <c:pt idx="9">
                        <c:v>254.78</c:v>
                      </c:pt>
                      <c:pt idx="10">
                        <c:v>263.89</c:v>
                      </c:pt>
                      <c:pt idx="11">
                        <c:v>271.33</c:v>
                      </c:pt>
                      <c:pt idx="12">
                        <c:v>279.61</c:v>
                      </c:pt>
                      <c:pt idx="13">
                        <c:v>286.89</c:v>
                      </c:pt>
                      <c:pt idx="14">
                        <c:v>293.94</c:v>
                      </c:pt>
                      <c:pt idx="15">
                        <c:v>300.89</c:v>
                      </c:pt>
                      <c:pt idx="16">
                        <c:v>306.77999999999997</c:v>
                      </c:pt>
                      <c:pt idx="17">
                        <c:v>313.06</c:v>
                      </c:pt>
                      <c:pt idx="18">
                        <c:v>318.39</c:v>
                      </c:pt>
                      <c:pt idx="19">
                        <c:v>324.56</c:v>
                      </c:pt>
                      <c:pt idx="20">
                        <c:v>330</c:v>
                      </c:pt>
                      <c:pt idx="21">
                        <c:v>335.44</c:v>
                      </c:pt>
                      <c:pt idx="22">
                        <c:v>341.39</c:v>
                      </c:pt>
                      <c:pt idx="23">
                        <c:v>346.28</c:v>
                      </c:pt>
                      <c:pt idx="24">
                        <c:v>351.44</c:v>
                      </c:pt>
                      <c:pt idx="25">
                        <c:v>356.22</c:v>
                      </c:pt>
                      <c:pt idx="26">
                        <c:v>361.44</c:v>
                      </c:pt>
                      <c:pt idx="27">
                        <c:v>366.44</c:v>
                      </c:pt>
                      <c:pt idx="28">
                        <c:v>371</c:v>
                      </c:pt>
                      <c:pt idx="29">
                        <c:v>375.89</c:v>
                      </c:pt>
                      <c:pt idx="30">
                        <c:v>380.44</c:v>
                      </c:pt>
                      <c:pt idx="31">
                        <c:v>385.44</c:v>
                      </c:pt>
                      <c:pt idx="32">
                        <c:v>390.06</c:v>
                      </c:pt>
                      <c:pt idx="33">
                        <c:v>394.44</c:v>
                      </c:pt>
                      <c:pt idx="34">
                        <c:v>399.17</c:v>
                      </c:pt>
                      <c:pt idx="35">
                        <c:v>403.44</c:v>
                      </c:pt>
                      <c:pt idx="36">
                        <c:v>408</c:v>
                      </c:pt>
                      <c:pt idx="37">
                        <c:v>412.39</c:v>
                      </c:pt>
                      <c:pt idx="38">
                        <c:v>416.94</c:v>
                      </c:pt>
                      <c:pt idx="39">
                        <c:v>421.28</c:v>
                      </c:pt>
                      <c:pt idx="40">
                        <c:v>425.78</c:v>
                      </c:pt>
                      <c:pt idx="41">
                        <c:v>430.28</c:v>
                      </c:pt>
                      <c:pt idx="42">
                        <c:v>434.72</c:v>
                      </c:pt>
                      <c:pt idx="43">
                        <c:v>439.28</c:v>
                      </c:pt>
                      <c:pt idx="44">
                        <c:v>443.72</c:v>
                      </c:pt>
                      <c:pt idx="45">
                        <c:v>448.33</c:v>
                      </c:pt>
                      <c:pt idx="46">
                        <c:v>452.83</c:v>
                      </c:pt>
                      <c:pt idx="47">
                        <c:v>457.39</c:v>
                      </c:pt>
                      <c:pt idx="48">
                        <c:v>462</c:v>
                      </c:pt>
                      <c:pt idx="49">
                        <c:v>466.56</c:v>
                      </c:pt>
                      <c:pt idx="50">
                        <c:v>470.89</c:v>
                      </c:pt>
                      <c:pt idx="51">
                        <c:v>475.17</c:v>
                      </c:pt>
                      <c:pt idx="52">
                        <c:v>479.56</c:v>
                      </c:pt>
                      <c:pt idx="53">
                        <c:v>483.83</c:v>
                      </c:pt>
                      <c:pt idx="54">
                        <c:v>488.22</c:v>
                      </c:pt>
                      <c:pt idx="55">
                        <c:v>492.5</c:v>
                      </c:pt>
                      <c:pt idx="56">
                        <c:v>496.78</c:v>
                      </c:pt>
                      <c:pt idx="57">
                        <c:v>501</c:v>
                      </c:pt>
                      <c:pt idx="58">
                        <c:v>505.11</c:v>
                      </c:pt>
                      <c:pt idx="59">
                        <c:v>509.28</c:v>
                      </c:pt>
                      <c:pt idx="60">
                        <c:v>513.44000000000005</c:v>
                      </c:pt>
                      <c:pt idx="61">
                        <c:v>517.61</c:v>
                      </c:pt>
                      <c:pt idx="62">
                        <c:v>521.78</c:v>
                      </c:pt>
                      <c:pt idx="63">
                        <c:v>525.94000000000005</c:v>
                      </c:pt>
                      <c:pt idx="64">
                        <c:v>530.11</c:v>
                      </c:pt>
                      <c:pt idx="65">
                        <c:v>534.22</c:v>
                      </c:pt>
                      <c:pt idx="66">
                        <c:v>538.22</c:v>
                      </c:pt>
                      <c:pt idx="67">
                        <c:v>542.16999999999996</c:v>
                      </c:pt>
                      <c:pt idx="68">
                        <c:v>546.16999999999996</c:v>
                      </c:pt>
                      <c:pt idx="69">
                        <c:v>550.33000000000004</c:v>
                      </c:pt>
                      <c:pt idx="70">
                        <c:v>554.5</c:v>
                      </c:pt>
                      <c:pt idx="71">
                        <c:v>558.61</c:v>
                      </c:pt>
                      <c:pt idx="72">
                        <c:v>562.61</c:v>
                      </c:pt>
                      <c:pt idx="73">
                        <c:v>566.66999999999996</c:v>
                      </c:pt>
                      <c:pt idx="74">
                        <c:v>570.61</c:v>
                      </c:pt>
                      <c:pt idx="75">
                        <c:v>574.61</c:v>
                      </c:pt>
                      <c:pt idx="76">
                        <c:v>578.83000000000004</c:v>
                      </c:pt>
                      <c:pt idx="77">
                        <c:v>583.16999999999996</c:v>
                      </c:pt>
                      <c:pt idx="78">
                        <c:v>587.39</c:v>
                      </c:pt>
                      <c:pt idx="79">
                        <c:v>591.72</c:v>
                      </c:pt>
                      <c:pt idx="80">
                        <c:v>596.44000000000005</c:v>
                      </c:pt>
                      <c:pt idx="81">
                        <c:v>601.39</c:v>
                      </c:pt>
                      <c:pt idx="82">
                        <c:v>606.78</c:v>
                      </c:pt>
                      <c:pt idx="83">
                        <c:v>611.94000000000005</c:v>
                      </c:pt>
                      <c:pt idx="84">
                        <c:v>617.33000000000004</c:v>
                      </c:pt>
                      <c:pt idx="85">
                        <c:v>623.28</c:v>
                      </c:pt>
                      <c:pt idx="86">
                        <c:v>629.72</c:v>
                      </c:pt>
                      <c:pt idx="87">
                        <c:v>635.89</c:v>
                      </c:pt>
                      <c:pt idx="88">
                        <c:v>642.89</c:v>
                      </c:pt>
                      <c:pt idx="89">
                        <c:v>650.83000000000004</c:v>
                      </c:pt>
                      <c:pt idx="90">
                        <c:v>659.22</c:v>
                      </c:pt>
                      <c:pt idx="91">
                        <c:v>670.72</c:v>
                      </c:pt>
                      <c:pt idx="92">
                        <c:v>685.17</c:v>
                      </c:pt>
                      <c:pt idx="93">
                        <c:v>706.39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58F-476D-AA90-8EF35DFD1C88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TBP'!$AD$2</c15:sqref>
                        </c15:formulaRef>
                      </c:ext>
                    </c:extLst>
                    <c:strCache>
                      <c:ptCount val="1"/>
                      <c:pt idx="0">
                        <c:v>d5 TOP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TBP'!$A$3:$A$103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TBP'!$AD$3:$AD$195</c15:sqref>
                        </c15:formulaRef>
                      </c:ext>
                    </c:extLst>
                    <c:numCache>
                      <c:formatCode>General</c:formatCode>
                      <c:ptCount val="193"/>
                      <c:pt idx="0">
                        <c:v>99.9</c:v>
                      </c:pt>
                      <c:pt idx="1">
                        <c:v>127.72</c:v>
                      </c:pt>
                      <c:pt idx="2">
                        <c:v>158.43</c:v>
                      </c:pt>
                      <c:pt idx="3">
                        <c:v>177.31</c:v>
                      </c:pt>
                      <c:pt idx="4">
                        <c:v>194.12</c:v>
                      </c:pt>
                      <c:pt idx="5">
                        <c:v>207.74</c:v>
                      </c:pt>
                      <c:pt idx="6">
                        <c:v>220.1</c:v>
                      </c:pt>
                      <c:pt idx="7">
                        <c:v>231.49</c:v>
                      </c:pt>
                      <c:pt idx="8">
                        <c:v>241.99</c:v>
                      </c:pt>
                      <c:pt idx="9">
                        <c:v>251.72</c:v>
                      </c:pt>
                      <c:pt idx="10">
                        <c:v>260.95999999999998</c:v>
                      </c:pt>
                      <c:pt idx="11">
                        <c:v>269.26</c:v>
                      </c:pt>
                      <c:pt idx="12">
                        <c:v>277.69</c:v>
                      </c:pt>
                      <c:pt idx="13">
                        <c:v>285.26</c:v>
                      </c:pt>
                      <c:pt idx="14">
                        <c:v>292.89999999999998</c:v>
                      </c:pt>
                      <c:pt idx="15">
                        <c:v>299.66000000000003</c:v>
                      </c:pt>
                      <c:pt idx="16">
                        <c:v>306.08999999999997</c:v>
                      </c:pt>
                      <c:pt idx="17">
                        <c:v>312.62</c:v>
                      </c:pt>
                      <c:pt idx="18">
                        <c:v>318.37</c:v>
                      </c:pt>
                      <c:pt idx="19">
                        <c:v>324.67</c:v>
                      </c:pt>
                      <c:pt idx="20">
                        <c:v>330.23</c:v>
                      </c:pt>
                      <c:pt idx="21">
                        <c:v>336.37</c:v>
                      </c:pt>
                      <c:pt idx="22">
                        <c:v>341.91</c:v>
                      </c:pt>
                      <c:pt idx="23">
                        <c:v>347.34</c:v>
                      </c:pt>
                      <c:pt idx="24">
                        <c:v>352.79</c:v>
                      </c:pt>
                      <c:pt idx="25">
                        <c:v>357.73</c:v>
                      </c:pt>
                      <c:pt idx="26">
                        <c:v>362.67</c:v>
                      </c:pt>
                      <c:pt idx="27">
                        <c:v>367.52</c:v>
                      </c:pt>
                      <c:pt idx="28">
                        <c:v>372.77</c:v>
                      </c:pt>
                      <c:pt idx="29">
                        <c:v>377.62</c:v>
                      </c:pt>
                      <c:pt idx="30">
                        <c:v>382.45</c:v>
                      </c:pt>
                      <c:pt idx="31">
                        <c:v>387.42</c:v>
                      </c:pt>
                      <c:pt idx="32">
                        <c:v>392.11</c:v>
                      </c:pt>
                      <c:pt idx="33">
                        <c:v>396.91</c:v>
                      </c:pt>
                      <c:pt idx="34">
                        <c:v>401.29</c:v>
                      </c:pt>
                      <c:pt idx="35">
                        <c:v>406.19</c:v>
                      </c:pt>
                      <c:pt idx="36">
                        <c:v>410.76</c:v>
                      </c:pt>
                      <c:pt idx="37">
                        <c:v>415.5</c:v>
                      </c:pt>
                      <c:pt idx="38">
                        <c:v>420.11</c:v>
                      </c:pt>
                      <c:pt idx="39">
                        <c:v>423.95</c:v>
                      </c:pt>
                      <c:pt idx="40">
                        <c:v>428.4</c:v>
                      </c:pt>
                      <c:pt idx="41">
                        <c:v>433.1</c:v>
                      </c:pt>
                      <c:pt idx="42">
                        <c:v>437.79</c:v>
                      </c:pt>
                      <c:pt idx="43">
                        <c:v>442.47</c:v>
                      </c:pt>
                      <c:pt idx="44">
                        <c:v>447.06</c:v>
                      </c:pt>
                      <c:pt idx="45">
                        <c:v>451.77</c:v>
                      </c:pt>
                      <c:pt idx="46">
                        <c:v>456.49</c:v>
                      </c:pt>
                      <c:pt idx="47">
                        <c:v>461.17</c:v>
                      </c:pt>
                      <c:pt idx="48">
                        <c:v>465.9</c:v>
                      </c:pt>
                      <c:pt idx="49">
                        <c:v>470.52</c:v>
                      </c:pt>
                      <c:pt idx="50">
                        <c:v>475.03</c:v>
                      </c:pt>
                      <c:pt idx="51">
                        <c:v>479.64</c:v>
                      </c:pt>
                      <c:pt idx="52">
                        <c:v>484.23</c:v>
                      </c:pt>
                      <c:pt idx="53">
                        <c:v>488.81</c:v>
                      </c:pt>
                      <c:pt idx="54">
                        <c:v>493.41</c:v>
                      </c:pt>
                      <c:pt idx="55">
                        <c:v>497.93</c:v>
                      </c:pt>
                      <c:pt idx="56">
                        <c:v>502.29</c:v>
                      </c:pt>
                      <c:pt idx="57">
                        <c:v>506.71</c:v>
                      </c:pt>
                      <c:pt idx="58">
                        <c:v>511.12</c:v>
                      </c:pt>
                      <c:pt idx="59">
                        <c:v>515.48</c:v>
                      </c:pt>
                      <c:pt idx="60">
                        <c:v>519.87</c:v>
                      </c:pt>
                      <c:pt idx="61">
                        <c:v>524.19000000000005</c:v>
                      </c:pt>
                      <c:pt idx="62">
                        <c:v>528.41</c:v>
                      </c:pt>
                      <c:pt idx="63">
                        <c:v>532.6</c:v>
                      </c:pt>
                      <c:pt idx="64">
                        <c:v>536.80999999999995</c:v>
                      </c:pt>
                      <c:pt idx="65">
                        <c:v>540.99</c:v>
                      </c:pt>
                      <c:pt idx="66">
                        <c:v>545.16</c:v>
                      </c:pt>
                      <c:pt idx="67">
                        <c:v>549.34</c:v>
                      </c:pt>
                      <c:pt idx="68">
                        <c:v>553.52</c:v>
                      </c:pt>
                      <c:pt idx="69">
                        <c:v>557.6</c:v>
                      </c:pt>
                      <c:pt idx="70">
                        <c:v>561.54</c:v>
                      </c:pt>
                      <c:pt idx="71">
                        <c:v>565.5</c:v>
                      </c:pt>
                      <c:pt idx="72">
                        <c:v>569.53</c:v>
                      </c:pt>
                      <c:pt idx="73">
                        <c:v>573.63</c:v>
                      </c:pt>
                      <c:pt idx="74">
                        <c:v>577.9</c:v>
                      </c:pt>
                      <c:pt idx="75">
                        <c:v>582.30999999999995</c:v>
                      </c:pt>
                      <c:pt idx="76">
                        <c:v>586.69000000000005</c:v>
                      </c:pt>
                      <c:pt idx="77">
                        <c:v>591.15</c:v>
                      </c:pt>
                      <c:pt idx="78">
                        <c:v>595.76</c:v>
                      </c:pt>
                      <c:pt idx="79">
                        <c:v>600.59</c:v>
                      </c:pt>
                      <c:pt idx="80">
                        <c:v>605.76</c:v>
                      </c:pt>
                      <c:pt idx="81">
                        <c:v>611.16</c:v>
                      </c:pt>
                      <c:pt idx="82">
                        <c:v>616.77</c:v>
                      </c:pt>
                      <c:pt idx="83">
                        <c:v>622.55999999999995</c:v>
                      </c:pt>
                      <c:pt idx="84">
                        <c:v>628.74</c:v>
                      </c:pt>
                      <c:pt idx="85">
                        <c:v>635.24</c:v>
                      </c:pt>
                      <c:pt idx="86">
                        <c:v>642.05999999999995</c:v>
                      </c:pt>
                      <c:pt idx="87">
                        <c:v>649.46</c:v>
                      </c:pt>
                      <c:pt idx="88">
                        <c:v>657.52</c:v>
                      </c:pt>
                      <c:pt idx="89">
                        <c:v>666.27</c:v>
                      </c:pt>
                      <c:pt idx="90">
                        <c:v>676.07</c:v>
                      </c:pt>
                      <c:pt idx="91">
                        <c:v>686.95</c:v>
                      </c:pt>
                      <c:pt idx="92">
                        <c:v>697.83</c:v>
                      </c:pt>
                      <c:pt idx="93">
                        <c:v>708.49</c:v>
                      </c:pt>
                      <c:pt idx="94">
                        <c:v>720.1</c:v>
                      </c:pt>
                      <c:pt idx="95">
                        <c:v>722.84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58F-476D-AA90-8EF35DFD1C88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TBP'!$AE$2</c15:sqref>
                        </c15:formulaRef>
                      </c:ext>
                    </c:extLst>
                    <c:strCache>
                      <c:ptCount val="1"/>
                      <c:pt idx="0">
                        <c:v>d6 TOP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TBP'!$A$3:$A$103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TBP'!$AE$3:$AE$119</c15:sqref>
                        </c15:formulaRef>
                      </c:ext>
                    </c:extLst>
                    <c:numCache>
                      <c:formatCode>General</c:formatCode>
                      <c:ptCount val="117"/>
                      <c:pt idx="0">
                        <c:v>162</c:v>
                      </c:pt>
                      <c:pt idx="1">
                        <c:v>172.5</c:v>
                      </c:pt>
                      <c:pt idx="2">
                        <c:v>190.5</c:v>
                      </c:pt>
                      <c:pt idx="3">
                        <c:v>204.5</c:v>
                      </c:pt>
                      <c:pt idx="4">
                        <c:v>217.5</c:v>
                      </c:pt>
                      <c:pt idx="5">
                        <c:v>229</c:v>
                      </c:pt>
                      <c:pt idx="6">
                        <c:v>240</c:v>
                      </c:pt>
                      <c:pt idx="7">
                        <c:v>251</c:v>
                      </c:pt>
                      <c:pt idx="8">
                        <c:v>260</c:v>
                      </c:pt>
                      <c:pt idx="9">
                        <c:v>269</c:v>
                      </c:pt>
                      <c:pt idx="10">
                        <c:v>277.5</c:v>
                      </c:pt>
                      <c:pt idx="11">
                        <c:v>285.5</c:v>
                      </c:pt>
                      <c:pt idx="12">
                        <c:v>293</c:v>
                      </c:pt>
                      <c:pt idx="13">
                        <c:v>300</c:v>
                      </c:pt>
                      <c:pt idx="14">
                        <c:v>307</c:v>
                      </c:pt>
                      <c:pt idx="15">
                        <c:v>313.5</c:v>
                      </c:pt>
                      <c:pt idx="16">
                        <c:v>319.5</c:v>
                      </c:pt>
                      <c:pt idx="17">
                        <c:v>326</c:v>
                      </c:pt>
                      <c:pt idx="18">
                        <c:v>332</c:v>
                      </c:pt>
                      <c:pt idx="19">
                        <c:v>338</c:v>
                      </c:pt>
                      <c:pt idx="20">
                        <c:v>343.5</c:v>
                      </c:pt>
                      <c:pt idx="21">
                        <c:v>349</c:v>
                      </c:pt>
                      <c:pt idx="22">
                        <c:v>354.5</c:v>
                      </c:pt>
                      <c:pt idx="23">
                        <c:v>360</c:v>
                      </c:pt>
                      <c:pt idx="24">
                        <c:v>365</c:v>
                      </c:pt>
                      <c:pt idx="25">
                        <c:v>370</c:v>
                      </c:pt>
                      <c:pt idx="26">
                        <c:v>375</c:v>
                      </c:pt>
                      <c:pt idx="27">
                        <c:v>380</c:v>
                      </c:pt>
                      <c:pt idx="28">
                        <c:v>385</c:v>
                      </c:pt>
                      <c:pt idx="29">
                        <c:v>390</c:v>
                      </c:pt>
                      <c:pt idx="30">
                        <c:v>395</c:v>
                      </c:pt>
                      <c:pt idx="31">
                        <c:v>399.5</c:v>
                      </c:pt>
                      <c:pt idx="32">
                        <c:v>404.5</c:v>
                      </c:pt>
                      <c:pt idx="33">
                        <c:v>409</c:v>
                      </c:pt>
                      <c:pt idx="34">
                        <c:v>414</c:v>
                      </c:pt>
                      <c:pt idx="35">
                        <c:v>418.5</c:v>
                      </c:pt>
                      <c:pt idx="36">
                        <c:v>423.5</c:v>
                      </c:pt>
                      <c:pt idx="37">
                        <c:v>428</c:v>
                      </c:pt>
                      <c:pt idx="38">
                        <c:v>433</c:v>
                      </c:pt>
                      <c:pt idx="39">
                        <c:v>438</c:v>
                      </c:pt>
                      <c:pt idx="40">
                        <c:v>442.5</c:v>
                      </c:pt>
                      <c:pt idx="41">
                        <c:v>447.5</c:v>
                      </c:pt>
                      <c:pt idx="42">
                        <c:v>452</c:v>
                      </c:pt>
                      <c:pt idx="43">
                        <c:v>457</c:v>
                      </c:pt>
                      <c:pt idx="44">
                        <c:v>462</c:v>
                      </c:pt>
                      <c:pt idx="45">
                        <c:v>466.5</c:v>
                      </c:pt>
                      <c:pt idx="46">
                        <c:v>471</c:v>
                      </c:pt>
                      <c:pt idx="47">
                        <c:v>476</c:v>
                      </c:pt>
                      <c:pt idx="48">
                        <c:v>480.5</c:v>
                      </c:pt>
                      <c:pt idx="49">
                        <c:v>485</c:v>
                      </c:pt>
                      <c:pt idx="50">
                        <c:v>490</c:v>
                      </c:pt>
                      <c:pt idx="51">
                        <c:v>494.5</c:v>
                      </c:pt>
                      <c:pt idx="52">
                        <c:v>499</c:v>
                      </c:pt>
                      <c:pt idx="53">
                        <c:v>503.5</c:v>
                      </c:pt>
                      <c:pt idx="54">
                        <c:v>508</c:v>
                      </c:pt>
                      <c:pt idx="55">
                        <c:v>512.5</c:v>
                      </c:pt>
                      <c:pt idx="56">
                        <c:v>516.5</c:v>
                      </c:pt>
                      <c:pt idx="57">
                        <c:v>521</c:v>
                      </c:pt>
                      <c:pt idx="58">
                        <c:v>525.5</c:v>
                      </c:pt>
                      <c:pt idx="59">
                        <c:v>530</c:v>
                      </c:pt>
                      <c:pt idx="60">
                        <c:v>534</c:v>
                      </c:pt>
                      <c:pt idx="61">
                        <c:v>538</c:v>
                      </c:pt>
                      <c:pt idx="62">
                        <c:v>542.5</c:v>
                      </c:pt>
                      <c:pt idx="63">
                        <c:v>546.5</c:v>
                      </c:pt>
                      <c:pt idx="64">
                        <c:v>551</c:v>
                      </c:pt>
                      <c:pt idx="65">
                        <c:v>555</c:v>
                      </c:pt>
                      <c:pt idx="66">
                        <c:v>559</c:v>
                      </c:pt>
                      <c:pt idx="67">
                        <c:v>563</c:v>
                      </c:pt>
                      <c:pt idx="68">
                        <c:v>567</c:v>
                      </c:pt>
                      <c:pt idx="69">
                        <c:v>571</c:v>
                      </c:pt>
                      <c:pt idx="70">
                        <c:v>575</c:v>
                      </c:pt>
                      <c:pt idx="71">
                        <c:v>579.5</c:v>
                      </c:pt>
                      <c:pt idx="72">
                        <c:v>584</c:v>
                      </c:pt>
                      <c:pt idx="73">
                        <c:v>588.5</c:v>
                      </c:pt>
                      <c:pt idx="74">
                        <c:v>593</c:v>
                      </c:pt>
                      <c:pt idx="75">
                        <c:v>597.5</c:v>
                      </c:pt>
                      <c:pt idx="76">
                        <c:v>602.5</c:v>
                      </c:pt>
                      <c:pt idx="77">
                        <c:v>608</c:v>
                      </c:pt>
                      <c:pt idx="78">
                        <c:v>613.5</c:v>
                      </c:pt>
                      <c:pt idx="79">
                        <c:v>619</c:v>
                      </c:pt>
                      <c:pt idx="80">
                        <c:v>625</c:v>
                      </c:pt>
                      <c:pt idx="81">
                        <c:v>631.5</c:v>
                      </c:pt>
                      <c:pt idx="82">
                        <c:v>638</c:v>
                      </c:pt>
                      <c:pt idx="83">
                        <c:v>645</c:v>
                      </c:pt>
                      <c:pt idx="84">
                        <c:v>653</c:v>
                      </c:pt>
                      <c:pt idx="85">
                        <c:v>661.5</c:v>
                      </c:pt>
                      <c:pt idx="86">
                        <c:v>671</c:v>
                      </c:pt>
                      <c:pt idx="87">
                        <c:v>682</c:v>
                      </c:pt>
                      <c:pt idx="88">
                        <c:v>693.5</c:v>
                      </c:pt>
                      <c:pt idx="89">
                        <c:v>705</c:v>
                      </c:pt>
                      <c:pt idx="90">
                        <c:v>718.5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58F-476D-AA90-8EF35DFD1C88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TBP'!$AF$2</c15:sqref>
                        </c15:formulaRef>
                      </c:ext>
                    </c:extLst>
                    <c:strCache>
                      <c:ptCount val="1"/>
                      <c:pt idx="0">
                        <c:v>d7 TOP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triang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TBP'!$A$3:$A$103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TBP'!$U$3:$U$121</c15:sqref>
                        </c15:formulaRef>
                      </c:ext>
                    </c:extLst>
                    <c:numCache>
                      <c:formatCode>General</c:formatCode>
                      <c:ptCount val="119"/>
                      <c:pt idx="0">
                        <c:v>69</c:v>
                      </c:pt>
                      <c:pt idx="1">
                        <c:v>76</c:v>
                      </c:pt>
                      <c:pt idx="2">
                        <c:v>122</c:v>
                      </c:pt>
                      <c:pt idx="3">
                        <c:v>147</c:v>
                      </c:pt>
                      <c:pt idx="4">
                        <c:v>164</c:v>
                      </c:pt>
                      <c:pt idx="5">
                        <c:v>177</c:v>
                      </c:pt>
                      <c:pt idx="6">
                        <c:v>192</c:v>
                      </c:pt>
                      <c:pt idx="7">
                        <c:v>202</c:v>
                      </c:pt>
                      <c:pt idx="8">
                        <c:v>213</c:v>
                      </c:pt>
                      <c:pt idx="9">
                        <c:v>223</c:v>
                      </c:pt>
                      <c:pt idx="10">
                        <c:v>232</c:v>
                      </c:pt>
                      <c:pt idx="11">
                        <c:v>241</c:v>
                      </c:pt>
                      <c:pt idx="12">
                        <c:v>250</c:v>
                      </c:pt>
                      <c:pt idx="13">
                        <c:v>257</c:v>
                      </c:pt>
                      <c:pt idx="14">
                        <c:v>265</c:v>
                      </c:pt>
                      <c:pt idx="15">
                        <c:v>273</c:v>
                      </c:pt>
                      <c:pt idx="16">
                        <c:v>280</c:v>
                      </c:pt>
                      <c:pt idx="17">
                        <c:v>287</c:v>
                      </c:pt>
                      <c:pt idx="18">
                        <c:v>294</c:v>
                      </c:pt>
                      <c:pt idx="19">
                        <c:v>300</c:v>
                      </c:pt>
                      <c:pt idx="20">
                        <c:v>306</c:v>
                      </c:pt>
                      <c:pt idx="21">
                        <c:v>313</c:v>
                      </c:pt>
                      <c:pt idx="22">
                        <c:v>318</c:v>
                      </c:pt>
                      <c:pt idx="23">
                        <c:v>324</c:v>
                      </c:pt>
                      <c:pt idx="24">
                        <c:v>329</c:v>
                      </c:pt>
                      <c:pt idx="25">
                        <c:v>335</c:v>
                      </c:pt>
                      <c:pt idx="26">
                        <c:v>341</c:v>
                      </c:pt>
                      <c:pt idx="27">
                        <c:v>346</c:v>
                      </c:pt>
                      <c:pt idx="28">
                        <c:v>351</c:v>
                      </c:pt>
                      <c:pt idx="29">
                        <c:v>356</c:v>
                      </c:pt>
                      <c:pt idx="30">
                        <c:v>361</c:v>
                      </c:pt>
                      <c:pt idx="31">
                        <c:v>366</c:v>
                      </c:pt>
                      <c:pt idx="32">
                        <c:v>370</c:v>
                      </c:pt>
                      <c:pt idx="33">
                        <c:v>375</c:v>
                      </c:pt>
                      <c:pt idx="34">
                        <c:v>379</c:v>
                      </c:pt>
                      <c:pt idx="35">
                        <c:v>384</c:v>
                      </c:pt>
                      <c:pt idx="36">
                        <c:v>388</c:v>
                      </c:pt>
                      <c:pt idx="37">
                        <c:v>392</c:v>
                      </c:pt>
                      <c:pt idx="38">
                        <c:v>397</c:v>
                      </c:pt>
                      <c:pt idx="39">
                        <c:v>401</c:v>
                      </c:pt>
                      <c:pt idx="40">
                        <c:v>407</c:v>
                      </c:pt>
                      <c:pt idx="41">
                        <c:v>411</c:v>
                      </c:pt>
                      <c:pt idx="42">
                        <c:v>415</c:v>
                      </c:pt>
                      <c:pt idx="43">
                        <c:v>420</c:v>
                      </c:pt>
                      <c:pt idx="44">
                        <c:v>424</c:v>
                      </c:pt>
                      <c:pt idx="45">
                        <c:v>428</c:v>
                      </c:pt>
                      <c:pt idx="46">
                        <c:v>432</c:v>
                      </c:pt>
                      <c:pt idx="47">
                        <c:v>437</c:v>
                      </c:pt>
                      <c:pt idx="48">
                        <c:v>441</c:v>
                      </c:pt>
                      <c:pt idx="49">
                        <c:v>446</c:v>
                      </c:pt>
                      <c:pt idx="50">
                        <c:v>450</c:v>
                      </c:pt>
                      <c:pt idx="51">
                        <c:v>454</c:v>
                      </c:pt>
                      <c:pt idx="52">
                        <c:v>458</c:v>
                      </c:pt>
                      <c:pt idx="53">
                        <c:v>463</c:v>
                      </c:pt>
                      <c:pt idx="54">
                        <c:v>467</c:v>
                      </c:pt>
                      <c:pt idx="55">
                        <c:v>472</c:v>
                      </c:pt>
                      <c:pt idx="56">
                        <c:v>476</c:v>
                      </c:pt>
                      <c:pt idx="57">
                        <c:v>481</c:v>
                      </c:pt>
                      <c:pt idx="58">
                        <c:v>485</c:v>
                      </c:pt>
                      <c:pt idx="59">
                        <c:v>489</c:v>
                      </c:pt>
                      <c:pt idx="60">
                        <c:v>494</c:v>
                      </c:pt>
                      <c:pt idx="61">
                        <c:v>498</c:v>
                      </c:pt>
                      <c:pt idx="62">
                        <c:v>502</c:v>
                      </c:pt>
                      <c:pt idx="63">
                        <c:v>506</c:v>
                      </c:pt>
                      <c:pt idx="64">
                        <c:v>511</c:v>
                      </c:pt>
                      <c:pt idx="65">
                        <c:v>515</c:v>
                      </c:pt>
                      <c:pt idx="66">
                        <c:v>519</c:v>
                      </c:pt>
                      <c:pt idx="67">
                        <c:v>523</c:v>
                      </c:pt>
                      <c:pt idx="68">
                        <c:v>527</c:v>
                      </c:pt>
                      <c:pt idx="69">
                        <c:v>532</c:v>
                      </c:pt>
                      <c:pt idx="70">
                        <c:v>536</c:v>
                      </c:pt>
                      <c:pt idx="71">
                        <c:v>540</c:v>
                      </c:pt>
                      <c:pt idx="72">
                        <c:v>543</c:v>
                      </c:pt>
                      <c:pt idx="73">
                        <c:v>547</c:v>
                      </c:pt>
                      <c:pt idx="74">
                        <c:v>552</c:v>
                      </c:pt>
                      <c:pt idx="75">
                        <c:v>556</c:v>
                      </c:pt>
                      <c:pt idx="76">
                        <c:v>560</c:v>
                      </c:pt>
                      <c:pt idx="77">
                        <c:v>564</c:v>
                      </c:pt>
                      <c:pt idx="78">
                        <c:v>568</c:v>
                      </c:pt>
                      <c:pt idx="79">
                        <c:v>572</c:v>
                      </c:pt>
                      <c:pt idx="80">
                        <c:v>576</c:v>
                      </c:pt>
                      <c:pt idx="81">
                        <c:v>580</c:v>
                      </c:pt>
                      <c:pt idx="82">
                        <c:v>584</c:v>
                      </c:pt>
                      <c:pt idx="83">
                        <c:v>588</c:v>
                      </c:pt>
                      <c:pt idx="84">
                        <c:v>593</c:v>
                      </c:pt>
                      <c:pt idx="85">
                        <c:v>597</c:v>
                      </c:pt>
                      <c:pt idx="86">
                        <c:v>602</c:v>
                      </c:pt>
                      <c:pt idx="87">
                        <c:v>607</c:v>
                      </c:pt>
                      <c:pt idx="88">
                        <c:v>612</c:v>
                      </c:pt>
                      <c:pt idx="89">
                        <c:v>617</c:v>
                      </c:pt>
                      <c:pt idx="90">
                        <c:v>623</c:v>
                      </c:pt>
                      <c:pt idx="91">
                        <c:v>629</c:v>
                      </c:pt>
                      <c:pt idx="92">
                        <c:v>634</c:v>
                      </c:pt>
                      <c:pt idx="93">
                        <c:v>641</c:v>
                      </c:pt>
                      <c:pt idx="94">
                        <c:v>648</c:v>
                      </c:pt>
                      <c:pt idx="95">
                        <c:v>656</c:v>
                      </c:pt>
                      <c:pt idx="96">
                        <c:v>665</c:v>
                      </c:pt>
                      <c:pt idx="97">
                        <c:v>676</c:v>
                      </c:pt>
                      <c:pt idx="98">
                        <c:v>690</c:v>
                      </c:pt>
                      <c:pt idx="99">
                        <c:v>706</c:v>
                      </c:pt>
                      <c:pt idx="100">
                        <c:v>750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58F-476D-AA90-8EF35DFD1C88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TBP'!$AK$2</c15:sqref>
                        </c15:formulaRef>
                      </c:ext>
                    </c:extLst>
                    <c:strCache>
                      <c:ptCount val="1"/>
                      <c:pt idx="0">
                        <c:v>VR Feed TOP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TBP'!$A$3:$A$103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TBP'!$AK$3:$AK$110</c15:sqref>
                        </c15:formulaRef>
                      </c:ext>
                    </c:extLst>
                    <c:numCache>
                      <c:formatCode>General</c:formatCode>
                      <c:ptCount val="108"/>
                      <c:pt idx="0">
                        <c:v>375.98</c:v>
                      </c:pt>
                      <c:pt idx="1">
                        <c:v>402</c:v>
                      </c:pt>
                      <c:pt idx="2">
                        <c:v>422</c:v>
                      </c:pt>
                      <c:pt idx="3">
                        <c:v>462</c:v>
                      </c:pt>
                      <c:pt idx="4">
                        <c:v>489</c:v>
                      </c:pt>
                      <c:pt idx="5">
                        <c:v>510</c:v>
                      </c:pt>
                      <c:pt idx="6">
                        <c:v>518</c:v>
                      </c:pt>
                      <c:pt idx="7">
                        <c:v>525</c:v>
                      </c:pt>
                      <c:pt idx="8">
                        <c:v>533</c:v>
                      </c:pt>
                      <c:pt idx="9">
                        <c:v>538</c:v>
                      </c:pt>
                      <c:pt idx="10">
                        <c:v>543.5</c:v>
                      </c:pt>
                      <c:pt idx="11">
                        <c:v>548</c:v>
                      </c:pt>
                      <c:pt idx="12">
                        <c:v>553</c:v>
                      </c:pt>
                      <c:pt idx="13">
                        <c:v>556</c:v>
                      </c:pt>
                      <c:pt idx="14">
                        <c:v>560</c:v>
                      </c:pt>
                      <c:pt idx="15">
                        <c:v>563</c:v>
                      </c:pt>
                      <c:pt idx="16">
                        <c:v>566</c:v>
                      </c:pt>
                      <c:pt idx="17">
                        <c:v>569</c:v>
                      </c:pt>
                      <c:pt idx="18">
                        <c:v>572</c:v>
                      </c:pt>
                      <c:pt idx="19">
                        <c:v>575</c:v>
                      </c:pt>
                      <c:pt idx="20">
                        <c:v>578</c:v>
                      </c:pt>
                      <c:pt idx="21">
                        <c:v>581</c:v>
                      </c:pt>
                      <c:pt idx="22">
                        <c:v>584</c:v>
                      </c:pt>
                      <c:pt idx="23">
                        <c:v>587</c:v>
                      </c:pt>
                      <c:pt idx="24">
                        <c:v>590</c:v>
                      </c:pt>
                      <c:pt idx="25">
                        <c:v>593</c:v>
                      </c:pt>
                      <c:pt idx="26">
                        <c:v>595</c:v>
                      </c:pt>
                      <c:pt idx="27">
                        <c:v>598</c:v>
                      </c:pt>
                      <c:pt idx="28">
                        <c:v>600</c:v>
                      </c:pt>
                      <c:pt idx="29">
                        <c:v>602</c:v>
                      </c:pt>
                      <c:pt idx="30">
                        <c:v>606</c:v>
                      </c:pt>
                      <c:pt idx="31">
                        <c:v>609</c:v>
                      </c:pt>
                      <c:pt idx="32">
                        <c:v>611</c:v>
                      </c:pt>
                      <c:pt idx="33">
                        <c:v>614</c:v>
                      </c:pt>
                      <c:pt idx="34">
                        <c:v>617</c:v>
                      </c:pt>
                      <c:pt idx="35">
                        <c:v>620</c:v>
                      </c:pt>
                      <c:pt idx="36">
                        <c:v>622</c:v>
                      </c:pt>
                      <c:pt idx="37">
                        <c:v>626</c:v>
                      </c:pt>
                      <c:pt idx="38">
                        <c:v>630</c:v>
                      </c:pt>
                      <c:pt idx="39">
                        <c:v>632</c:v>
                      </c:pt>
                      <c:pt idx="40">
                        <c:v>635</c:v>
                      </c:pt>
                      <c:pt idx="41">
                        <c:v>638</c:v>
                      </c:pt>
                      <c:pt idx="42">
                        <c:v>641</c:v>
                      </c:pt>
                      <c:pt idx="43">
                        <c:v>644</c:v>
                      </c:pt>
                      <c:pt idx="44">
                        <c:v>647</c:v>
                      </c:pt>
                      <c:pt idx="45">
                        <c:v>650</c:v>
                      </c:pt>
                      <c:pt idx="46">
                        <c:v>654</c:v>
                      </c:pt>
                      <c:pt idx="47">
                        <c:v>657</c:v>
                      </c:pt>
                      <c:pt idx="48">
                        <c:v>661</c:v>
                      </c:pt>
                      <c:pt idx="49">
                        <c:v>664</c:v>
                      </c:pt>
                      <c:pt idx="50">
                        <c:v>667</c:v>
                      </c:pt>
                      <c:pt idx="51">
                        <c:v>671</c:v>
                      </c:pt>
                      <c:pt idx="52">
                        <c:v>675</c:v>
                      </c:pt>
                      <c:pt idx="53">
                        <c:v>678</c:v>
                      </c:pt>
                      <c:pt idx="54">
                        <c:v>682</c:v>
                      </c:pt>
                      <c:pt idx="55">
                        <c:v>687</c:v>
                      </c:pt>
                      <c:pt idx="56">
                        <c:v>691</c:v>
                      </c:pt>
                      <c:pt idx="57">
                        <c:v>694</c:v>
                      </c:pt>
                      <c:pt idx="58">
                        <c:v>698</c:v>
                      </c:pt>
                      <c:pt idx="59">
                        <c:v>702</c:v>
                      </c:pt>
                      <c:pt idx="60">
                        <c:v>705</c:v>
                      </c:pt>
                      <c:pt idx="61">
                        <c:v>708</c:v>
                      </c:pt>
                      <c:pt idx="62">
                        <c:v>713</c:v>
                      </c:pt>
                      <c:pt idx="63">
                        <c:v>718</c:v>
                      </c:pt>
                      <c:pt idx="64">
                        <c:v>720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58F-476D-AA90-8EF35DFD1C88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TBP'!$B$2</c15:sqref>
                        </c15:formulaRef>
                      </c:ext>
                    </c:extLst>
                    <c:strCache>
                      <c:ptCount val="1"/>
                      <c:pt idx="0">
                        <c:v>VR Feed ART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TBP'!$A$3:$A$103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'[1]Raw Data TBP'!$B$3:$B$103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361</c:v>
                      </c:pt>
                      <c:pt idx="1">
                        <c:v>389</c:v>
                      </c:pt>
                      <c:pt idx="2">
                        <c:v>425</c:v>
                      </c:pt>
                      <c:pt idx="3">
                        <c:v>463</c:v>
                      </c:pt>
                      <c:pt idx="4">
                        <c:v>493</c:v>
                      </c:pt>
                      <c:pt idx="5">
                        <c:v>511</c:v>
                      </c:pt>
                      <c:pt idx="6">
                        <c:v>523</c:v>
                      </c:pt>
                      <c:pt idx="7">
                        <c:v>532</c:v>
                      </c:pt>
                      <c:pt idx="8">
                        <c:v>538</c:v>
                      </c:pt>
                      <c:pt idx="9">
                        <c:v>543</c:v>
                      </c:pt>
                      <c:pt idx="10">
                        <c:v>548</c:v>
                      </c:pt>
                      <c:pt idx="11">
                        <c:v>553</c:v>
                      </c:pt>
                      <c:pt idx="12">
                        <c:v>557</c:v>
                      </c:pt>
                      <c:pt idx="13">
                        <c:v>560</c:v>
                      </c:pt>
                      <c:pt idx="14">
                        <c:v>564</c:v>
                      </c:pt>
                      <c:pt idx="15">
                        <c:v>567</c:v>
                      </c:pt>
                      <c:pt idx="16">
                        <c:v>570</c:v>
                      </c:pt>
                      <c:pt idx="17">
                        <c:v>573</c:v>
                      </c:pt>
                      <c:pt idx="18">
                        <c:v>575</c:v>
                      </c:pt>
                      <c:pt idx="19">
                        <c:v>578</c:v>
                      </c:pt>
                      <c:pt idx="20">
                        <c:v>581</c:v>
                      </c:pt>
                      <c:pt idx="21">
                        <c:v>584</c:v>
                      </c:pt>
                      <c:pt idx="22">
                        <c:v>587</c:v>
                      </c:pt>
                      <c:pt idx="23">
                        <c:v>589</c:v>
                      </c:pt>
                      <c:pt idx="24">
                        <c:v>592</c:v>
                      </c:pt>
                      <c:pt idx="25">
                        <c:v>595</c:v>
                      </c:pt>
                      <c:pt idx="26">
                        <c:v>598</c:v>
                      </c:pt>
                      <c:pt idx="27">
                        <c:v>600</c:v>
                      </c:pt>
                      <c:pt idx="28">
                        <c:v>603</c:v>
                      </c:pt>
                      <c:pt idx="29">
                        <c:v>606</c:v>
                      </c:pt>
                      <c:pt idx="30">
                        <c:v>609</c:v>
                      </c:pt>
                      <c:pt idx="31">
                        <c:v>612</c:v>
                      </c:pt>
                      <c:pt idx="32">
                        <c:v>615</c:v>
                      </c:pt>
                      <c:pt idx="33">
                        <c:v>618</c:v>
                      </c:pt>
                      <c:pt idx="34">
                        <c:v>621</c:v>
                      </c:pt>
                      <c:pt idx="35">
                        <c:v>624</c:v>
                      </c:pt>
                      <c:pt idx="36">
                        <c:v>627</c:v>
                      </c:pt>
                      <c:pt idx="37">
                        <c:v>630</c:v>
                      </c:pt>
                      <c:pt idx="38">
                        <c:v>633</c:v>
                      </c:pt>
                      <c:pt idx="39">
                        <c:v>637</c:v>
                      </c:pt>
                      <c:pt idx="40">
                        <c:v>640</c:v>
                      </c:pt>
                      <c:pt idx="41">
                        <c:v>643</c:v>
                      </c:pt>
                      <c:pt idx="42">
                        <c:v>647</c:v>
                      </c:pt>
                      <c:pt idx="43">
                        <c:v>651</c:v>
                      </c:pt>
                      <c:pt idx="44">
                        <c:v>655</c:v>
                      </c:pt>
                      <c:pt idx="45">
                        <c:v>659</c:v>
                      </c:pt>
                      <c:pt idx="46">
                        <c:v>664</c:v>
                      </c:pt>
                      <c:pt idx="47">
                        <c:v>669</c:v>
                      </c:pt>
                      <c:pt idx="48">
                        <c:v>674</c:v>
                      </c:pt>
                      <c:pt idx="49">
                        <c:v>681</c:v>
                      </c:pt>
                      <c:pt idx="50">
                        <c:v>688</c:v>
                      </c:pt>
                      <c:pt idx="51">
                        <c:v>695</c:v>
                      </c:pt>
                      <c:pt idx="52">
                        <c:v>705</c:v>
                      </c:pt>
                      <c:pt idx="53">
                        <c:v>718</c:v>
                      </c:pt>
                      <c:pt idx="54">
                        <c:v>732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58F-476D-AA90-8EF35DFD1C88}"/>
                  </c:ext>
                </c:extLst>
              </c15:ser>
            </c15:filteredScatterSeries>
          </c:ext>
        </c:extLst>
      </c:scatterChart>
      <c:valAx>
        <c:axId val="25358340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98768"/>
        <c:crosses val="autoZero"/>
        <c:crossBetween val="midCat"/>
        <c:majorUnit val="5"/>
      </c:valAx>
      <c:valAx>
        <c:axId val="253598768"/>
        <c:scaling>
          <c:orientation val="minMax"/>
          <c:max val="7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Boiling</a:t>
                </a:r>
                <a:r>
                  <a:rPr lang="en-US" sz="2000" b="1" baseline="0"/>
                  <a:t> Point (degC)</a:t>
                </a:r>
                <a:endParaRPr lang="en-US" sz="2000" b="1"/>
              </a:p>
            </c:rich>
          </c:tx>
          <c:layout>
            <c:manualLayout>
              <c:xMode val="edge"/>
              <c:yMode val="edge"/>
              <c:x val="2.8634286957266091E-2"/>
              <c:y val="0.30937877204607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83408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ayout>
        <c:manualLayout>
          <c:xMode val="edge"/>
          <c:yMode val="edge"/>
          <c:x val="0.8566863443113617"/>
          <c:y val="0.34262615133553909"/>
          <c:w val="9.4126756074712922E-2"/>
          <c:h val="0.32340885149115239"/>
        </c:manualLayout>
      </c:layout>
      <c:overlay val="0"/>
      <c:spPr>
        <a:solidFill>
          <a:schemeClr val="bg2">
            <a:lumMod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HPS Simdist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03623699252627"/>
          <c:y val="8.572117501901709E-2"/>
          <c:w val="0.76219950210754861"/>
          <c:h val="0.81184027107984258"/>
        </c:manualLayout>
      </c:layout>
      <c:scatterChart>
        <c:scatterStyle val="smoothMarker"/>
        <c:varyColors val="0"/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'HPS Comparing'!$D$10:$N$110</c:f>
              <c:multiLvlStrCache>
                <c:ptCount val="101"/>
                <c:lvl>
                  <c:pt idx="0">
                    <c:v>95.5</c:v>
                  </c:pt>
                  <c:pt idx="1">
                    <c:v>125.7</c:v>
                  </c:pt>
                  <c:pt idx="2">
                    <c:v>155.6</c:v>
                  </c:pt>
                  <c:pt idx="3">
                    <c:v>174.7</c:v>
                  </c:pt>
                  <c:pt idx="4">
                    <c:v>190.5</c:v>
                  </c:pt>
                  <c:pt idx="5">
                    <c:v>203.2</c:v>
                  </c:pt>
                  <c:pt idx="6">
                    <c:v>216</c:v>
                  </c:pt>
                  <c:pt idx="7">
                    <c:v>226</c:v>
                  </c:pt>
                  <c:pt idx="8">
                    <c:v>235.1</c:v>
                  </c:pt>
                  <c:pt idx="9">
                    <c:v>245.2</c:v>
                  </c:pt>
                  <c:pt idx="10">
                    <c:v>253.3</c:v>
                  </c:pt>
                  <c:pt idx="11">
                    <c:v>262.5</c:v>
                  </c:pt>
                  <c:pt idx="12">
                    <c:v>270.2</c:v>
                  </c:pt>
                  <c:pt idx="13">
                    <c:v>278.8</c:v>
                  </c:pt>
                  <c:pt idx="14">
                    <c:v>286.4</c:v>
                  </c:pt>
                  <c:pt idx="15">
                    <c:v>294.1</c:v>
                  </c:pt>
                  <c:pt idx="16">
                    <c:v>301</c:v>
                  </c:pt>
                  <c:pt idx="17">
                    <c:v>308</c:v>
                  </c:pt>
                  <c:pt idx="18">
                    <c:v>314.9</c:v>
                  </c:pt>
                  <c:pt idx="19">
                    <c:v>321.3</c:v>
                  </c:pt>
                  <c:pt idx="20">
                    <c:v>328.2</c:v>
                  </c:pt>
                  <c:pt idx="21">
                    <c:v>334.2</c:v>
                  </c:pt>
                  <c:pt idx="22">
                    <c:v>340.8</c:v>
                  </c:pt>
                  <c:pt idx="23">
                    <c:v>346.4</c:v>
                  </c:pt>
                  <c:pt idx="24">
                    <c:v>352.3</c:v>
                  </c:pt>
                  <c:pt idx="25">
                    <c:v>357.5</c:v>
                  </c:pt>
                  <c:pt idx="26">
                    <c:v>363.2</c:v>
                  </c:pt>
                  <c:pt idx="27">
                    <c:v>368.5</c:v>
                  </c:pt>
                  <c:pt idx="28">
                    <c:v>375.1</c:v>
                  </c:pt>
                  <c:pt idx="29">
                    <c:v>381.5</c:v>
                  </c:pt>
                  <c:pt idx="30">
                    <c:v>388.2</c:v>
                  </c:pt>
                  <c:pt idx="31">
                    <c:v>393.9</c:v>
                  </c:pt>
                  <c:pt idx="32">
                    <c:v>399.4</c:v>
                  </c:pt>
                  <c:pt idx="33">
                    <c:v>404.7</c:v>
                  </c:pt>
                  <c:pt idx="34">
                    <c:v>410</c:v>
                  </c:pt>
                  <c:pt idx="35">
                    <c:v>415.6</c:v>
                  </c:pt>
                  <c:pt idx="36">
                    <c:v>421</c:v>
                  </c:pt>
                  <c:pt idx="37">
                    <c:v>427</c:v>
                  </c:pt>
                  <c:pt idx="38">
                    <c:v>432.5</c:v>
                  </c:pt>
                  <c:pt idx="39">
                    <c:v>438.1</c:v>
                  </c:pt>
                  <c:pt idx="40">
                    <c:v>443.3</c:v>
                  </c:pt>
                  <c:pt idx="41">
                    <c:v>448.5</c:v>
                  </c:pt>
                  <c:pt idx="42">
                    <c:v>454.3</c:v>
                  </c:pt>
                  <c:pt idx="43">
                    <c:v>459.9</c:v>
                  </c:pt>
                  <c:pt idx="44">
                    <c:v>465.4</c:v>
                  </c:pt>
                  <c:pt idx="45">
                    <c:v>471</c:v>
                  </c:pt>
                  <c:pt idx="46">
                    <c:v>476.4</c:v>
                  </c:pt>
                  <c:pt idx="47">
                    <c:v>481.9</c:v>
                  </c:pt>
                  <c:pt idx="48">
                    <c:v>487.5</c:v>
                  </c:pt>
                  <c:pt idx="49">
                    <c:v>493.2</c:v>
                  </c:pt>
                  <c:pt idx="50">
                    <c:v>498.4</c:v>
                  </c:pt>
                  <c:pt idx="51">
                    <c:v>503.4</c:v>
                  </c:pt>
                  <c:pt idx="52">
                    <c:v>508.3</c:v>
                  </c:pt>
                  <c:pt idx="53">
                    <c:v>513.7</c:v>
                  </c:pt>
                  <c:pt idx="54">
                    <c:v>519.1</c:v>
                  </c:pt>
                  <c:pt idx="55">
                    <c:v>524.2</c:v>
                  </c:pt>
                  <c:pt idx="56">
                    <c:v>529.1</c:v>
                  </c:pt>
                  <c:pt idx="57">
                    <c:v>533.9</c:v>
                  </c:pt>
                  <c:pt idx="58">
                    <c:v>538.7</c:v>
                  </c:pt>
                  <c:pt idx="59">
                    <c:v>543.3</c:v>
                  </c:pt>
                  <c:pt idx="60">
                    <c:v>548.1</c:v>
                  </c:pt>
                  <c:pt idx="61">
                    <c:v>552.8</c:v>
                  </c:pt>
                  <c:pt idx="62">
                    <c:v>557.4</c:v>
                  </c:pt>
                  <c:pt idx="63">
                    <c:v>561.8</c:v>
                  </c:pt>
                  <c:pt idx="64">
                    <c:v>566.1</c:v>
                  </c:pt>
                  <c:pt idx="65">
                    <c:v>570.2</c:v>
                  </c:pt>
                  <c:pt idx="66">
                    <c:v>574.2</c:v>
                  </c:pt>
                  <c:pt idx="67">
                    <c:v>578.5</c:v>
                  </c:pt>
                  <c:pt idx="68">
                    <c:v>582.9</c:v>
                  </c:pt>
                  <c:pt idx="69">
                    <c:v>587.2</c:v>
                  </c:pt>
                  <c:pt idx="70">
                    <c:v>591.6</c:v>
                  </c:pt>
                  <c:pt idx="71">
                    <c:v>596</c:v>
                  </c:pt>
                  <c:pt idx="72">
                    <c:v>600.5</c:v>
                  </c:pt>
                  <c:pt idx="73">
                    <c:v>605.3</c:v>
                  </c:pt>
                  <c:pt idx="74">
                    <c:v>610.3</c:v>
                  </c:pt>
                  <c:pt idx="75">
                    <c:v>615.3</c:v>
                  </c:pt>
                  <c:pt idx="76">
                    <c:v>620.9</c:v>
                  </c:pt>
                  <c:pt idx="77">
                    <c:v>626.4</c:v>
                  </c:pt>
                  <c:pt idx="78">
                    <c:v>632.1</c:v>
                  </c:pt>
                  <c:pt idx="79">
                    <c:v>638</c:v>
                  </c:pt>
                  <c:pt idx="80">
                    <c:v>644.6</c:v>
                  </c:pt>
                  <c:pt idx="81">
                    <c:v>651.6</c:v>
                  </c:pt>
                  <c:pt idx="82">
                    <c:v>658.6</c:v>
                  </c:pt>
                  <c:pt idx="83">
                    <c:v>667.9</c:v>
                  </c:pt>
                  <c:pt idx="84">
                    <c:v>677.4</c:v>
                  </c:pt>
                  <c:pt idx="85">
                    <c:v>688.1</c:v>
                  </c:pt>
                  <c:pt idx="86">
                    <c:v>698.6</c:v>
                  </c:pt>
                  <c:pt idx="87">
                    <c:v>709.6</c:v>
                  </c:pt>
                  <c:pt idx="88">
                    <c:v>722.6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133.6</c:v>
                  </c:pt>
                  <c:pt idx="1">
                    <c:v>179.1</c:v>
                  </c:pt>
                  <c:pt idx="2">
                    <c:v>224.9</c:v>
                  </c:pt>
                  <c:pt idx="3">
                    <c:v>255.3</c:v>
                  </c:pt>
                  <c:pt idx="4">
                    <c:v>279.7</c:v>
                  </c:pt>
                  <c:pt idx="5">
                    <c:v>300.9</c:v>
                  </c:pt>
                  <c:pt idx="6">
                    <c:v>317.7</c:v>
                  </c:pt>
                  <c:pt idx="7">
                    <c:v>332.7</c:v>
                  </c:pt>
                  <c:pt idx="8">
                    <c:v>345.9</c:v>
                  </c:pt>
                  <c:pt idx="9">
                    <c:v>357.3</c:v>
                  </c:pt>
                  <c:pt idx="10">
                    <c:v>367.8</c:v>
                  </c:pt>
                  <c:pt idx="11">
                    <c:v>379.7</c:v>
                  </c:pt>
                  <c:pt idx="12">
                    <c:v>391.3</c:v>
                  </c:pt>
                  <c:pt idx="13">
                    <c:v>400</c:v>
                  </c:pt>
                  <c:pt idx="14">
                    <c:v>408.3</c:v>
                  </c:pt>
                  <c:pt idx="15">
                    <c:v>417</c:v>
                  </c:pt>
                  <c:pt idx="16">
                    <c:v>426.3</c:v>
                  </c:pt>
                  <c:pt idx="17">
                    <c:v>434.6</c:v>
                  </c:pt>
                  <c:pt idx="18">
                    <c:v>442.1</c:v>
                  </c:pt>
                  <c:pt idx="19">
                    <c:v>449.4</c:v>
                  </c:pt>
                  <c:pt idx="20">
                    <c:v>457.4</c:v>
                  </c:pt>
                  <c:pt idx="21">
                    <c:v>465.2</c:v>
                  </c:pt>
                  <c:pt idx="22">
                    <c:v>472.3</c:v>
                  </c:pt>
                  <c:pt idx="23">
                    <c:v>479</c:v>
                  </c:pt>
                  <c:pt idx="24">
                    <c:v>486.1</c:v>
                  </c:pt>
                  <c:pt idx="25">
                    <c:v>493.1</c:v>
                  </c:pt>
                  <c:pt idx="26">
                    <c:v>499.3</c:v>
                  </c:pt>
                  <c:pt idx="27">
                    <c:v>505</c:v>
                  </c:pt>
                  <c:pt idx="28">
                    <c:v>510.6</c:v>
                  </c:pt>
                  <c:pt idx="29">
                    <c:v>516.6</c:v>
                  </c:pt>
                  <c:pt idx="30">
                    <c:v>522.4</c:v>
                  </c:pt>
                  <c:pt idx="31">
                    <c:v>527.4</c:v>
                  </c:pt>
                  <c:pt idx="32">
                    <c:v>532.2</c:v>
                  </c:pt>
                  <c:pt idx="33">
                    <c:v>536.7</c:v>
                  </c:pt>
                  <c:pt idx="34">
                    <c:v>541.2</c:v>
                  </c:pt>
                  <c:pt idx="35">
                    <c:v>545.5</c:v>
                  </c:pt>
                  <c:pt idx="36">
                    <c:v>549.8</c:v>
                  </c:pt>
                  <c:pt idx="37">
                    <c:v>554</c:v>
                  </c:pt>
                  <c:pt idx="38">
                    <c:v>557.9</c:v>
                  </c:pt>
                  <c:pt idx="39">
                    <c:v>561.4</c:v>
                  </c:pt>
                  <c:pt idx="40">
                    <c:v>564.9</c:v>
                  </c:pt>
                  <c:pt idx="41">
                    <c:v>568.1</c:v>
                  </c:pt>
                  <c:pt idx="42">
                    <c:v>571.2</c:v>
                  </c:pt>
                  <c:pt idx="43">
                    <c:v>574.2</c:v>
                  </c:pt>
                  <c:pt idx="44">
                    <c:v>577.2</c:v>
                  </c:pt>
                  <c:pt idx="45">
                    <c:v>580.2</c:v>
                  </c:pt>
                  <c:pt idx="46">
                    <c:v>583.1</c:v>
                  </c:pt>
                  <c:pt idx="47">
                    <c:v>586</c:v>
                  </c:pt>
                  <c:pt idx="48">
                    <c:v>588.8</c:v>
                  </c:pt>
                  <c:pt idx="49">
                    <c:v>591.6</c:v>
                  </c:pt>
                  <c:pt idx="50">
                    <c:v>594.3</c:v>
                  </c:pt>
                  <c:pt idx="51">
                    <c:v>597</c:v>
                  </c:pt>
                  <c:pt idx="52">
                    <c:v>599.8</c:v>
                  </c:pt>
                  <c:pt idx="53">
                    <c:v>602.6</c:v>
                  </c:pt>
                  <c:pt idx="54">
                    <c:v>605.4</c:v>
                  </c:pt>
                  <c:pt idx="55">
                    <c:v>608.2</c:v>
                  </c:pt>
                  <c:pt idx="56">
                    <c:v>611</c:v>
                  </c:pt>
                  <c:pt idx="57">
                    <c:v>613.9</c:v>
                  </c:pt>
                  <c:pt idx="58">
                    <c:v>616.8</c:v>
                  </c:pt>
                  <c:pt idx="59">
                    <c:v>619.7</c:v>
                  </c:pt>
                  <c:pt idx="60">
                    <c:v>622.7</c:v>
                  </c:pt>
                  <c:pt idx="61">
                    <c:v>625.7</c:v>
                  </c:pt>
                  <c:pt idx="62">
                    <c:v>628.7</c:v>
                  </c:pt>
                  <c:pt idx="63">
                    <c:v>631.6</c:v>
                  </c:pt>
                  <c:pt idx="64">
                    <c:v>634.5</c:v>
                  </c:pt>
                  <c:pt idx="65">
                    <c:v>637.6</c:v>
                  </c:pt>
                  <c:pt idx="66">
                    <c:v>640.7</c:v>
                  </c:pt>
                  <c:pt idx="67">
                    <c:v>644</c:v>
                  </c:pt>
                  <c:pt idx="68">
                    <c:v>647.4</c:v>
                  </c:pt>
                  <c:pt idx="69">
                    <c:v>650.5</c:v>
                  </c:pt>
                  <c:pt idx="70">
                    <c:v>653.7</c:v>
                  </c:pt>
                  <c:pt idx="71">
                    <c:v>656.8</c:v>
                  </c:pt>
                  <c:pt idx="72">
                    <c:v>660.6</c:v>
                  </c:pt>
                  <c:pt idx="73">
                    <c:v>664.8</c:v>
                  </c:pt>
                  <c:pt idx="74">
                    <c:v>669.2</c:v>
                  </c:pt>
                  <c:pt idx="75">
                    <c:v>673.1</c:v>
                  </c:pt>
                  <c:pt idx="76">
                    <c:v>677.4</c:v>
                  </c:pt>
                  <c:pt idx="77">
                    <c:v>682.2</c:v>
                  </c:pt>
                  <c:pt idx="78">
                    <c:v>686.5</c:v>
                  </c:pt>
                  <c:pt idx="79">
                    <c:v>691.2</c:v>
                  </c:pt>
                  <c:pt idx="80">
                    <c:v>694.8</c:v>
                  </c:pt>
                  <c:pt idx="81">
                    <c:v>699.9</c:v>
                  </c:pt>
                  <c:pt idx="82">
                    <c:v>704</c:v>
                  </c:pt>
                  <c:pt idx="83">
                    <c:v>708.8</c:v>
                  </c:pt>
                  <c:pt idx="84">
                    <c:v>714.2</c:v>
                  </c:pt>
                  <c:pt idx="85">
                    <c:v>719.8</c:v>
                  </c:pt>
                  <c:pt idx="86">
                    <c:v>726.2</c:v>
                  </c:pt>
                  <c:pt idx="87">
                    <c:v>733.5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152.5</c:v>
                  </c:pt>
                  <c:pt idx="1">
                    <c:v>185.3</c:v>
                  </c:pt>
                  <c:pt idx="2">
                    <c:v>226.6</c:v>
                  </c:pt>
                  <c:pt idx="3">
                    <c:v>255</c:v>
                  </c:pt>
                  <c:pt idx="4">
                    <c:v>279.1</c:v>
                  </c:pt>
                  <c:pt idx="5">
                    <c:v>299.2</c:v>
                  </c:pt>
                  <c:pt idx="6">
                    <c:v>317.3</c:v>
                  </c:pt>
                  <c:pt idx="7">
                    <c:v>332.5</c:v>
                  </c:pt>
                  <c:pt idx="8">
                    <c:v>345.5</c:v>
                  </c:pt>
                  <c:pt idx="9">
                    <c:v>356.3</c:v>
                  </c:pt>
                  <c:pt idx="10">
                    <c:v>366.7</c:v>
                  </c:pt>
                  <c:pt idx="11">
                    <c:v>378.3</c:v>
                  </c:pt>
                  <c:pt idx="12">
                    <c:v>390.2</c:v>
                  </c:pt>
                  <c:pt idx="13">
                    <c:v>398.9</c:v>
                  </c:pt>
                  <c:pt idx="14">
                    <c:v>407.3</c:v>
                  </c:pt>
                  <c:pt idx="15">
                    <c:v>415.7</c:v>
                  </c:pt>
                  <c:pt idx="16">
                    <c:v>424.9</c:v>
                  </c:pt>
                  <c:pt idx="17">
                    <c:v>433.3</c:v>
                  </c:pt>
                  <c:pt idx="18">
                    <c:v>440.7</c:v>
                  </c:pt>
                  <c:pt idx="19">
                    <c:v>448</c:v>
                  </c:pt>
                  <c:pt idx="20">
                    <c:v>455.9</c:v>
                  </c:pt>
                  <c:pt idx="21">
                    <c:v>463.6</c:v>
                  </c:pt>
                  <c:pt idx="22">
                    <c:v>470.6</c:v>
                  </c:pt>
                  <c:pt idx="23">
                    <c:v>477.3</c:v>
                  </c:pt>
                  <c:pt idx="24">
                    <c:v>484.2</c:v>
                  </c:pt>
                  <c:pt idx="25">
                    <c:v>491.3</c:v>
                  </c:pt>
                  <c:pt idx="26">
                    <c:v>497.8</c:v>
                  </c:pt>
                  <c:pt idx="27">
                    <c:v>503.3</c:v>
                  </c:pt>
                  <c:pt idx="28">
                    <c:v>508.7</c:v>
                  </c:pt>
                  <c:pt idx="29">
                    <c:v>514.7</c:v>
                  </c:pt>
                  <c:pt idx="30">
                    <c:v>520.6</c:v>
                  </c:pt>
                  <c:pt idx="31">
                    <c:v>525.7</c:v>
                  </c:pt>
                  <c:pt idx="32">
                    <c:v>530.5</c:v>
                  </c:pt>
                  <c:pt idx="33">
                    <c:v>535.2</c:v>
                  </c:pt>
                  <c:pt idx="34">
                    <c:v>539.6</c:v>
                  </c:pt>
                  <c:pt idx="35">
                    <c:v>543.9</c:v>
                  </c:pt>
                  <c:pt idx="36">
                    <c:v>548.2</c:v>
                  </c:pt>
                  <c:pt idx="37">
                    <c:v>552.4</c:v>
                  </c:pt>
                  <c:pt idx="38">
                    <c:v>556.4</c:v>
                  </c:pt>
                  <c:pt idx="39">
                    <c:v>560</c:v>
                  </c:pt>
                  <c:pt idx="40">
                    <c:v>563.5</c:v>
                  </c:pt>
                  <c:pt idx="41">
                    <c:v>566.8</c:v>
                  </c:pt>
                  <c:pt idx="42">
                    <c:v>569.9</c:v>
                  </c:pt>
                  <c:pt idx="43">
                    <c:v>572.9</c:v>
                  </c:pt>
                  <c:pt idx="44">
                    <c:v>575.8</c:v>
                  </c:pt>
                  <c:pt idx="45">
                    <c:v>578.8</c:v>
                  </c:pt>
                  <c:pt idx="46">
                    <c:v>581.7</c:v>
                  </c:pt>
                  <c:pt idx="47">
                    <c:v>584.6</c:v>
                  </c:pt>
                  <c:pt idx="48">
                    <c:v>587.4</c:v>
                  </c:pt>
                  <c:pt idx="49">
                    <c:v>590.1</c:v>
                  </c:pt>
                  <c:pt idx="50">
                    <c:v>592.8</c:v>
                  </c:pt>
                  <c:pt idx="51">
                    <c:v>595.5</c:v>
                  </c:pt>
                  <c:pt idx="52">
                    <c:v>598.1</c:v>
                  </c:pt>
                  <c:pt idx="53">
                    <c:v>600.8</c:v>
                  </c:pt>
                  <c:pt idx="54">
                    <c:v>603.6</c:v>
                  </c:pt>
                  <c:pt idx="55">
                    <c:v>606.3</c:v>
                  </c:pt>
                  <c:pt idx="56">
                    <c:v>609</c:v>
                  </c:pt>
                  <c:pt idx="57">
                    <c:v>611.7</c:v>
                  </c:pt>
                  <c:pt idx="58">
                    <c:v>614.5</c:v>
                  </c:pt>
                  <c:pt idx="59">
                    <c:v>617.3</c:v>
                  </c:pt>
                  <c:pt idx="60">
                    <c:v>620.1</c:v>
                  </c:pt>
                  <c:pt idx="61">
                    <c:v>623</c:v>
                  </c:pt>
                  <c:pt idx="62">
                    <c:v>625.8</c:v>
                  </c:pt>
                  <c:pt idx="63">
                    <c:v>628.6</c:v>
                  </c:pt>
                  <c:pt idx="64">
                    <c:v>631.4</c:v>
                  </c:pt>
                  <c:pt idx="65">
                    <c:v>634.2</c:v>
                  </c:pt>
                  <c:pt idx="66">
                    <c:v>637.1</c:v>
                  </c:pt>
                  <c:pt idx="67">
                    <c:v>640</c:v>
                  </c:pt>
                  <c:pt idx="68">
                    <c:v>643.1</c:v>
                  </c:pt>
                  <c:pt idx="69">
                    <c:v>646.2</c:v>
                  </c:pt>
                  <c:pt idx="70">
                    <c:v>649.2</c:v>
                  </c:pt>
                  <c:pt idx="71">
                    <c:v>652.2</c:v>
                  </c:pt>
                  <c:pt idx="72">
                    <c:v>655.1</c:v>
                  </c:pt>
                  <c:pt idx="73">
                    <c:v>658.1</c:v>
                  </c:pt>
                  <c:pt idx="74">
                    <c:v>661.9</c:v>
                  </c:pt>
                  <c:pt idx="75">
                    <c:v>665.7</c:v>
                  </c:pt>
                  <c:pt idx="76">
                    <c:v>669.7</c:v>
                  </c:pt>
                  <c:pt idx="77">
                    <c:v>673.1</c:v>
                  </c:pt>
                  <c:pt idx="78">
                    <c:v>676.9</c:v>
                  </c:pt>
                  <c:pt idx="79">
                    <c:v>681.3</c:v>
                  </c:pt>
                  <c:pt idx="80">
                    <c:v>685</c:v>
                  </c:pt>
                  <c:pt idx="81">
                    <c:v>688.9</c:v>
                  </c:pt>
                  <c:pt idx="82">
                    <c:v>692.4</c:v>
                  </c:pt>
                  <c:pt idx="83">
                    <c:v>695.7</c:v>
                  </c:pt>
                  <c:pt idx="84">
                    <c:v>700</c:v>
                  </c:pt>
                  <c:pt idx="85">
                    <c:v>703.3</c:v>
                  </c:pt>
                  <c:pt idx="86">
                    <c:v>706.7</c:v>
                  </c:pt>
                  <c:pt idx="87">
                    <c:v>710.8</c:v>
                  </c:pt>
                  <c:pt idx="88">
                    <c:v>714.7</c:v>
                  </c:pt>
                  <c:pt idx="89">
                    <c:v>718.6</c:v>
                  </c:pt>
                  <c:pt idx="90">
                    <c:v>722.6</c:v>
                  </c:pt>
                  <c:pt idx="91">
                    <c:v>726.7</c:v>
                  </c:pt>
                  <c:pt idx="92">
                    <c:v>730.9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140.2</c:v>
                  </c:pt>
                  <c:pt idx="1">
                    <c:v>187.3</c:v>
                  </c:pt>
                  <c:pt idx="2">
                    <c:v>232</c:v>
                  </c:pt>
                  <c:pt idx="3">
                    <c:v>261.4</c:v>
                  </c:pt>
                  <c:pt idx="4">
                    <c:v>285.2</c:v>
                  </c:pt>
                  <c:pt idx="5">
                    <c:v>305.6</c:v>
                  </c:pt>
                  <c:pt idx="6">
                    <c:v>323.2</c:v>
                  </c:pt>
                  <c:pt idx="7">
                    <c:v>338.6</c:v>
                  </c:pt>
                  <c:pt idx="8">
                    <c:v>351.3</c:v>
                  </c:pt>
                  <c:pt idx="9">
                    <c:v>362.4</c:v>
                  </c:pt>
                  <c:pt idx="10">
                    <c:v>374.1</c:v>
                  </c:pt>
                  <c:pt idx="11">
                    <c:v>387.1</c:v>
                  </c:pt>
                  <c:pt idx="12">
                    <c:v>397.2</c:v>
                  </c:pt>
                  <c:pt idx="13">
                    <c:v>406</c:v>
                  </c:pt>
                  <c:pt idx="14">
                    <c:v>414.7</c:v>
                  </c:pt>
                  <c:pt idx="15">
                    <c:v>424.4</c:v>
                  </c:pt>
                  <c:pt idx="16">
                    <c:v>433.3</c:v>
                  </c:pt>
                  <c:pt idx="17">
                    <c:v>441.2</c:v>
                  </c:pt>
                  <c:pt idx="18">
                    <c:v>448.8</c:v>
                  </c:pt>
                  <c:pt idx="19">
                    <c:v>457.3</c:v>
                  </c:pt>
                  <c:pt idx="20">
                    <c:v>465.4</c:v>
                  </c:pt>
                  <c:pt idx="21">
                    <c:v>472.5</c:v>
                  </c:pt>
                  <c:pt idx="22">
                    <c:v>479.5</c:v>
                  </c:pt>
                  <c:pt idx="23">
                    <c:v>486.9</c:v>
                  </c:pt>
                  <c:pt idx="24">
                    <c:v>494.3</c:v>
                  </c:pt>
                  <c:pt idx="25">
                    <c:v>500.6</c:v>
                  </c:pt>
                  <c:pt idx="26">
                    <c:v>506.4</c:v>
                  </c:pt>
                  <c:pt idx="27">
                    <c:v>512.4</c:v>
                  </c:pt>
                  <c:pt idx="28">
                    <c:v>518.7</c:v>
                  </c:pt>
                  <c:pt idx="29">
                    <c:v>524.4</c:v>
                  </c:pt>
                  <c:pt idx="30">
                    <c:v>529.6</c:v>
                  </c:pt>
                  <c:pt idx="31">
                    <c:v>534.6</c:v>
                  </c:pt>
                  <c:pt idx="32">
                    <c:v>539.3</c:v>
                  </c:pt>
                  <c:pt idx="33">
                    <c:v>543.9</c:v>
                  </c:pt>
                  <c:pt idx="34">
                    <c:v>548.6</c:v>
                  </c:pt>
                  <c:pt idx="35">
                    <c:v>553.1</c:v>
                  </c:pt>
                  <c:pt idx="36">
                    <c:v>557.3</c:v>
                  </c:pt>
                  <c:pt idx="37">
                    <c:v>561.1</c:v>
                  </c:pt>
                  <c:pt idx="38">
                    <c:v>564.8</c:v>
                  </c:pt>
                  <c:pt idx="39">
                    <c:v>568.2</c:v>
                  </c:pt>
                  <c:pt idx="40">
                    <c:v>571.4</c:v>
                  </c:pt>
                  <c:pt idx="41">
                    <c:v>574.6</c:v>
                  </c:pt>
                  <c:pt idx="42">
                    <c:v>577.8</c:v>
                  </c:pt>
                  <c:pt idx="43">
                    <c:v>580.9</c:v>
                  </c:pt>
                  <c:pt idx="44">
                    <c:v>584.1</c:v>
                  </c:pt>
                  <c:pt idx="45">
                    <c:v>587</c:v>
                  </c:pt>
                  <c:pt idx="46">
                    <c:v>590</c:v>
                  </c:pt>
                  <c:pt idx="47">
                    <c:v>592.9</c:v>
                  </c:pt>
                  <c:pt idx="48">
                    <c:v>595.7</c:v>
                  </c:pt>
                  <c:pt idx="49">
                    <c:v>598.6</c:v>
                  </c:pt>
                  <c:pt idx="50">
                    <c:v>601.5</c:v>
                  </c:pt>
                  <c:pt idx="51">
                    <c:v>604.4</c:v>
                  </c:pt>
                  <c:pt idx="52">
                    <c:v>607.4</c:v>
                  </c:pt>
                  <c:pt idx="53">
                    <c:v>610.3</c:v>
                  </c:pt>
                  <c:pt idx="54">
                    <c:v>613.3</c:v>
                  </c:pt>
                  <c:pt idx="55">
                    <c:v>616.3</c:v>
                  </c:pt>
                  <c:pt idx="56">
                    <c:v>619.4</c:v>
                  </c:pt>
                  <c:pt idx="57">
                    <c:v>622.6</c:v>
                  </c:pt>
                  <c:pt idx="58">
                    <c:v>625.7</c:v>
                  </c:pt>
                  <c:pt idx="59">
                    <c:v>628.9</c:v>
                  </c:pt>
                  <c:pt idx="60">
                    <c:v>631.9</c:v>
                  </c:pt>
                  <c:pt idx="61">
                    <c:v>635.1</c:v>
                  </c:pt>
                  <c:pt idx="62">
                    <c:v>638.4</c:v>
                  </c:pt>
                  <c:pt idx="63">
                    <c:v>641.8</c:v>
                  </c:pt>
                  <c:pt idx="64">
                    <c:v>645.4</c:v>
                  </c:pt>
                  <c:pt idx="65">
                    <c:v>648.9</c:v>
                  </c:pt>
                  <c:pt idx="66">
                    <c:v>652.4</c:v>
                  </c:pt>
                  <c:pt idx="67">
                    <c:v>655.8</c:v>
                  </c:pt>
                  <c:pt idx="68">
                    <c:v>659.7</c:v>
                  </c:pt>
                  <c:pt idx="69">
                    <c:v>664.3</c:v>
                  </c:pt>
                  <c:pt idx="70">
                    <c:v>669.1</c:v>
                  </c:pt>
                  <c:pt idx="71">
                    <c:v>673.5</c:v>
                  </c:pt>
                  <c:pt idx="72">
                    <c:v>678.6</c:v>
                  </c:pt>
                  <c:pt idx="73">
                    <c:v>683.9</c:v>
                  </c:pt>
                  <c:pt idx="74">
                    <c:v>689.1</c:v>
                  </c:pt>
                  <c:pt idx="75">
                    <c:v>693.9</c:v>
                  </c:pt>
                  <c:pt idx="76">
                    <c:v>699.8</c:v>
                  </c:pt>
                  <c:pt idx="77">
                    <c:v>705.2</c:v>
                  </c:pt>
                  <c:pt idx="78">
                    <c:v>712.1</c:v>
                  </c:pt>
                  <c:pt idx="79">
                    <c:v>720.3</c:v>
                  </c:pt>
                  <c:pt idx="80">
                    <c:v>733.8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142.1</c:v>
                  </c:pt>
                  <c:pt idx="1">
                    <c:v>173.4</c:v>
                  </c:pt>
                  <c:pt idx="2">
                    <c:v>215</c:v>
                  </c:pt>
                  <c:pt idx="3">
                    <c:v>248.3</c:v>
                  </c:pt>
                  <c:pt idx="4">
                    <c:v>270.7</c:v>
                  </c:pt>
                  <c:pt idx="5">
                    <c:v>291.2</c:v>
                  </c:pt>
                  <c:pt idx="6">
                    <c:v>308.6</c:v>
                  </c:pt>
                  <c:pt idx="7">
                    <c:v>324.2</c:v>
                  </c:pt>
                  <c:pt idx="8">
                    <c:v>338.5</c:v>
                  </c:pt>
                  <c:pt idx="9">
                    <c:v>351.6</c:v>
                  </c:pt>
                  <c:pt idx="10">
                    <c:v>363.5</c:v>
                  </c:pt>
                  <c:pt idx="11">
                    <c:v>374.4</c:v>
                  </c:pt>
                  <c:pt idx="12">
                    <c:v>384.5</c:v>
                  </c:pt>
                  <c:pt idx="13">
                    <c:v>394.2</c:v>
                  </c:pt>
                  <c:pt idx="14">
                    <c:v>404</c:v>
                  </c:pt>
                  <c:pt idx="15">
                    <c:v>413.2</c:v>
                  </c:pt>
                  <c:pt idx="16">
                    <c:v>421.9</c:v>
                  </c:pt>
                  <c:pt idx="17">
                    <c:v>430.1</c:v>
                  </c:pt>
                  <c:pt idx="18">
                    <c:v>438.5</c:v>
                  </c:pt>
                  <c:pt idx="19">
                    <c:v>446.5</c:v>
                  </c:pt>
                  <c:pt idx="20">
                    <c:v>454.4</c:v>
                  </c:pt>
                  <c:pt idx="21">
                    <c:v>462</c:v>
                  </c:pt>
                  <c:pt idx="22">
                    <c:v>469.5</c:v>
                  </c:pt>
                  <c:pt idx="23">
                    <c:v>476.7</c:v>
                  </c:pt>
                  <c:pt idx="24">
                    <c:v>483.7</c:v>
                  </c:pt>
                  <c:pt idx="25">
                    <c:v>490.4</c:v>
                  </c:pt>
                  <c:pt idx="26">
                    <c:v>496.8</c:v>
                  </c:pt>
                  <c:pt idx="27">
                    <c:v>502.6</c:v>
                  </c:pt>
                  <c:pt idx="28">
                    <c:v>508.1</c:v>
                  </c:pt>
                  <c:pt idx="29">
                    <c:v>513.7</c:v>
                  </c:pt>
                  <c:pt idx="30">
                    <c:v>519.1</c:v>
                  </c:pt>
                  <c:pt idx="31">
                    <c:v>524.2</c:v>
                  </c:pt>
                  <c:pt idx="32">
                    <c:v>528.8</c:v>
                  </c:pt>
                  <c:pt idx="33">
                    <c:v>533.2</c:v>
                  </c:pt>
                  <c:pt idx="34">
                    <c:v>537.4</c:v>
                  </c:pt>
                  <c:pt idx="35">
                    <c:v>541.5</c:v>
                  </c:pt>
                  <c:pt idx="36">
                    <c:v>545.3</c:v>
                  </c:pt>
                  <c:pt idx="37">
                    <c:v>549.4</c:v>
                  </c:pt>
                  <c:pt idx="38">
                    <c:v>553.2</c:v>
                  </c:pt>
                  <c:pt idx="39">
                    <c:v>556.9</c:v>
                  </c:pt>
                  <c:pt idx="40">
                    <c:v>560.4</c:v>
                  </c:pt>
                  <c:pt idx="41">
                    <c:v>563.8</c:v>
                  </c:pt>
                  <c:pt idx="42">
                    <c:v>567</c:v>
                  </c:pt>
                  <c:pt idx="43">
                    <c:v>570</c:v>
                  </c:pt>
                  <c:pt idx="44">
                    <c:v>573</c:v>
                  </c:pt>
                  <c:pt idx="45">
                    <c:v>576.1</c:v>
                  </c:pt>
                  <c:pt idx="46">
                    <c:v>579.2</c:v>
                  </c:pt>
                  <c:pt idx="47">
                    <c:v>582.4</c:v>
                  </c:pt>
                  <c:pt idx="48">
                    <c:v>585.5</c:v>
                  </c:pt>
                  <c:pt idx="49">
                    <c:v>588.5</c:v>
                  </c:pt>
                  <c:pt idx="50">
                    <c:v>591.6</c:v>
                  </c:pt>
                  <c:pt idx="51">
                    <c:v>594.7</c:v>
                  </c:pt>
                  <c:pt idx="52">
                    <c:v>597.8</c:v>
                  </c:pt>
                  <c:pt idx="53">
                    <c:v>601</c:v>
                  </c:pt>
                  <c:pt idx="54">
                    <c:v>604.3</c:v>
                  </c:pt>
                  <c:pt idx="55">
                    <c:v>607.6</c:v>
                  </c:pt>
                  <c:pt idx="56">
                    <c:v>610.9</c:v>
                  </c:pt>
                  <c:pt idx="57">
                    <c:v>614.3</c:v>
                  </c:pt>
                  <c:pt idx="58">
                    <c:v>617.8</c:v>
                  </c:pt>
                  <c:pt idx="59">
                    <c:v>621.4</c:v>
                  </c:pt>
                  <c:pt idx="60">
                    <c:v>625</c:v>
                  </c:pt>
                  <c:pt idx="61">
                    <c:v>628.6</c:v>
                  </c:pt>
                  <c:pt idx="62">
                    <c:v>632</c:v>
                  </c:pt>
                  <c:pt idx="63">
                    <c:v>635.5</c:v>
                  </c:pt>
                  <c:pt idx="64">
                    <c:v>639.3</c:v>
                  </c:pt>
                  <c:pt idx="65">
                    <c:v>643.3</c:v>
                  </c:pt>
                  <c:pt idx="66">
                    <c:v>647.4</c:v>
                  </c:pt>
                  <c:pt idx="67">
                    <c:v>651.4</c:v>
                  </c:pt>
                  <c:pt idx="68">
                    <c:v>655.2</c:v>
                  </c:pt>
                  <c:pt idx="69">
                    <c:v>659.4</c:v>
                  </c:pt>
                  <c:pt idx="70">
                    <c:v>664.4</c:v>
                  </c:pt>
                  <c:pt idx="71">
                    <c:v>669.7</c:v>
                  </c:pt>
                  <c:pt idx="72">
                    <c:v>674.4</c:v>
                  </c:pt>
                  <c:pt idx="73">
                    <c:v>680</c:v>
                  </c:pt>
                  <c:pt idx="74">
                    <c:v>685.4</c:v>
                  </c:pt>
                  <c:pt idx="75">
                    <c:v>691</c:v>
                  </c:pt>
                  <c:pt idx="76">
                    <c:v>696</c:v>
                  </c:pt>
                  <c:pt idx="77">
                    <c:v>702.3</c:v>
                  </c:pt>
                  <c:pt idx="78">
                    <c:v>708.5</c:v>
                  </c:pt>
                  <c:pt idx="79">
                    <c:v>716.3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436.7</c:v>
                  </c:pt>
                  <c:pt idx="1">
                    <c:v>499.2</c:v>
                  </c:pt>
                  <c:pt idx="2">
                    <c:v>527.2</c:v>
                  </c:pt>
                  <c:pt idx="3">
                    <c:v>538.6</c:v>
                  </c:pt>
                  <c:pt idx="4">
                    <c:v>546.5</c:v>
                  </c:pt>
                  <c:pt idx="5">
                    <c:v>553.1</c:v>
                  </c:pt>
                  <c:pt idx="6">
                    <c:v>558.5</c:v>
                  </c:pt>
                  <c:pt idx="7">
                    <c:v>563.2</c:v>
                  </c:pt>
                  <c:pt idx="8">
                    <c:v>567.4</c:v>
                  </c:pt>
                  <c:pt idx="9">
                    <c:v>571.1</c:v>
                  </c:pt>
                  <c:pt idx="10">
                    <c:v>574.7</c:v>
                  </c:pt>
                  <c:pt idx="11">
                    <c:v>578.2</c:v>
                  </c:pt>
                  <c:pt idx="12">
                    <c:v>581.7</c:v>
                  </c:pt>
                  <c:pt idx="13">
                    <c:v>585.1</c:v>
                  </c:pt>
                  <c:pt idx="14">
                    <c:v>588.4</c:v>
                  </c:pt>
                  <c:pt idx="15">
                    <c:v>591.6</c:v>
                  </c:pt>
                  <c:pt idx="16">
                    <c:v>594.8</c:v>
                  </c:pt>
                  <c:pt idx="17">
                    <c:v>598</c:v>
                  </c:pt>
                  <c:pt idx="18">
                    <c:v>601.2</c:v>
                  </c:pt>
                  <c:pt idx="19">
                    <c:v>604.6</c:v>
                  </c:pt>
                  <c:pt idx="20">
                    <c:v>607.9</c:v>
                  </c:pt>
                  <c:pt idx="21">
                    <c:v>611.2</c:v>
                  </c:pt>
                  <c:pt idx="22">
                    <c:v>614.5</c:v>
                  </c:pt>
                  <c:pt idx="23">
                    <c:v>618</c:v>
                  </c:pt>
                  <c:pt idx="24">
                    <c:v>621.5</c:v>
                  </c:pt>
                  <c:pt idx="25">
                    <c:v>624.9</c:v>
                  </c:pt>
                  <c:pt idx="26">
                    <c:v>628.4</c:v>
                  </c:pt>
                  <c:pt idx="27">
                    <c:v>631.8</c:v>
                  </c:pt>
                  <c:pt idx="28">
                    <c:v>635.2</c:v>
                  </c:pt>
                  <c:pt idx="29">
                    <c:v>638.8</c:v>
                  </c:pt>
                  <c:pt idx="30">
                    <c:v>642.6</c:v>
                  </c:pt>
                  <c:pt idx="31">
                    <c:v>646.5</c:v>
                  </c:pt>
                  <c:pt idx="32">
                    <c:v>650.2</c:v>
                  </c:pt>
                  <c:pt idx="33">
                    <c:v>654</c:v>
                  </c:pt>
                  <c:pt idx="34">
                    <c:v>657.6</c:v>
                  </c:pt>
                  <c:pt idx="35">
                    <c:v>662.3</c:v>
                  </c:pt>
                  <c:pt idx="36">
                    <c:v>667.3</c:v>
                  </c:pt>
                  <c:pt idx="37">
                    <c:v>672.1</c:v>
                  </c:pt>
                  <c:pt idx="38">
                    <c:v>677.2</c:v>
                  </c:pt>
                  <c:pt idx="39">
                    <c:v>683</c:v>
                  </c:pt>
                  <c:pt idx="40">
                    <c:v>688.5</c:v>
                  </c:pt>
                  <c:pt idx="41">
                    <c:v>693.9</c:v>
                  </c:pt>
                  <c:pt idx="42">
                    <c:v>700.7</c:v>
                  </c:pt>
                  <c:pt idx="43">
                    <c:v>708.3</c:v>
                  </c:pt>
                  <c:pt idx="44">
                    <c:v>721.3</c:v>
                  </c:pt>
                  <c:pt idx="45">
                    <c:v>-</c:v>
                  </c:pt>
                  <c:pt idx="46">
                    <c:v>-</c:v>
                  </c:pt>
                  <c:pt idx="47">
                    <c:v>-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462.3</c:v>
                  </c:pt>
                  <c:pt idx="1">
                    <c:v>528.9</c:v>
                  </c:pt>
                  <c:pt idx="2">
                    <c:v>546.9</c:v>
                  </c:pt>
                  <c:pt idx="3">
                    <c:v>555.2</c:v>
                  </c:pt>
                  <c:pt idx="4">
                    <c:v>561</c:v>
                  </c:pt>
                  <c:pt idx="5">
                    <c:v>565.7</c:v>
                  </c:pt>
                  <c:pt idx="6">
                    <c:v>569.7</c:v>
                  </c:pt>
                  <c:pt idx="7">
                    <c:v>573.2</c:v>
                  </c:pt>
                  <c:pt idx="8">
                    <c:v>576.7</c:v>
                  </c:pt>
                  <c:pt idx="9">
                    <c:v>580.1</c:v>
                  </c:pt>
                  <c:pt idx="10">
                    <c:v>583.4</c:v>
                  </c:pt>
                  <c:pt idx="11">
                    <c:v>586.6</c:v>
                  </c:pt>
                  <c:pt idx="12">
                    <c:v>589.6</c:v>
                  </c:pt>
                  <c:pt idx="13">
                    <c:v>592.6</c:v>
                  </c:pt>
                  <c:pt idx="14">
                    <c:v>595.6</c:v>
                  </c:pt>
                  <c:pt idx="15">
                    <c:v>598.5</c:v>
                  </c:pt>
                  <c:pt idx="16">
                    <c:v>601.4</c:v>
                  </c:pt>
                  <c:pt idx="17">
                    <c:v>604.4</c:v>
                  </c:pt>
                  <c:pt idx="18">
                    <c:v>607.3</c:v>
                  </c:pt>
                  <c:pt idx="19">
                    <c:v>610.2</c:v>
                  </c:pt>
                  <c:pt idx="20">
                    <c:v>613.1</c:v>
                  </c:pt>
                  <c:pt idx="21">
                    <c:v>616.1</c:v>
                  </c:pt>
                  <c:pt idx="22">
                    <c:v>619.2</c:v>
                  </c:pt>
                  <c:pt idx="23">
                    <c:v>622.3</c:v>
                  </c:pt>
                  <c:pt idx="24">
                    <c:v>625.3</c:v>
                  </c:pt>
                  <c:pt idx="25">
                    <c:v>628.4</c:v>
                  </c:pt>
                  <c:pt idx="26">
                    <c:v>631.4</c:v>
                  </c:pt>
                  <c:pt idx="27">
                    <c:v>634.4</c:v>
                  </c:pt>
                  <c:pt idx="28">
                    <c:v>637.5</c:v>
                  </c:pt>
                  <c:pt idx="29">
                    <c:v>640.8</c:v>
                  </c:pt>
                  <c:pt idx="30">
                    <c:v>644.2</c:v>
                  </c:pt>
                  <c:pt idx="31">
                    <c:v>647.6</c:v>
                  </c:pt>
                  <c:pt idx="32">
                    <c:v>650.9</c:v>
                  </c:pt>
                  <c:pt idx="33">
                    <c:v>654.2</c:v>
                  </c:pt>
                  <c:pt idx="34">
                    <c:v>657.5</c:v>
                  </c:pt>
                  <c:pt idx="35">
                    <c:v>661.5</c:v>
                  </c:pt>
                  <c:pt idx="36">
                    <c:v>665.8</c:v>
                  </c:pt>
                  <c:pt idx="37">
                    <c:v>670.3</c:v>
                  </c:pt>
                  <c:pt idx="38">
                    <c:v>674.2</c:v>
                  </c:pt>
                  <c:pt idx="39">
                    <c:v>679.2</c:v>
                  </c:pt>
                  <c:pt idx="40">
                    <c:v>683.9</c:v>
                  </c:pt>
                  <c:pt idx="41">
                    <c:v>688.5</c:v>
                  </c:pt>
                  <c:pt idx="42">
                    <c:v>693</c:v>
                  </c:pt>
                  <c:pt idx="43">
                    <c:v>697.8</c:v>
                  </c:pt>
                  <c:pt idx="44">
                    <c:v>702.9</c:v>
                  </c:pt>
                  <c:pt idx="45">
                    <c:v>708.2</c:v>
                  </c:pt>
                  <c:pt idx="46">
                    <c:v>715.3</c:v>
                  </c:pt>
                  <c:pt idx="47">
                    <c:v>724.1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375.98</c:v>
                  </c:pt>
                  <c:pt idx="1">
                    <c:v>402</c:v>
                  </c:pt>
                  <c:pt idx="2">
                    <c:v>422</c:v>
                  </c:pt>
                  <c:pt idx="3">
                    <c:v>462</c:v>
                  </c:pt>
                  <c:pt idx="4">
                    <c:v>489</c:v>
                  </c:pt>
                  <c:pt idx="5">
                    <c:v>510</c:v>
                  </c:pt>
                  <c:pt idx="6">
                    <c:v>518</c:v>
                  </c:pt>
                  <c:pt idx="7">
                    <c:v>525</c:v>
                  </c:pt>
                  <c:pt idx="8">
                    <c:v>533</c:v>
                  </c:pt>
                  <c:pt idx="9">
                    <c:v>538</c:v>
                  </c:pt>
                  <c:pt idx="10">
                    <c:v>543.5</c:v>
                  </c:pt>
                  <c:pt idx="11">
                    <c:v>548</c:v>
                  </c:pt>
                  <c:pt idx="12">
                    <c:v>553</c:v>
                  </c:pt>
                  <c:pt idx="13">
                    <c:v>556</c:v>
                  </c:pt>
                  <c:pt idx="14">
                    <c:v>560</c:v>
                  </c:pt>
                  <c:pt idx="15">
                    <c:v>563</c:v>
                  </c:pt>
                  <c:pt idx="16">
                    <c:v>566</c:v>
                  </c:pt>
                  <c:pt idx="17">
                    <c:v>569</c:v>
                  </c:pt>
                  <c:pt idx="18">
                    <c:v>572</c:v>
                  </c:pt>
                  <c:pt idx="19">
                    <c:v>575</c:v>
                  </c:pt>
                  <c:pt idx="20">
                    <c:v>578</c:v>
                  </c:pt>
                  <c:pt idx="21">
                    <c:v>581</c:v>
                  </c:pt>
                  <c:pt idx="22">
                    <c:v>584</c:v>
                  </c:pt>
                  <c:pt idx="23">
                    <c:v>587</c:v>
                  </c:pt>
                  <c:pt idx="24">
                    <c:v>590</c:v>
                  </c:pt>
                  <c:pt idx="25">
                    <c:v>593</c:v>
                  </c:pt>
                  <c:pt idx="26">
                    <c:v>595</c:v>
                  </c:pt>
                  <c:pt idx="27">
                    <c:v>598</c:v>
                  </c:pt>
                  <c:pt idx="28">
                    <c:v>600</c:v>
                  </c:pt>
                  <c:pt idx="29">
                    <c:v>602</c:v>
                  </c:pt>
                  <c:pt idx="30">
                    <c:v>606</c:v>
                  </c:pt>
                  <c:pt idx="31">
                    <c:v>609</c:v>
                  </c:pt>
                  <c:pt idx="32">
                    <c:v>611</c:v>
                  </c:pt>
                  <c:pt idx="33">
                    <c:v>614</c:v>
                  </c:pt>
                  <c:pt idx="34">
                    <c:v>617</c:v>
                  </c:pt>
                  <c:pt idx="35">
                    <c:v>620</c:v>
                  </c:pt>
                  <c:pt idx="36">
                    <c:v>622</c:v>
                  </c:pt>
                  <c:pt idx="37">
                    <c:v>626</c:v>
                  </c:pt>
                  <c:pt idx="38">
                    <c:v>630</c:v>
                  </c:pt>
                  <c:pt idx="39">
                    <c:v>632</c:v>
                  </c:pt>
                  <c:pt idx="40">
                    <c:v>635</c:v>
                  </c:pt>
                  <c:pt idx="41">
                    <c:v>638</c:v>
                  </c:pt>
                  <c:pt idx="42">
                    <c:v>641</c:v>
                  </c:pt>
                  <c:pt idx="43">
                    <c:v>644</c:v>
                  </c:pt>
                  <c:pt idx="44">
                    <c:v>647</c:v>
                  </c:pt>
                  <c:pt idx="45">
                    <c:v>650</c:v>
                  </c:pt>
                  <c:pt idx="46">
                    <c:v>654</c:v>
                  </c:pt>
                  <c:pt idx="47">
                    <c:v>657</c:v>
                  </c:pt>
                  <c:pt idx="48">
                    <c:v>661</c:v>
                  </c:pt>
                  <c:pt idx="49">
                    <c:v>664</c:v>
                  </c:pt>
                  <c:pt idx="50">
                    <c:v>667</c:v>
                  </c:pt>
                  <c:pt idx="51">
                    <c:v>671</c:v>
                  </c:pt>
                  <c:pt idx="52">
                    <c:v>675</c:v>
                  </c:pt>
                  <c:pt idx="53">
                    <c:v>678</c:v>
                  </c:pt>
                  <c:pt idx="54">
                    <c:v>682</c:v>
                  </c:pt>
                  <c:pt idx="55">
                    <c:v>687</c:v>
                  </c:pt>
                  <c:pt idx="56">
                    <c:v>691</c:v>
                  </c:pt>
                  <c:pt idx="57">
                    <c:v>694</c:v>
                  </c:pt>
                  <c:pt idx="58">
                    <c:v>698</c:v>
                  </c:pt>
                  <c:pt idx="59">
                    <c:v>702</c:v>
                  </c:pt>
                  <c:pt idx="60">
                    <c:v>705</c:v>
                  </c:pt>
                  <c:pt idx="61">
                    <c:v>708</c:v>
                  </c:pt>
                  <c:pt idx="62">
                    <c:v>713</c:v>
                  </c:pt>
                  <c:pt idx="63">
                    <c:v>718</c:v>
                  </c:pt>
                  <c:pt idx="64">
                    <c:v>720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560</c:v>
                  </c:pt>
                  <c:pt idx="1">
                    <c:v>560</c:v>
                  </c:pt>
                  <c:pt idx="2">
                    <c:v>560</c:v>
                  </c:pt>
                  <c:pt idx="3">
                    <c:v>560</c:v>
                  </c:pt>
                  <c:pt idx="4">
                    <c:v>560</c:v>
                  </c:pt>
                  <c:pt idx="5">
                    <c:v>560</c:v>
                  </c:pt>
                  <c:pt idx="6">
                    <c:v>560</c:v>
                  </c:pt>
                  <c:pt idx="7">
                    <c:v>560</c:v>
                  </c:pt>
                  <c:pt idx="8">
                    <c:v>560</c:v>
                  </c:pt>
                  <c:pt idx="9">
                    <c:v>560</c:v>
                  </c:pt>
                  <c:pt idx="10">
                    <c:v>560</c:v>
                  </c:pt>
                  <c:pt idx="11">
                    <c:v>560</c:v>
                  </c:pt>
                  <c:pt idx="12">
                    <c:v>560</c:v>
                  </c:pt>
                  <c:pt idx="13">
                    <c:v>560</c:v>
                  </c:pt>
                  <c:pt idx="14">
                    <c:v>560</c:v>
                  </c:pt>
                  <c:pt idx="15">
                    <c:v>560</c:v>
                  </c:pt>
                  <c:pt idx="16">
                    <c:v>560</c:v>
                  </c:pt>
                  <c:pt idx="17">
                    <c:v>560</c:v>
                  </c:pt>
                  <c:pt idx="18">
                    <c:v>560</c:v>
                  </c:pt>
                  <c:pt idx="19">
                    <c:v>560</c:v>
                  </c:pt>
                  <c:pt idx="20">
                    <c:v>560</c:v>
                  </c:pt>
                  <c:pt idx="21">
                    <c:v>560</c:v>
                  </c:pt>
                  <c:pt idx="22">
                    <c:v>560</c:v>
                  </c:pt>
                  <c:pt idx="23">
                    <c:v>560</c:v>
                  </c:pt>
                  <c:pt idx="24">
                    <c:v>560</c:v>
                  </c:pt>
                  <c:pt idx="25">
                    <c:v>560</c:v>
                  </c:pt>
                  <c:pt idx="26">
                    <c:v>560</c:v>
                  </c:pt>
                  <c:pt idx="27">
                    <c:v>560</c:v>
                  </c:pt>
                  <c:pt idx="28">
                    <c:v>560</c:v>
                  </c:pt>
                  <c:pt idx="29">
                    <c:v>560</c:v>
                  </c:pt>
                  <c:pt idx="30">
                    <c:v>560</c:v>
                  </c:pt>
                  <c:pt idx="31">
                    <c:v>560</c:v>
                  </c:pt>
                  <c:pt idx="32">
                    <c:v>560</c:v>
                  </c:pt>
                  <c:pt idx="33">
                    <c:v>560</c:v>
                  </c:pt>
                  <c:pt idx="34">
                    <c:v>560</c:v>
                  </c:pt>
                  <c:pt idx="35">
                    <c:v>560</c:v>
                  </c:pt>
                  <c:pt idx="36">
                    <c:v>560</c:v>
                  </c:pt>
                  <c:pt idx="37">
                    <c:v>560</c:v>
                  </c:pt>
                  <c:pt idx="38">
                    <c:v>560</c:v>
                  </c:pt>
                  <c:pt idx="39">
                    <c:v>560</c:v>
                  </c:pt>
                  <c:pt idx="40">
                    <c:v>560</c:v>
                  </c:pt>
                  <c:pt idx="41">
                    <c:v>560</c:v>
                  </c:pt>
                  <c:pt idx="42">
                    <c:v>560</c:v>
                  </c:pt>
                  <c:pt idx="43">
                    <c:v>560</c:v>
                  </c:pt>
                  <c:pt idx="44">
                    <c:v>560</c:v>
                  </c:pt>
                  <c:pt idx="45">
                    <c:v>560</c:v>
                  </c:pt>
                  <c:pt idx="46">
                    <c:v>560</c:v>
                  </c:pt>
                  <c:pt idx="47">
                    <c:v>560</c:v>
                  </c:pt>
                  <c:pt idx="48">
                    <c:v>560</c:v>
                  </c:pt>
                  <c:pt idx="49">
                    <c:v>560</c:v>
                  </c:pt>
                  <c:pt idx="50">
                    <c:v>560</c:v>
                  </c:pt>
                  <c:pt idx="51">
                    <c:v>560</c:v>
                  </c:pt>
                  <c:pt idx="52">
                    <c:v>560</c:v>
                  </c:pt>
                  <c:pt idx="53">
                    <c:v>560</c:v>
                  </c:pt>
                  <c:pt idx="54">
                    <c:v>560</c:v>
                  </c:pt>
                  <c:pt idx="55">
                    <c:v>560</c:v>
                  </c:pt>
                  <c:pt idx="56">
                    <c:v>560</c:v>
                  </c:pt>
                  <c:pt idx="57">
                    <c:v>560</c:v>
                  </c:pt>
                  <c:pt idx="58">
                    <c:v>560</c:v>
                  </c:pt>
                  <c:pt idx="59">
                    <c:v>560</c:v>
                  </c:pt>
                  <c:pt idx="60">
                    <c:v>560</c:v>
                  </c:pt>
                  <c:pt idx="61">
                    <c:v>560</c:v>
                  </c:pt>
                  <c:pt idx="62">
                    <c:v>560</c:v>
                  </c:pt>
                  <c:pt idx="63">
                    <c:v>560</c:v>
                  </c:pt>
                  <c:pt idx="64">
                    <c:v>560</c:v>
                  </c:pt>
                  <c:pt idx="65">
                    <c:v>560</c:v>
                  </c:pt>
                  <c:pt idx="66">
                    <c:v>560</c:v>
                  </c:pt>
                  <c:pt idx="67">
                    <c:v>560</c:v>
                  </c:pt>
                  <c:pt idx="68">
                    <c:v>560</c:v>
                  </c:pt>
                  <c:pt idx="69">
                    <c:v>560</c:v>
                  </c:pt>
                  <c:pt idx="70">
                    <c:v>560</c:v>
                  </c:pt>
                  <c:pt idx="71">
                    <c:v>560</c:v>
                  </c:pt>
                  <c:pt idx="72">
                    <c:v>560</c:v>
                  </c:pt>
                  <c:pt idx="73">
                    <c:v>560</c:v>
                  </c:pt>
                  <c:pt idx="74">
                    <c:v>560</c:v>
                  </c:pt>
                  <c:pt idx="75">
                    <c:v>560</c:v>
                  </c:pt>
                  <c:pt idx="76">
                    <c:v>560</c:v>
                  </c:pt>
                  <c:pt idx="77">
                    <c:v>560</c:v>
                  </c:pt>
                  <c:pt idx="78">
                    <c:v>560</c:v>
                  </c:pt>
                  <c:pt idx="79">
                    <c:v>560</c:v>
                  </c:pt>
                  <c:pt idx="80">
                    <c:v>560</c:v>
                  </c:pt>
                  <c:pt idx="81">
                    <c:v>560</c:v>
                  </c:pt>
                  <c:pt idx="82">
                    <c:v>560</c:v>
                  </c:pt>
                  <c:pt idx="83">
                    <c:v>560</c:v>
                  </c:pt>
                  <c:pt idx="84">
                    <c:v>560</c:v>
                  </c:pt>
                  <c:pt idx="85">
                    <c:v>560</c:v>
                  </c:pt>
                  <c:pt idx="86">
                    <c:v>560</c:v>
                  </c:pt>
                  <c:pt idx="87">
                    <c:v>560</c:v>
                  </c:pt>
                  <c:pt idx="88">
                    <c:v>560</c:v>
                  </c:pt>
                  <c:pt idx="89">
                    <c:v>560</c:v>
                  </c:pt>
                  <c:pt idx="90">
                    <c:v>560</c:v>
                  </c:pt>
                  <c:pt idx="91">
                    <c:v>560</c:v>
                  </c:pt>
                  <c:pt idx="92">
                    <c:v>560</c:v>
                  </c:pt>
                  <c:pt idx="93">
                    <c:v>560</c:v>
                  </c:pt>
                  <c:pt idx="94">
                    <c:v>560</c:v>
                  </c:pt>
                  <c:pt idx="95">
                    <c:v>560</c:v>
                  </c:pt>
                  <c:pt idx="96">
                    <c:v>560</c:v>
                  </c:pt>
                  <c:pt idx="97">
                    <c:v>560</c:v>
                  </c:pt>
                  <c:pt idx="98">
                    <c:v>560</c:v>
                  </c:pt>
                  <c:pt idx="99">
                    <c:v>560</c:v>
                  </c:pt>
                  <c:pt idx="100">
                    <c:v>560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500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500</c:v>
                  </c:pt>
                  <c:pt idx="10">
                    <c:v>500</c:v>
                  </c:pt>
                  <c:pt idx="11">
                    <c:v>500</c:v>
                  </c:pt>
                  <c:pt idx="12">
                    <c:v>500</c:v>
                  </c:pt>
                  <c:pt idx="13">
                    <c:v>500</c:v>
                  </c:pt>
                  <c:pt idx="14">
                    <c:v>500</c:v>
                  </c:pt>
                  <c:pt idx="15">
                    <c:v>500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500</c:v>
                  </c:pt>
                  <c:pt idx="21">
                    <c:v>500</c:v>
                  </c:pt>
                  <c:pt idx="22">
                    <c:v>500</c:v>
                  </c:pt>
                  <c:pt idx="23">
                    <c:v>500</c:v>
                  </c:pt>
                  <c:pt idx="24">
                    <c:v>500</c:v>
                  </c:pt>
                  <c:pt idx="25">
                    <c:v>500</c:v>
                  </c:pt>
                  <c:pt idx="26">
                    <c:v>500</c:v>
                  </c:pt>
                  <c:pt idx="27">
                    <c:v>500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500</c:v>
                  </c:pt>
                  <c:pt idx="33">
                    <c:v>500</c:v>
                  </c:pt>
                  <c:pt idx="34">
                    <c:v>500</c:v>
                  </c:pt>
                  <c:pt idx="35">
                    <c:v>500</c:v>
                  </c:pt>
                  <c:pt idx="36">
                    <c:v>500</c:v>
                  </c:pt>
                  <c:pt idx="37">
                    <c:v>500</c:v>
                  </c:pt>
                  <c:pt idx="38">
                    <c:v>500</c:v>
                  </c:pt>
                  <c:pt idx="39">
                    <c:v>500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500</c:v>
                  </c:pt>
                  <c:pt idx="45">
                    <c:v>500</c:v>
                  </c:pt>
                  <c:pt idx="46">
                    <c:v>500</c:v>
                  </c:pt>
                  <c:pt idx="47">
                    <c:v>500</c:v>
                  </c:pt>
                  <c:pt idx="48">
                    <c:v>500</c:v>
                  </c:pt>
                  <c:pt idx="49">
                    <c:v>500</c:v>
                  </c:pt>
                  <c:pt idx="50">
                    <c:v>500</c:v>
                  </c:pt>
                  <c:pt idx="51">
                    <c:v>500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500</c:v>
                  </c:pt>
                  <c:pt idx="57">
                    <c:v>500</c:v>
                  </c:pt>
                  <c:pt idx="58">
                    <c:v>500</c:v>
                  </c:pt>
                  <c:pt idx="59">
                    <c:v>500</c:v>
                  </c:pt>
                  <c:pt idx="60">
                    <c:v>500</c:v>
                  </c:pt>
                  <c:pt idx="61">
                    <c:v>500</c:v>
                  </c:pt>
                  <c:pt idx="62">
                    <c:v>500</c:v>
                  </c:pt>
                  <c:pt idx="63">
                    <c:v>500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500</c:v>
                  </c:pt>
                  <c:pt idx="69">
                    <c:v>500</c:v>
                  </c:pt>
                  <c:pt idx="70">
                    <c:v>500</c:v>
                  </c:pt>
                  <c:pt idx="71">
                    <c:v>500</c:v>
                  </c:pt>
                  <c:pt idx="72">
                    <c:v>500</c:v>
                  </c:pt>
                  <c:pt idx="73">
                    <c:v>500</c:v>
                  </c:pt>
                  <c:pt idx="74">
                    <c:v>500</c:v>
                  </c:pt>
                  <c:pt idx="75">
                    <c:v>500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500</c:v>
                  </c:pt>
                  <c:pt idx="81">
                    <c:v>500</c:v>
                  </c:pt>
                  <c:pt idx="82">
                    <c:v>500</c:v>
                  </c:pt>
                  <c:pt idx="83">
                    <c:v>500</c:v>
                  </c:pt>
                  <c:pt idx="84">
                    <c:v>500</c:v>
                  </c:pt>
                  <c:pt idx="85">
                    <c:v>500</c:v>
                  </c:pt>
                  <c:pt idx="86">
                    <c:v>500</c:v>
                  </c:pt>
                  <c:pt idx="87">
                    <c:v>500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500</c:v>
                  </c:pt>
                  <c:pt idx="93">
                    <c:v>500</c:v>
                  </c:pt>
                  <c:pt idx="94">
                    <c:v>500</c:v>
                  </c:pt>
                  <c:pt idx="95">
                    <c:v>500</c:v>
                  </c:pt>
                  <c:pt idx="96">
                    <c:v>500</c:v>
                  </c:pt>
                  <c:pt idx="97">
                    <c:v>500</c:v>
                  </c:pt>
                  <c:pt idx="98">
                    <c:v>500</c:v>
                  </c:pt>
                  <c:pt idx="99">
                    <c:v>500</c:v>
                  </c:pt>
                  <c:pt idx="100">
                    <c:v>500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82</c:v>
                  </c:pt>
                  <c:pt idx="83">
                    <c:v>83</c:v>
                  </c:pt>
                  <c:pt idx="84">
                    <c:v>84</c:v>
                  </c:pt>
                  <c:pt idx="85">
                    <c:v>85</c:v>
                  </c:pt>
                  <c:pt idx="86">
                    <c:v>86</c:v>
                  </c:pt>
                  <c:pt idx="87">
                    <c:v>87</c:v>
                  </c:pt>
                  <c:pt idx="88">
                    <c:v>88</c:v>
                  </c:pt>
                  <c:pt idx="89">
                    <c:v>89</c:v>
                  </c:pt>
                  <c:pt idx="90">
                    <c:v>90</c:v>
                  </c:pt>
                  <c:pt idx="91">
                    <c:v>91</c:v>
                  </c:pt>
                  <c:pt idx="92">
                    <c:v>92</c:v>
                  </c:pt>
                  <c:pt idx="93">
                    <c:v>93</c:v>
                  </c:pt>
                  <c:pt idx="94">
                    <c:v>94</c:v>
                  </c:pt>
                  <c:pt idx="95">
                    <c:v>95</c:v>
                  </c:pt>
                  <c:pt idx="96">
                    <c:v>96</c:v>
                  </c:pt>
                  <c:pt idx="97">
                    <c:v>97</c:v>
                  </c:pt>
                  <c:pt idx="98">
                    <c:v>98</c:v>
                  </c:pt>
                  <c:pt idx="99">
                    <c:v>99</c:v>
                  </c:pt>
                  <c:pt idx="100">
                    <c:v>100</c:v>
                  </c:pt>
                </c:lvl>
              </c:multiLvlStrCache>
            </c:multiLvlStrRef>
          </c:xVal>
          <c:yVal>
            <c:numRef>
              <c:f>'HPS Comparing'!$X$10:$X$110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9C-40CC-835F-A10742FCB657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'HPS Comparing'!$D$10:$N$110</c:f>
              <c:multiLvlStrCache>
                <c:ptCount val="101"/>
                <c:lvl>
                  <c:pt idx="0">
                    <c:v>95.5</c:v>
                  </c:pt>
                  <c:pt idx="1">
                    <c:v>125.7</c:v>
                  </c:pt>
                  <c:pt idx="2">
                    <c:v>155.6</c:v>
                  </c:pt>
                  <c:pt idx="3">
                    <c:v>174.7</c:v>
                  </c:pt>
                  <c:pt idx="4">
                    <c:v>190.5</c:v>
                  </c:pt>
                  <c:pt idx="5">
                    <c:v>203.2</c:v>
                  </c:pt>
                  <c:pt idx="6">
                    <c:v>216</c:v>
                  </c:pt>
                  <c:pt idx="7">
                    <c:v>226</c:v>
                  </c:pt>
                  <c:pt idx="8">
                    <c:v>235.1</c:v>
                  </c:pt>
                  <c:pt idx="9">
                    <c:v>245.2</c:v>
                  </c:pt>
                  <c:pt idx="10">
                    <c:v>253.3</c:v>
                  </c:pt>
                  <c:pt idx="11">
                    <c:v>262.5</c:v>
                  </c:pt>
                  <c:pt idx="12">
                    <c:v>270.2</c:v>
                  </c:pt>
                  <c:pt idx="13">
                    <c:v>278.8</c:v>
                  </c:pt>
                  <c:pt idx="14">
                    <c:v>286.4</c:v>
                  </c:pt>
                  <c:pt idx="15">
                    <c:v>294.1</c:v>
                  </c:pt>
                  <c:pt idx="16">
                    <c:v>301</c:v>
                  </c:pt>
                  <c:pt idx="17">
                    <c:v>308</c:v>
                  </c:pt>
                  <c:pt idx="18">
                    <c:v>314.9</c:v>
                  </c:pt>
                  <c:pt idx="19">
                    <c:v>321.3</c:v>
                  </c:pt>
                  <c:pt idx="20">
                    <c:v>328.2</c:v>
                  </c:pt>
                  <c:pt idx="21">
                    <c:v>334.2</c:v>
                  </c:pt>
                  <c:pt idx="22">
                    <c:v>340.8</c:v>
                  </c:pt>
                  <c:pt idx="23">
                    <c:v>346.4</c:v>
                  </c:pt>
                  <c:pt idx="24">
                    <c:v>352.3</c:v>
                  </c:pt>
                  <c:pt idx="25">
                    <c:v>357.5</c:v>
                  </c:pt>
                  <c:pt idx="26">
                    <c:v>363.2</c:v>
                  </c:pt>
                  <c:pt idx="27">
                    <c:v>368.5</c:v>
                  </c:pt>
                  <c:pt idx="28">
                    <c:v>375.1</c:v>
                  </c:pt>
                  <c:pt idx="29">
                    <c:v>381.5</c:v>
                  </c:pt>
                  <c:pt idx="30">
                    <c:v>388.2</c:v>
                  </c:pt>
                  <c:pt idx="31">
                    <c:v>393.9</c:v>
                  </c:pt>
                  <c:pt idx="32">
                    <c:v>399.4</c:v>
                  </c:pt>
                  <c:pt idx="33">
                    <c:v>404.7</c:v>
                  </c:pt>
                  <c:pt idx="34">
                    <c:v>410</c:v>
                  </c:pt>
                  <c:pt idx="35">
                    <c:v>415.6</c:v>
                  </c:pt>
                  <c:pt idx="36">
                    <c:v>421</c:v>
                  </c:pt>
                  <c:pt idx="37">
                    <c:v>427</c:v>
                  </c:pt>
                  <c:pt idx="38">
                    <c:v>432.5</c:v>
                  </c:pt>
                  <c:pt idx="39">
                    <c:v>438.1</c:v>
                  </c:pt>
                  <c:pt idx="40">
                    <c:v>443.3</c:v>
                  </c:pt>
                  <c:pt idx="41">
                    <c:v>448.5</c:v>
                  </c:pt>
                  <c:pt idx="42">
                    <c:v>454.3</c:v>
                  </c:pt>
                  <c:pt idx="43">
                    <c:v>459.9</c:v>
                  </c:pt>
                  <c:pt idx="44">
                    <c:v>465.4</c:v>
                  </c:pt>
                  <c:pt idx="45">
                    <c:v>471</c:v>
                  </c:pt>
                  <c:pt idx="46">
                    <c:v>476.4</c:v>
                  </c:pt>
                  <c:pt idx="47">
                    <c:v>481.9</c:v>
                  </c:pt>
                  <c:pt idx="48">
                    <c:v>487.5</c:v>
                  </c:pt>
                  <c:pt idx="49">
                    <c:v>493.2</c:v>
                  </c:pt>
                  <c:pt idx="50">
                    <c:v>498.4</c:v>
                  </c:pt>
                  <c:pt idx="51">
                    <c:v>503.4</c:v>
                  </c:pt>
                  <c:pt idx="52">
                    <c:v>508.3</c:v>
                  </c:pt>
                  <c:pt idx="53">
                    <c:v>513.7</c:v>
                  </c:pt>
                  <c:pt idx="54">
                    <c:v>519.1</c:v>
                  </c:pt>
                  <c:pt idx="55">
                    <c:v>524.2</c:v>
                  </c:pt>
                  <c:pt idx="56">
                    <c:v>529.1</c:v>
                  </c:pt>
                  <c:pt idx="57">
                    <c:v>533.9</c:v>
                  </c:pt>
                  <c:pt idx="58">
                    <c:v>538.7</c:v>
                  </c:pt>
                  <c:pt idx="59">
                    <c:v>543.3</c:v>
                  </c:pt>
                  <c:pt idx="60">
                    <c:v>548.1</c:v>
                  </c:pt>
                  <c:pt idx="61">
                    <c:v>552.8</c:v>
                  </c:pt>
                  <c:pt idx="62">
                    <c:v>557.4</c:v>
                  </c:pt>
                  <c:pt idx="63">
                    <c:v>561.8</c:v>
                  </c:pt>
                  <c:pt idx="64">
                    <c:v>566.1</c:v>
                  </c:pt>
                  <c:pt idx="65">
                    <c:v>570.2</c:v>
                  </c:pt>
                  <c:pt idx="66">
                    <c:v>574.2</c:v>
                  </c:pt>
                  <c:pt idx="67">
                    <c:v>578.5</c:v>
                  </c:pt>
                  <c:pt idx="68">
                    <c:v>582.9</c:v>
                  </c:pt>
                  <c:pt idx="69">
                    <c:v>587.2</c:v>
                  </c:pt>
                  <c:pt idx="70">
                    <c:v>591.6</c:v>
                  </c:pt>
                  <c:pt idx="71">
                    <c:v>596</c:v>
                  </c:pt>
                  <c:pt idx="72">
                    <c:v>600.5</c:v>
                  </c:pt>
                  <c:pt idx="73">
                    <c:v>605.3</c:v>
                  </c:pt>
                  <c:pt idx="74">
                    <c:v>610.3</c:v>
                  </c:pt>
                  <c:pt idx="75">
                    <c:v>615.3</c:v>
                  </c:pt>
                  <c:pt idx="76">
                    <c:v>620.9</c:v>
                  </c:pt>
                  <c:pt idx="77">
                    <c:v>626.4</c:v>
                  </c:pt>
                  <c:pt idx="78">
                    <c:v>632.1</c:v>
                  </c:pt>
                  <c:pt idx="79">
                    <c:v>638</c:v>
                  </c:pt>
                  <c:pt idx="80">
                    <c:v>644.6</c:v>
                  </c:pt>
                  <c:pt idx="81">
                    <c:v>651.6</c:v>
                  </c:pt>
                  <c:pt idx="82">
                    <c:v>658.6</c:v>
                  </c:pt>
                  <c:pt idx="83">
                    <c:v>667.9</c:v>
                  </c:pt>
                  <c:pt idx="84">
                    <c:v>677.4</c:v>
                  </c:pt>
                  <c:pt idx="85">
                    <c:v>688.1</c:v>
                  </c:pt>
                  <c:pt idx="86">
                    <c:v>698.6</c:v>
                  </c:pt>
                  <c:pt idx="87">
                    <c:v>709.6</c:v>
                  </c:pt>
                  <c:pt idx="88">
                    <c:v>722.6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133.6</c:v>
                  </c:pt>
                  <c:pt idx="1">
                    <c:v>179.1</c:v>
                  </c:pt>
                  <c:pt idx="2">
                    <c:v>224.9</c:v>
                  </c:pt>
                  <c:pt idx="3">
                    <c:v>255.3</c:v>
                  </c:pt>
                  <c:pt idx="4">
                    <c:v>279.7</c:v>
                  </c:pt>
                  <c:pt idx="5">
                    <c:v>300.9</c:v>
                  </c:pt>
                  <c:pt idx="6">
                    <c:v>317.7</c:v>
                  </c:pt>
                  <c:pt idx="7">
                    <c:v>332.7</c:v>
                  </c:pt>
                  <c:pt idx="8">
                    <c:v>345.9</c:v>
                  </c:pt>
                  <c:pt idx="9">
                    <c:v>357.3</c:v>
                  </c:pt>
                  <c:pt idx="10">
                    <c:v>367.8</c:v>
                  </c:pt>
                  <c:pt idx="11">
                    <c:v>379.7</c:v>
                  </c:pt>
                  <c:pt idx="12">
                    <c:v>391.3</c:v>
                  </c:pt>
                  <c:pt idx="13">
                    <c:v>400</c:v>
                  </c:pt>
                  <c:pt idx="14">
                    <c:v>408.3</c:v>
                  </c:pt>
                  <c:pt idx="15">
                    <c:v>417</c:v>
                  </c:pt>
                  <c:pt idx="16">
                    <c:v>426.3</c:v>
                  </c:pt>
                  <c:pt idx="17">
                    <c:v>434.6</c:v>
                  </c:pt>
                  <c:pt idx="18">
                    <c:v>442.1</c:v>
                  </c:pt>
                  <c:pt idx="19">
                    <c:v>449.4</c:v>
                  </c:pt>
                  <c:pt idx="20">
                    <c:v>457.4</c:v>
                  </c:pt>
                  <c:pt idx="21">
                    <c:v>465.2</c:v>
                  </c:pt>
                  <c:pt idx="22">
                    <c:v>472.3</c:v>
                  </c:pt>
                  <c:pt idx="23">
                    <c:v>479</c:v>
                  </c:pt>
                  <c:pt idx="24">
                    <c:v>486.1</c:v>
                  </c:pt>
                  <c:pt idx="25">
                    <c:v>493.1</c:v>
                  </c:pt>
                  <c:pt idx="26">
                    <c:v>499.3</c:v>
                  </c:pt>
                  <c:pt idx="27">
                    <c:v>505</c:v>
                  </c:pt>
                  <c:pt idx="28">
                    <c:v>510.6</c:v>
                  </c:pt>
                  <c:pt idx="29">
                    <c:v>516.6</c:v>
                  </c:pt>
                  <c:pt idx="30">
                    <c:v>522.4</c:v>
                  </c:pt>
                  <c:pt idx="31">
                    <c:v>527.4</c:v>
                  </c:pt>
                  <c:pt idx="32">
                    <c:v>532.2</c:v>
                  </c:pt>
                  <c:pt idx="33">
                    <c:v>536.7</c:v>
                  </c:pt>
                  <c:pt idx="34">
                    <c:v>541.2</c:v>
                  </c:pt>
                  <c:pt idx="35">
                    <c:v>545.5</c:v>
                  </c:pt>
                  <c:pt idx="36">
                    <c:v>549.8</c:v>
                  </c:pt>
                  <c:pt idx="37">
                    <c:v>554</c:v>
                  </c:pt>
                  <c:pt idx="38">
                    <c:v>557.9</c:v>
                  </c:pt>
                  <c:pt idx="39">
                    <c:v>561.4</c:v>
                  </c:pt>
                  <c:pt idx="40">
                    <c:v>564.9</c:v>
                  </c:pt>
                  <c:pt idx="41">
                    <c:v>568.1</c:v>
                  </c:pt>
                  <c:pt idx="42">
                    <c:v>571.2</c:v>
                  </c:pt>
                  <c:pt idx="43">
                    <c:v>574.2</c:v>
                  </c:pt>
                  <c:pt idx="44">
                    <c:v>577.2</c:v>
                  </c:pt>
                  <c:pt idx="45">
                    <c:v>580.2</c:v>
                  </c:pt>
                  <c:pt idx="46">
                    <c:v>583.1</c:v>
                  </c:pt>
                  <c:pt idx="47">
                    <c:v>586</c:v>
                  </c:pt>
                  <c:pt idx="48">
                    <c:v>588.8</c:v>
                  </c:pt>
                  <c:pt idx="49">
                    <c:v>591.6</c:v>
                  </c:pt>
                  <c:pt idx="50">
                    <c:v>594.3</c:v>
                  </c:pt>
                  <c:pt idx="51">
                    <c:v>597</c:v>
                  </c:pt>
                  <c:pt idx="52">
                    <c:v>599.8</c:v>
                  </c:pt>
                  <c:pt idx="53">
                    <c:v>602.6</c:v>
                  </c:pt>
                  <c:pt idx="54">
                    <c:v>605.4</c:v>
                  </c:pt>
                  <c:pt idx="55">
                    <c:v>608.2</c:v>
                  </c:pt>
                  <c:pt idx="56">
                    <c:v>611</c:v>
                  </c:pt>
                  <c:pt idx="57">
                    <c:v>613.9</c:v>
                  </c:pt>
                  <c:pt idx="58">
                    <c:v>616.8</c:v>
                  </c:pt>
                  <c:pt idx="59">
                    <c:v>619.7</c:v>
                  </c:pt>
                  <c:pt idx="60">
                    <c:v>622.7</c:v>
                  </c:pt>
                  <c:pt idx="61">
                    <c:v>625.7</c:v>
                  </c:pt>
                  <c:pt idx="62">
                    <c:v>628.7</c:v>
                  </c:pt>
                  <c:pt idx="63">
                    <c:v>631.6</c:v>
                  </c:pt>
                  <c:pt idx="64">
                    <c:v>634.5</c:v>
                  </c:pt>
                  <c:pt idx="65">
                    <c:v>637.6</c:v>
                  </c:pt>
                  <c:pt idx="66">
                    <c:v>640.7</c:v>
                  </c:pt>
                  <c:pt idx="67">
                    <c:v>644</c:v>
                  </c:pt>
                  <c:pt idx="68">
                    <c:v>647.4</c:v>
                  </c:pt>
                  <c:pt idx="69">
                    <c:v>650.5</c:v>
                  </c:pt>
                  <c:pt idx="70">
                    <c:v>653.7</c:v>
                  </c:pt>
                  <c:pt idx="71">
                    <c:v>656.8</c:v>
                  </c:pt>
                  <c:pt idx="72">
                    <c:v>660.6</c:v>
                  </c:pt>
                  <c:pt idx="73">
                    <c:v>664.8</c:v>
                  </c:pt>
                  <c:pt idx="74">
                    <c:v>669.2</c:v>
                  </c:pt>
                  <c:pt idx="75">
                    <c:v>673.1</c:v>
                  </c:pt>
                  <c:pt idx="76">
                    <c:v>677.4</c:v>
                  </c:pt>
                  <c:pt idx="77">
                    <c:v>682.2</c:v>
                  </c:pt>
                  <c:pt idx="78">
                    <c:v>686.5</c:v>
                  </c:pt>
                  <c:pt idx="79">
                    <c:v>691.2</c:v>
                  </c:pt>
                  <c:pt idx="80">
                    <c:v>694.8</c:v>
                  </c:pt>
                  <c:pt idx="81">
                    <c:v>699.9</c:v>
                  </c:pt>
                  <c:pt idx="82">
                    <c:v>704</c:v>
                  </c:pt>
                  <c:pt idx="83">
                    <c:v>708.8</c:v>
                  </c:pt>
                  <c:pt idx="84">
                    <c:v>714.2</c:v>
                  </c:pt>
                  <c:pt idx="85">
                    <c:v>719.8</c:v>
                  </c:pt>
                  <c:pt idx="86">
                    <c:v>726.2</c:v>
                  </c:pt>
                  <c:pt idx="87">
                    <c:v>733.5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152.5</c:v>
                  </c:pt>
                  <c:pt idx="1">
                    <c:v>185.3</c:v>
                  </c:pt>
                  <c:pt idx="2">
                    <c:v>226.6</c:v>
                  </c:pt>
                  <c:pt idx="3">
                    <c:v>255</c:v>
                  </c:pt>
                  <c:pt idx="4">
                    <c:v>279.1</c:v>
                  </c:pt>
                  <c:pt idx="5">
                    <c:v>299.2</c:v>
                  </c:pt>
                  <c:pt idx="6">
                    <c:v>317.3</c:v>
                  </c:pt>
                  <c:pt idx="7">
                    <c:v>332.5</c:v>
                  </c:pt>
                  <c:pt idx="8">
                    <c:v>345.5</c:v>
                  </c:pt>
                  <c:pt idx="9">
                    <c:v>356.3</c:v>
                  </c:pt>
                  <c:pt idx="10">
                    <c:v>366.7</c:v>
                  </c:pt>
                  <c:pt idx="11">
                    <c:v>378.3</c:v>
                  </c:pt>
                  <c:pt idx="12">
                    <c:v>390.2</c:v>
                  </c:pt>
                  <c:pt idx="13">
                    <c:v>398.9</c:v>
                  </c:pt>
                  <c:pt idx="14">
                    <c:v>407.3</c:v>
                  </c:pt>
                  <c:pt idx="15">
                    <c:v>415.7</c:v>
                  </c:pt>
                  <c:pt idx="16">
                    <c:v>424.9</c:v>
                  </c:pt>
                  <c:pt idx="17">
                    <c:v>433.3</c:v>
                  </c:pt>
                  <c:pt idx="18">
                    <c:v>440.7</c:v>
                  </c:pt>
                  <c:pt idx="19">
                    <c:v>448</c:v>
                  </c:pt>
                  <c:pt idx="20">
                    <c:v>455.9</c:v>
                  </c:pt>
                  <c:pt idx="21">
                    <c:v>463.6</c:v>
                  </c:pt>
                  <c:pt idx="22">
                    <c:v>470.6</c:v>
                  </c:pt>
                  <c:pt idx="23">
                    <c:v>477.3</c:v>
                  </c:pt>
                  <c:pt idx="24">
                    <c:v>484.2</c:v>
                  </c:pt>
                  <c:pt idx="25">
                    <c:v>491.3</c:v>
                  </c:pt>
                  <c:pt idx="26">
                    <c:v>497.8</c:v>
                  </c:pt>
                  <c:pt idx="27">
                    <c:v>503.3</c:v>
                  </c:pt>
                  <c:pt idx="28">
                    <c:v>508.7</c:v>
                  </c:pt>
                  <c:pt idx="29">
                    <c:v>514.7</c:v>
                  </c:pt>
                  <c:pt idx="30">
                    <c:v>520.6</c:v>
                  </c:pt>
                  <c:pt idx="31">
                    <c:v>525.7</c:v>
                  </c:pt>
                  <c:pt idx="32">
                    <c:v>530.5</c:v>
                  </c:pt>
                  <c:pt idx="33">
                    <c:v>535.2</c:v>
                  </c:pt>
                  <c:pt idx="34">
                    <c:v>539.6</c:v>
                  </c:pt>
                  <c:pt idx="35">
                    <c:v>543.9</c:v>
                  </c:pt>
                  <c:pt idx="36">
                    <c:v>548.2</c:v>
                  </c:pt>
                  <c:pt idx="37">
                    <c:v>552.4</c:v>
                  </c:pt>
                  <c:pt idx="38">
                    <c:v>556.4</c:v>
                  </c:pt>
                  <c:pt idx="39">
                    <c:v>560</c:v>
                  </c:pt>
                  <c:pt idx="40">
                    <c:v>563.5</c:v>
                  </c:pt>
                  <c:pt idx="41">
                    <c:v>566.8</c:v>
                  </c:pt>
                  <c:pt idx="42">
                    <c:v>569.9</c:v>
                  </c:pt>
                  <c:pt idx="43">
                    <c:v>572.9</c:v>
                  </c:pt>
                  <c:pt idx="44">
                    <c:v>575.8</c:v>
                  </c:pt>
                  <c:pt idx="45">
                    <c:v>578.8</c:v>
                  </c:pt>
                  <c:pt idx="46">
                    <c:v>581.7</c:v>
                  </c:pt>
                  <c:pt idx="47">
                    <c:v>584.6</c:v>
                  </c:pt>
                  <c:pt idx="48">
                    <c:v>587.4</c:v>
                  </c:pt>
                  <c:pt idx="49">
                    <c:v>590.1</c:v>
                  </c:pt>
                  <c:pt idx="50">
                    <c:v>592.8</c:v>
                  </c:pt>
                  <c:pt idx="51">
                    <c:v>595.5</c:v>
                  </c:pt>
                  <c:pt idx="52">
                    <c:v>598.1</c:v>
                  </c:pt>
                  <c:pt idx="53">
                    <c:v>600.8</c:v>
                  </c:pt>
                  <c:pt idx="54">
                    <c:v>603.6</c:v>
                  </c:pt>
                  <c:pt idx="55">
                    <c:v>606.3</c:v>
                  </c:pt>
                  <c:pt idx="56">
                    <c:v>609</c:v>
                  </c:pt>
                  <c:pt idx="57">
                    <c:v>611.7</c:v>
                  </c:pt>
                  <c:pt idx="58">
                    <c:v>614.5</c:v>
                  </c:pt>
                  <c:pt idx="59">
                    <c:v>617.3</c:v>
                  </c:pt>
                  <c:pt idx="60">
                    <c:v>620.1</c:v>
                  </c:pt>
                  <c:pt idx="61">
                    <c:v>623</c:v>
                  </c:pt>
                  <c:pt idx="62">
                    <c:v>625.8</c:v>
                  </c:pt>
                  <c:pt idx="63">
                    <c:v>628.6</c:v>
                  </c:pt>
                  <c:pt idx="64">
                    <c:v>631.4</c:v>
                  </c:pt>
                  <c:pt idx="65">
                    <c:v>634.2</c:v>
                  </c:pt>
                  <c:pt idx="66">
                    <c:v>637.1</c:v>
                  </c:pt>
                  <c:pt idx="67">
                    <c:v>640</c:v>
                  </c:pt>
                  <c:pt idx="68">
                    <c:v>643.1</c:v>
                  </c:pt>
                  <c:pt idx="69">
                    <c:v>646.2</c:v>
                  </c:pt>
                  <c:pt idx="70">
                    <c:v>649.2</c:v>
                  </c:pt>
                  <c:pt idx="71">
                    <c:v>652.2</c:v>
                  </c:pt>
                  <c:pt idx="72">
                    <c:v>655.1</c:v>
                  </c:pt>
                  <c:pt idx="73">
                    <c:v>658.1</c:v>
                  </c:pt>
                  <c:pt idx="74">
                    <c:v>661.9</c:v>
                  </c:pt>
                  <c:pt idx="75">
                    <c:v>665.7</c:v>
                  </c:pt>
                  <c:pt idx="76">
                    <c:v>669.7</c:v>
                  </c:pt>
                  <c:pt idx="77">
                    <c:v>673.1</c:v>
                  </c:pt>
                  <c:pt idx="78">
                    <c:v>676.9</c:v>
                  </c:pt>
                  <c:pt idx="79">
                    <c:v>681.3</c:v>
                  </c:pt>
                  <c:pt idx="80">
                    <c:v>685</c:v>
                  </c:pt>
                  <c:pt idx="81">
                    <c:v>688.9</c:v>
                  </c:pt>
                  <c:pt idx="82">
                    <c:v>692.4</c:v>
                  </c:pt>
                  <c:pt idx="83">
                    <c:v>695.7</c:v>
                  </c:pt>
                  <c:pt idx="84">
                    <c:v>700</c:v>
                  </c:pt>
                  <c:pt idx="85">
                    <c:v>703.3</c:v>
                  </c:pt>
                  <c:pt idx="86">
                    <c:v>706.7</c:v>
                  </c:pt>
                  <c:pt idx="87">
                    <c:v>710.8</c:v>
                  </c:pt>
                  <c:pt idx="88">
                    <c:v>714.7</c:v>
                  </c:pt>
                  <c:pt idx="89">
                    <c:v>718.6</c:v>
                  </c:pt>
                  <c:pt idx="90">
                    <c:v>722.6</c:v>
                  </c:pt>
                  <c:pt idx="91">
                    <c:v>726.7</c:v>
                  </c:pt>
                  <c:pt idx="92">
                    <c:v>730.9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140.2</c:v>
                  </c:pt>
                  <c:pt idx="1">
                    <c:v>187.3</c:v>
                  </c:pt>
                  <c:pt idx="2">
                    <c:v>232</c:v>
                  </c:pt>
                  <c:pt idx="3">
                    <c:v>261.4</c:v>
                  </c:pt>
                  <c:pt idx="4">
                    <c:v>285.2</c:v>
                  </c:pt>
                  <c:pt idx="5">
                    <c:v>305.6</c:v>
                  </c:pt>
                  <c:pt idx="6">
                    <c:v>323.2</c:v>
                  </c:pt>
                  <c:pt idx="7">
                    <c:v>338.6</c:v>
                  </c:pt>
                  <c:pt idx="8">
                    <c:v>351.3</c:v>
                  </c:pt>
                  <c:pt idx="9">
                    <c:v>362.4</c:v>
                  </c:pt>
                  <c:pt idx="10">
                    <c:v>374.1</c:v>
                  </c:pt>
                  <c:pt idx="11">
                    <c:v>387.1</c:v>
                  </c:pt>
                  <c:pt idx="12">
                    <c:v>397.2</c:v>
                  </c:pt>
                  <c:pt idx="13">
                    <c:v>406</c:v>
                  </c:pt>
                  <c:pt idx="14">
                    <c:v>414.7</c:v>
                  </c:pt>
                  <c:pt idx="15">
                    <c:v>424.4</c:v>
                  </c:pt>
                  <c:pt idx="16">
                    <c:v>433.3</c:v>
                  </c:pt>
                  <c:pt idx="17">
                    <c:v>441.2</c:v>
                  </c:pt>
                  <c:pt idx="18">
                    <c:v>448.8</c:v>
                  </c:pt>
                  <c:pt idx="19">
                    <c:v>457.3</c:v>
                  </c:pt>
                  <c:pt idx="20">
                    <c:v>465.4</c:v>
                  </c:pt>
                  <c:pt idx="21">
                    <c:v>472.5</c:v>
                  </c:pt>
                  <c:pt idx="22">
                    <c:v>479.5</c:v>
                  </c:pt>
                  <c:pt idx="23">
                    <c:v>486.9</c:v>
                  </c:pt>
                  <c:pt idx="24">
                    <c:v>494.3</c:v>
                  </c:pt>
                  <c:pt idx="25">
                    <c:v>500.6</c:v>
                  </c:pt>
                  <c:pt idx="26">
                    <c:v>506.4</c:v>
                  </c:pt>
                  <c:pt idx="27">
                    <c:v>512.4</c:v>
                  </c:pt>
                  <c:pt idx="28">
                    <c:v>518.7</c:v>
                  </c:pt>
                  <c:pt idx="29">
                    <c:v>524.4</c:v>
                  </c:pt>
                  <c:pt idx="30">
                    <c:v>529.6</c:v>
                  </c:pt>
                  <c:pt idx="31">
                    <c:v>534.6</c:v>
                  </c:pt>
                  <c:pt idx="32">
                    <c:v>539.3</c:v>
                  </c:pt>
                  <c:pt idx="33">
                    <c:v>543.9</c:v>
                  </c:pt>
                  <c:pt idx="34">
                    <c:v>548.6</c:v>
                  </c:pt>
                  <c:pt idx="35">
                    <c:v>553.1</c:v>
                  </c:pt>
                  <c:pt idx="36">
                    <c:v>557.3</c:v>
                  </c:pt>
                  <c:pt idx="37">
                    <c:v>561.1</c:v>
                  </c:pt>
                  <c:pt idx="38">
                    <c:v>564.8</c:v>
                  </c:pt>
                  <c:pt idx="39">
                    <c:v>568.2</c:v>
                  </c:pt>
                  <c:pt idx="40">
                    <c:v>571.4</c:v>
                  </c:pt>
                  <c:pt idx="41">
                    <c:v>574.6</c:v>
                  </c:pt>
                  <c:pt idx="42">
                    <c:v>577.8</c:v>
                  </c:pt>
                  <c:pt idx="43">
                    <c:v>580.9</c:v>
                  </c:pt>
                  <c:pt idx="44">
                    <c:v>584.1</c:v>
                  </c:pt>
                  <c:pt idx="45">
                    <c:v>587</c:v>
                  </c:pt>
                  <c:pt idx="46">
                    <c:v>590</c:v>
                  </c:pt>
                  <c:pt idx="47">
                    <c:v>592.9</c:v>
                  </c:pt>
                  <c:pt idx="48">
                    <c:v>595.7</c:v>
                  </c:pt>
                  <c:pt idx="49">
                    <c:v>598.6</c:v>
                  </c:pt>
                  <c:pt idx="50">
                    <c:v>601.5</c:v>
                  </c:pt>
                  <c:pt idx="51">
                    <c:v>604.4</c:v>
                  </c:pt>
                  <c:pt idx="52">
                    <c:v>607.4</c:v>
                  </c:pt>
                  <c:pt idx="53">
                    <c:v>610.3</c:v>
                  </c:pt>
                  <c:pt idx="54">
                    <c:v>613.3</c:v>
                  </c:pt>
                  <c:pt idx="55">
                    <c:v>616.3</c:v>
                  </c:pt>
                  <c:pt idx="56">
                    <c:v>619.4</c:v>
                  </c:pt>
                  <c:pt idx="57">
                    <c:v>622.6</c:v>
                  </c:pt>
                  <c:pt idx="58">
                    <c:v>625.7</c:v>
                  </c:pt>
                  <c:pt idx="59">
                    <c:v>628.9</c:v>
                  </c:pt>
                  <c:pt idx="60">
                    <c:v>631.9</c:v>
                  </c:pt>
                  <c:pt idx="61">
                    <c:v>635.1</c:v>
                  </c:pt>
                  <c:pt idx="62">
                    <c:v>638.4</c:v>
                  </c:pt>
                  <c:pt idx="63">
                    <c:v>641.8</c:v>
                  </c:pt>
                  <c:pt idx="64">
                    <c:v>645.4</c:v>
                  </c:pt>
                  <c:pt idx="65">
                    <c:v>648.9</c:v>
                  </c:pt>
                  <c:pt idx="66">
                    <c:v>652.4</c:v>
                  </c:pt>
                  <c:pt idx="67">
                    <c:v>655.8</c:v>
                  </c:pt>
                  <c:pt idx="68">
                    <c:v>659.7</c:v>
                  </c:pt>
                  <c:pt idx="69">
                    <c:v>664.3</c:v>
                  </c:pt>
                  <c:pt idx="70">
                    <c:v>669.1</c:v>
                  </c:pt>
                  <c:pt idx="71">
                    <c:v>673.5</c:v>
                  </c:pt>
                  <c:pt idx="72">
                    <c:v>678.6</c:v>
                  </c:pt>
                  <c:pt idx="73">
                    <c:v>683.9</c:v>
                  </c:pt>
                  <c:pt idx="74">
                    <c:v>689.1</c:v>
                  </c:pt>
                  <c:pt idx="75">
                    <c:v>693.9</c:v>
                  </c:pt>
                  <c:pt idx="76">
                    <c:v>699.8</c:v>
                  </c:pt>
                  <c:pt idx="77">
                    <c:v>705.2</c:v>
                  </c:pt>
                  <c:pt idx="78">
                    <c:v>712.1</c:v>
                  </c:pt>
                  <c:pt idx="79">
                    <c:v>720.3</c:v>
                  </c:pt>
                  <c:pt idx="80">
                    <c:v>733.8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142.1</c:v>
                  </c:pt>
                  <c:pt idx="1">
                    <c:v>173.4</c:v>
                  </c:pt>
                  <c:pt idx="2">
                    <c:v>215</c:v>
                  </c:pt>
                  <c:pt idx="3">
                    <c:v>248.3</c:v>
                  </c:pt>
                  <c:pt idx="4">
                    <c:v>270.7</c:v>
                  </c:pt>
                  <c:pt idx="5">
                    <c:v>291.2</c:v>
                  </c:pt>
                  <c:pt idx="6">
                    <c:v>308.6</c:v>
                  </c:pt>
                  <c:pt idx="7">
                    <c:v>324.2</c:v>
                  </c:pt>
                  <c:pt idx="8">
                    <c:v>338.5</c:v>
                  </c:pt>
                  <c:pt idx="9">
                    <c:v>351.6</c:v>
                  </c:pt>
                  <c:pt idx="10">
                    <c:v>363.5</c:v>
                  </c:pt>
                  <c:pt idx="11">
                    <c:v>374.4</c:v>
                  </c:pt>
                  <c:pt idx="12">
                    <c:v>384.5</c:v>
                  </c:pt>
                  <c:pt idx="13">
                    <c:v>394.2</c:v>
                  </c:pt>
                  <c:pt idx="14">
                    <c:v>404</c:v>
                  </c:pt>
                  <c:pt idx="15">
                    <c:v>413.2</c:v>
                  </c:pt>
                  <c:pt idx="16">
                    <c:v>421.9</c:v>
                  </c:pt>
                  <c:pt idx="17">
                    <c:v>430.1</c:v>
                  </c:pt>
                  <c:pt idx="18">
                    <c:v>438.5</c:v>
                  </c:pt>
                  <c:pt idx="19">
                    <c:v>446.5</c:v>
                  </c:pt>
                  <c:pt idx="20">
                    <c:v>454.4</c:v>
                  </c:pt>
                  <c:pt idx="21">
                    <c:v>462</c:v>
                  </c:pt>
                  <c:pt idx="22">
                    <c:v>469.5</c:v>
                  </c:pt>
                  <c:pt idx="23">
                    <c:v>476.7</c:v>
                  </c:pt>
                  <c:pt idx="24">
                    <c:v>483.7</c:v>
                  </c:pt>
                  <c:pt idx="25">
                    <c:v>490.4</c:v>
                  </c:pt>
                  <c:pt idx="26">
                    <c:v>496.8</c:v>
                  </c:pt>
                  <c:pt idx="27">
                    <c:v>502.6</c:v>
                  </c:pt>
                  <c:pt idx="28">
                    <c:v>508.1</c:v>
                  </c:pt>
                  <c:pt idx="29">
                    <c:v>513.7</c:v>
                  </c:pt>
                  <c:pt idx="30">
                    <c:v>519.1</c:v>
                  </c:pt>
                  <c:pt idx="31">
                    <c:v>524.2</c:v>
                  </c:pt>
                  <c:pt idx="32">
                    <c:v>528.8</c:v>
                  </c:pt>
                  <c:pt idx="33">
                    <c:v>533.2</c:v>
                  </c:pt>
                  <c:pt idx="34">
                    <c:v>537.4</c:v>
                  </c:pt>
                  <c:pt idx="35">
                    <c:v>541.5</c:v>
                  </c:pt>
                  <c:pt idx="36">
                    <c:v>545.3</c:v>
                  </c:pt>
                  <c:pt idx="37">
                    <c:v>549.4</c:v>
                  </c:pt>
                  <c:pt idx="38">
                    <c:v>553.2</c:v>
                  </c:pt>
                  <c:pt idx="39">
                    <c:v>556.9</c:v>
                  </c:pt>
                  <c:pt idx="40">
                    <c:v>560.4</c:v>
                  </c:pt>
                  <c:pt idx="41">
                    <c:v>563.8</c:v>
                  </c:pt>
                  <c:pt idx="42">
                    <c:v>567</c:v>
                  </c:pt>
                  <c:pt idx="43">
                    <c:v>570</c:v>
                  </c:pt>
                  <c:pt idx="44">
                    <c:v>573</c:v>
                  </c:pt>
                  <c:pt idx="45">
                    <c:v>576.1</c:v>
                  </c:pt>
                  <c:pt idx="46">
                    <c:v>579.2</c:v>
                  </c:pt>
                  <c:pt idx="47">
                    <c:v>582.4</c:v>
                  </c:pt>
                  <c:pt idx="48">
                    <c:v>585.5</c:v>
                  </c:pt>
                  <c:pt idx="49">
                    <c:v>588.5</c:v>
                  </c:pt>
                  <c:pt idx="50">
                    <c:v>591.6</c:v>
                  </c:pt>
                  <c:pt idx="51">
                    <c:v>594.7</c:v>
                  </c:pt>
                  <c:pt idx="52">
                    <c:v>597.8</c:v>
                  </c:pt>
                  <c:pt idx="53">
                    <c:v>601</c:v>
                  </c:pt>
                  <c:pt idx="54">
                    <c:v>604.3</c:v>
                  </c:pt>
                  <c:pt idx="55">
                    <c:v>607.6</c:v>
                  </c:pt>
                  <c:pt idx="56">
                    <c:v>610.9</c:v>
                  </c:pt>
                  <c:pt idx="57">
                    <c:v>614.3</c:v>
                  </c:pt>
                  <c:pt idx="58">
                    <c:v>617.8</c:v>
                  </c:pt>
                  <c:pt idx="59">
                    <c:v>621.4</c:v>
                  </c:pt>
                  <c:pt idx="60">
                    <c:v>625</c:v>
                  </c:pt>
                  <c:pt idx="61">
                    <c:v>628.6</c:v>
                  </c:pt>
                  <c:pt idx="62">
                    <c:v>632</c:v>
                  </c:pt>
                  <c:pt idx="63">
                    <c:v>635.5</c:v>
                  </c:pt>
                  <c:pt idx="64">
                    <c:v>639.3</c:v>
                  </c:pt>
                  <c:pt idx="65">
                    <c:v>643.3</c:v>
                  </c:pt>
                  <c:pt idx="66">
                    <c:v>647.4</c:v>
                  </c:pt>
                  <c:pt idx="67">
                    <c:v>651.4</c:v>
                  </c:pt>
                  <c:pt idx="68">
                    <c:v>655.2</c:v>
                  </c:pt>
                  <c:pt idx="69">
                    <c:v>659.4</c:v>
                  </c:pt>
                  <c:pt idx="70">
                    <c:v>664.4</c:v>
                  </c:pt>
                  <c:pt idx="71">
                    <c:v>669.7</c:v>
                  </c:pt>
                  <c:pt idx="72">
                    <c:v>674.4</c:v>
                  </c:pt>
                  <c:pt idx="73">
                    <c:v>680</c:v>
                  </c:pt>
                  <c:pt idx="74">
                    <c:v>685.4</c:v>
                  </c:pt>
                  <c:pt idx="75">
                    <c:v>691</c:v>
                  </c:pt>
                  <c:pt idx="76">
                    <c:v>696</c:v>
                  </c:pt>
                  <c:pt idx="77">
                    <c:v>702.3</c:v>
                  </c:pt>
                  <c:pt idx="78">
                    <c:v>708.5</c:v>
                  </c:pt>
                  <c:pt idx="79">
                    <c:v>716.3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436.7</c:v>
                  </c:pt>
                  <c:pt idx="1">
                    <c:v>499.2</c:v>
                  </c:pt>
                  <c:pt idx="2">
                    <c:v>527.2</c:v>
                  </c:pt>
                  <c:pt idx="3">
                    <c:v>538.6</c:v>
                  </c:pt>
                  <c:pt idx="4">
                    <c:v>546.5</c:v>
                  </c:pt>
                  <c:pt idx="5">
                    <c:v>553.1</c:v>
                  </c:pt>
                  <c:pt idx="6">
                    <c:v>558.5</c:v>
                  </c:pt>
                  <c:pt idx="7">
                    <c:v>563.2</c:v>
                  </c:pt>
                  <c:pt idx="8">
                    <c:v>567.4</c:v>
                  </c:pt>
                  <c:pt idx="9">
                    <c:v>571.1</c:v>
                  </c:pt>
                  <c:pt idx="10">
                    <c:v>574.7</c:v>
                  </c:pt>
                  <c:pt idx="11">
                    <c:v>578.2</c:v>
                  </c:pt>
                  <c:pt idx="12">
                    <c:v>581.7</c:v>
                  </c:pt>
                  <c:pt idx="13">
                    <c:v>585.1</c:v>
                  </c:pt>
                  <c:pt idx="14">
                    <c:v>588.4</c:v>
                  </c:pt>
                  <c:pt idx="15">
                    <c:v>591.6</c:v>
                  </c:pt>
                  <c:pt idx="16">
                    <c:v>594.8</c:v>
                  </c:pt>
                  <c:pt idx="17">
                    <c:v>598</c:v>
                  </c:pt>
                  <c:pt idx="18">
                    <c:v>601.2</c:v>
                  </c:pt>
                  <c:pt idx="19">
                    <c:v>604.6</c:v>
                  </c:pt>
                  <c:pt idx="20">
                    <c:v>607.9</c:v>
                  </c:pt>
                  <c:pt idx="21">
                    <c:v>611.2</c:v>
                  </c:pt>
                  <c:pt idx="22">
                    <c:v>614.5</c:v>
                  </c:pt>
                  <c:pt idx="23">
                    <c:v>618</c:v>
                  </c:pt>
                  <c:pt idx="24">
                    <c:v>621.5</c:v>
                  </c:pt>
                  <c:pt idx="25">
                    <c:v>624.9</c:v>
                  </c:pt>
                  <c:pt idx="26">
                    <c:v>628.4</c:v>
                  </c:pt>
                  <c:pt idx="27">
                    <c:v>631.8</c:v>
                  </c:pt>
                  <c:pt idx="28">
                    <c:v>635.2</c:v>
                  </c:pt>
                  <c:pt idx="29">
                    <c:v>638.8</c:v>
                  </c:pt>
                  <c:pt idx="30">
                    <c:v>642.6</c:v>
                  </c:pt>
                  <c:pt idx="31">
                    <c:v>646.5</c:v>
                  </c:pt>
                  <c:pt idx="32">
                    <c:v>650.2</c:v>
                  </c:pt>
                  <c:pt idx="33">
                    <c:v>654</c:v>
                  </c:pt>
                  <c:pt idx="34">
                    <c:v>657.6</c:v>
                  </c:pt>
                  <c:pt idx="35">
                    <c:v>662.3</c:v>
                  </c:pt>
                  <c:pt idx="36">
                    <c:v>667.3</c:v>
                  </c:pt>
                  <c:pt idx="37">
                    <c:v>672.1</c:v>
                  </c:pt>
                  <c:pt idx="38">
                    <c:v>677.2</c:v>
                  </c:pt>
                  <c:pt idx="39">
                    <c:v>683</c:v>
                  </c:pt>
                  <c:pt idx="40">
                    <c:v>688.5</c:v>
                  </c:pt>
                  <c:pt idx="41">
                    <c:v>693.9</c:v>
                  </c:pt>
                  <c:pt idx="42">
                    <c:v>700.7</c:v>
                  </c:pt>
                  <c:pt idx="43">
                    <c:v>708.3</c:v>
                  </c:pt>
                  <c:pt idx="44">
                    <c:v>721.3</c:v>
                  </c:pt>
                  <c:pt idx="45">
                    <c:v>-</c:v>
                  </c:pt>
                  <c:pt idx="46">
                    <c:v>-</c:v>
                  </c:pt>
                  <c:pt idx="47">
                    <c:v>-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462.3</c:v>
                  </c:pt>
                  <c:pt idx="1">
                    <c:v>528.9</c:v>
                  </c:pt>
                  <c:pt idx="2">
                    <c:v>546.9</c:v>
                  </c:pt>
                  <c:pt idx="3">
                    <c:v>555.2</c:v>
                  </c:pt>
                  <c:pt idx="4">
                    <c:v>561</c:v>
                  </c:pt>
                  <c:pt idx="5">
                    <c:v>565.7</c:v>
                  </c:pt>
                  <c:pt idx="6">
                    <c:v>569.7</c:v>
                  </c:pt>
                  <c:pt idx="7">
                    <c:v>573.2</c:v>
                  </c:pt>
                  <c:pt idx="8">
                    <c:v>576.7</c:v>
                  </c:pt>
                  <c:pt idx="9">
                    <c:v>580.1</c:v>
                  </c:pt>
                  <c:pt idx="10">
                    <c:v>583.4</c:v>
                  </c:pt>
                  <c:pt idx="11">
                    <c:v>586.6</c:v>
                  </c:pt>
                  <c:pt idx="12">
                    <c:v>589.6</c:v>
                  </c:pt>
                  <c:pt idx="13">
                    <c:v>592.6</c:v>
                  </c:pt>
                  <c:pt idx="14">
                    <c:v>595.6</c:v>
                  </c:pt>
                  <c:pt idx="15">
                    <c:v>598.5</c:v>
                  </c:pt>
                  <c:pt idx="16">
                    <c:v>601.4</c:v>
                  </c:pt>
                  <c:pt idx="17">
                    <c:v>604.4</c:v>
                  </c:pt>
                  <c:pt idx="18">
                    <c:v>607.3</c:v>
                  </c:pt>
                  <c:pt idx="19">
                    <c:v>610.2</c:v>
                  </c:pt>
                  <c:pt idx="20">
                    <c:v>613.1</c:v>
                  </c:pt>
                  <c:pt idx="21">
                    <c:v>616.1</c:v>
                  </c:pt>
                  <c:pt idx="22">
                    <c:v>619.2</c:v>
                  </c:pt>
                  <c:pt idx="23">
                    <c:v>622.3</c:v>
                  </c:pt>
                  <c:pt idx="24">
                    <c:v>625.3</c:v>
                  </c:pt>
                  <c:pt idx="25">
                    <c:v>628.4</c:v>
                  </c:pt>
                  <c:pt idx="26">
                    <c:v>631.4</c:v>
                  </c:pt>
                  <c:pt idx="27">
                    <c:v>634.4</c:v>
                  </c:pt>
                  <c:pt idx="28">
                    <c:v>637.5</c:v>
                  </c:pt>
                  <c:pt idx="29">
                    <c:v>640.8</c:v>
                  </c:pt>
                  <c:pt idx="30">
                    <c:v>644.2</c:v>
                  </c:pt>
                  <c:pt idx="31">
                    <c:v>647.6</c:v>
                  </c:pt>
                  <c:pt idx="32">
                    <c:v>650.9</c:v>
                  </c:pt>
                  <c:pt idx="33">
                    <c:v>654.2</c:v>
                  </c:pt>
                  <c:pt idx="34">
                    <c:v>657.5</c:v>
                  </c:pt>
                  <c:pt idx="35">
                    <c:v>661.5</c:v>
                  </c:pt>
                  <c:pt idx="36">
                    <c:v>665.8</c:v>
                  </c:pt>
                  <c:pt idx="37">
                    <c:v>670.3</c:v>
                  </c:pt>
                  <c:pt idx="38">
                    <c:v>674.2</c:v>
                  </c:pt>
                  <c:pt idx="39">
                    <c:v>679.2</c:v>
                  </c:pt>
                  <c:pt idx="40">
                    <c:v>683.9</c:v>
                  </c:pt>
                  <c:pt idx="41">
                    <c:v>688.5</c:v>
                  </c:pt>
                  <c:pt idx="42">
                    <c:v>693</c:v>
                  </c:pt>
                  <c:pt idx="43">
                    <c:v>697.8</c:v>
                  </c:pt>
                  <c:pt idx="44">
                    <c:v>702.9</c:v>
                  </c:pt>
                  <c:pt idx="45">
                    <c:v>708.2</c:v>
                  </c:pt>
                  <c:pt idx="46">
                    <c:v>715.3</c:v>
                  </c:pt>
                  <c:pt idx="47">
                    <c:v>724.1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375.98</c:v>
                  </c:pt>
                  <c:pt idx="1">
                    <c:v>402</c:v>
                  </c:pt>
                  <c:pt idx="2">
                    <c:v>422</c:v>
                  </c:pt>
                  <c:pt idx="3">
                    <c:v>462</c:v>
                  </c:pt>
                  <c:pt idx="4">
                    <c:v>489</c:v>
                  </c:pt>
                  <c:pt idx="5">
                    <c:v>510</c:v>
                  </c:pt>
                  <c:pt idx="6">
                    <c:v>518</c:v>
                  </c:pt>
                  <c:pt idx="7">
                    <c:v>525</c:v>
                  </c:pt>
                  <c:pt idx="8">
                    <c:v>533</c:v>
                  </c:pt>
                  <c:pt idx="9">
                    <c:v>538</c:v>
                  </c:pt>
                  <c:pt idx="10">
                    <c:v>543.5</c:v>
                  </c:pt>
                  <c:pt idx="11">
                    <c:v>548</c:v>
                  </c:pt>
                  <c:pt idx="12">
                    <c:v>553</c:v>
                  </c:pt>
                  <c:pt idx="13">
                    <c:v>556</c:v>
                  </c:pt>
                  <c:pt idx="14">
                    <c:v>560</c:v>
                  </c:pt>
                  <c:pt idx="15">
                    <c:v>563</c:v>
                  </c:pt>
                  <c:pt idx="16">
                    <c:v>566</c:v>
                  </c:pt>
                  <c:pt idx="17">
                    <c:v>569</c:v>
                  </c:pt>
                  <c:pt idx="18">
                    <c:v>572</c:v>
                  </c:pt>
                  <c:pt idx="19">
                    <c:v>575</c:v>
                  </c:pt>
                  <c:pt idx="20">
                    <c:v>578</c:v>
                  </c:pt>
                  <c:pt idx="21">
                    <c:v>581</c:v>
                  </c:pt>
                  <c:pt idx="22">
                    <c:v>584</c:v>
                  </c:pt>
                  <c:pt idx="23">
                    <c:v>587</c:v>
                  </c:pt>
                  <c:pt idx="24">
                    <c:v>590</c:v>
                  </c:pt>
                  <c:pt idx="25">
                    <c:v>593</c:v>
                  </c:pt>
                  <c:pt idx="26">
                    <c:v>595</c:v>
                  </c:pt>
                  <c:pt idx="27">
                    <c:v>598</c:v>
                  </c:pt>
                  <c:pt idx="28">
                    <c:v>600</c:v>
                  </c:pt>
                  <c:pt idx="29">
                    <c:v>602</c:v>
                  </c:pt>
                  <c:pt idx="30">
                    <c:v>606</c:v>
                  </c:pt>
                  <c:pt idx="31">
                    <c:v>609</c:v>
                  </c:pt>
                  <c:pt idx="32">
                    <c:v>611</c:v>
                  </c:pt>
                  <c:pt idx="33">
                    <c:v>614</c:v>
                  </c:pt>
                  <c:pt idx="34">
                    <c:v>617</c:v>
                  </c:pt>
                  <c:pt idx="35">
                    <c:v>620</c:v>
                  </c:pt>
                  <c:pt idx="36">
                    <c:v>622</c:v>
                  </c:pt>
                  <c:pt idx="37">
                    <c:v>626</c:v>
                  </c:pt>
                  <c:pt idx="38">
                    <c:v>630</c:v>
                  </c:pt>
                  <c:pt idx="39">
                    <c:v>632</c:v>
                  </c:pt>
                  <c:pt idx="40">
                    <c:v>635</c:v>
                  </c:pt>
                  <c:pt idx="41">
                    <c:v>638</c:v>
                  </c:pt>
                  <c:pt idx="42">
                    <c:v>641</c:v>
                  </c:pt>
                  <c:pt idx="43">
                    <c:v>644</c:v>
                  </c:pt>
                  <c:pt idx="44">
                    <c:v>647</c:v>
                  </c:pt>
                  <c:pt idx="45">
                    <c:v>650</c:v>
                  </c:pt>
                  <c:pt idx="46">
                    <c:v>654</c:v>
                  </c:pt>
                  <c:pt idx="47">
                    <c:v>657</c:v>
                  </c:pt>
                  <c:pt idx="48">
                    <c:v>661</c:v>
                  </c:pt>
                  <c:pt idx="49">
                    <c:v>664</c:v>
                  </c:pt>
                  <c:pt idx="50">
                    <c:v>667</c:v>
                  </c:pt>
                  <c:pt idx="51">
                    <c:v>671</c:v>
                  </c:pt>
                  <c:pt idx="52">
                    <c:v>675</c:v>
                  </c:pt>
                  <c:pt idx="53">
                    <c:v>678</c:v>
                  </c:pt>
                  <c:pt idx="54">
                    <c:v>682</c:v>
                  </c:pt>
                  <c:pt idx="55">
                    <c:v>687</c:v>
                  </c:pt>
                  <c:pt idx="56">
                    <c:v>691</c:v>
                  </c:pt>
                  <c:pt idx="57">
                    <c:v>694</c:v>
                  </c:pt>
                  <c:pt idx="58">
                    <c:v>698</c:v>
                  </c:pt>
                  <c:pt idx="59">
                    <c:v>702</c:v>
                  </c:pt>
                  <c:pt idx="60">
                    <c:v>705</c:v>
                  </c:pt>
                  <c:pt idx="61">
                    <c:v>708</c:v>
                  </c:pt>
                  <c:pt idx="62">
                    <c:v>713</c:v>
                  </c:pt>
                  <c:pt idx="63">
                    <c:v>718</c:v>
                  </c:pt>
                  <c:pt idx="64">
                    <c:v>720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560</c:v>
                  </c:pt>
                  <c:pt idx="1">
                    <c:v>560</c:v>
                  </c:pt>
                  <c:pt idx="2">
                    <c:v>560</c:v>
                  </c:pt>
                  <c:pt idx="3">
                    <c:v>560</c:v>
                  </c:pt>
                  <c:pt idx="4">
                    <c:v>560</c:v>
                  </c:pt>
                  <c:pt idx="5">
                    <c:v>560</c:v>
                  </c:pt>
                  <c:pt idx="6">
                    <c:v>560</c:v>
                  </c:pt>
                  <c:pt idx="7">
                    <c:v>560</c:v>
                  </c:pt>
                  <c:pt idx="8">
                    <c:v>560</c:v>
                  </c:pt>
                  <c:pt idx="9">
                    <c:v>560</c:v>
                  </c:pt>
                  <c:pt idx="10">
                    <c:v>560</c:v>
                  </c:pt>
                  <c:pt idx="11">
                    <c:v>560</c:v>
                  </c:pt>
                  <c:pt idx="12">
                    <c:v>560</c:v>
                  </c:pt>
                  <c:pt idx="13">
                    <c:v>560</c:v>
                  </c:pt>
                  <c:pt idx="14">
                    <c:v>560</c:v>
                  </c:pt>
                  <c:pt idx="15">
                    <c:v>560</c:v>
                  </c:pt>
                  <c:pt idx="16">
                    <c:v>560</c:v>
                  </c:pt>
                  <c:pt idx="17">
                    <c:v>560</c:v>
                  </c:pt>
                  <c:pt idx="18">
                    <c:v>560</c:v>
                  </c:pt>
                  <c:pt idx="19">
                    <c:v>560</c:v>
                  </c:pt>
                  <c:pt idx="20">
                    <c:v>560</c:v>
                  </c:pt>
                  <c:pt idx="21">
                    <c:v>560</c:v>
                  </c:pt>
                  <c:pt idx="22">
                    <c:v>560</c:v>
                  </c:pt>
                  <c:pt idx="23">
                    <c:v>560</c:v>
                  </c:pt>
                  <c:pt idx="24">
                    <c:v>560</c:v>
                  </c:pt>
                  <c:pt idx="25">
                    <c:v>560</c:v>
                  </c:pt>
                  <c:pt idx="26">
                    <c:v>560</c:v>
                  </c:pt>
                  <c:pt idx="27">
                    <c:v>560</c:v>
                  </c:pt>
                  <c:pt idx="28">
                    <c:v>560</c:v>
                  </c:pt>
                  <c:pt idx="29">
                    <c:v>560</c:v>
                  </c:pt>
                  <c:pt idx="30">
                    <c:v>560</c:v>
                  </c:pt>
                  <c:pt idx="31">
                    <c:v>560</c:v>
                  </c:pt>
                  <c:pt idx="32">
                    <c:v>560</c:v>
                  </c:pt>
                  <c:pt idx="33">
                    <c:v>560</c:v>
                  </c:pt>
                  <c:pt idx="34">
                    <c:v>560</c:v>
                  </c:pt>
                  <c:pt idx="35">
                    <c:v>560</c:v>
                  </c:pt>
                  <c:pt idx="36">
                    <c:v>560</c:v>
                  </c:pt>
                  <c:pt idx="37">
                    <c:v>560</c:v>
                  </c:pt>
                  <c:pt idx="38">
                    <c:v>560</c:v>
                  </c:pt>
                  <c:pt idx="39">
                    <c:v>560</c:v>
                  </c:pt>
                  <c:pt idx="40">
                    <c:v>560</c:v>
                  </c:pt>
                  <c:pt idx="41">
                    <c:v>560</c:v>
                  </c:pt>
                  <c:pt idx="42">
                    <c:v>560</c:v>
                  </c:pt>
                  <c:pt idx="43">
                    <c:v>560</c:v>
                  </c:pt>
                  <c:pt idx="44">
                    <c:v>560</c:v>
                  </c:pt>
                  <c:pt idx="45">
                    <c:v>560</c:v>
                  </c:pt>
                  <c:pt idx="46">
                    <c:v>560</c:v>
                  </c:pt>
                  <c:pt idx="47">
                    <c:v>560</c:v>
                  </c:pt>
                  <c:pt idx="48">
                    <c:v>560</c:v>
                  </c:pt>
                  <c:pt idx="49">
                    <c:v>560</c:v>
                  </c:pt>
                  <c:pt idx="50">
                    <c:v>560</c:v>
                  </c:pt>
                  <c:pt idx="51">
                    <c:v>560</c:v>
                  </c:pt>
                  <c:pt idx="52">
                    <c:v>560</c:v>
                  </c:pt>
                  <c:pt idx="53">
                    <c:v>560</c:v>
                  </c:pt>
                  <c:pt idx="54">
                    <c:v>560</c:v>
                  </c:pt>
                  <c:pt idx="55">
                    <c:v>560</c:v>
                  </c:pt>
                  <c:pt idx="56">
                    <c:v>560</c:v>
                  </c:pt>
                  <c:pt idx="57">
                    <c:v>560</c:v>
                  </c:pt>
                  <c:pt idx="58">
                    <c:v>560</c:v>
                  </c:pt>
                  <c:pt idx="59">
                    <c:v>560</c:v>
                  </c:pt>
                  <c:pt idx="60">
                    <c:v>560</c:v>
                  </c:pt>
                  <c:pt idx="61">
                    <c:v>560</c:v>
                  </c:pt>
                  <c:pt idx="62">
                    <c:v>560</c:v>
                  </c:pt>
                  <c:pt idx="63">
                    <c:v>560</c:v>
                  </c:pt>
                  <c:pt idx="64">
                    <c:v>560</c:v>
                  </c:pt>
                  <c:pt idx="65">
                    <c:v>560</c:v>
                  </c:pt>
                  <c:pt idx="66">
                    <c:v>560</c:v>
                  </c:pt>
                  <c:pt idx="67">
                    <c:v>560</c:v>
                  </c:pt>
                  <c:pt idx="68">
                    <c:v>560</c:v>
                  </c:pt>
                  <c:pt idx="69">
                    <c:v>560</c:v>
                  </c:pt>
                  <c:pt idx="70">
                    <c:v>560</c:v>
                  </c:pt>
                  <c:pt idx="71">
                    <c:v>560</c:v>
                  </c:pt>
                  <c:pt idx="72">
                    <c:v>560</c:v>
                  </c:pt>
                  <c:pt idx="73">
                    <c:v>560</c:v>
                  </c:pt>
                  <c:pt idx="74">
                    <c:v>560</c:v>
                  </c:pt>
                  <c:pt idx="75">
                    <c:v>560</c:v>
                  </c:pt>
                  <c:pt idx="76">
                    <c:v>560</c:v>
                  </c:pt>
                  <c:pt idx="77">
                    <c:v>560</c:v>
                  </c:pt>
                  <c:pt idx="78">
                    <c:v>560</c:v>
                  </c:pt>
                  <c:pt idx="79">
                    <c:v>560</c:v>
                  </c:pt>
                  <c:pt idx="80">
                    <c:v>560</c:v>
                  </c:pt>
                  <c:pt idx="81">
                    <c:v>560</c:v>
                  </c:pt>
                  <c:pt idx="82">
                    <c:v>560</c:v>
                  </c:pt>
                  <c:pt idx="83">
                    <c:v>560</c:v>
                  </c:pt>
                  <c:pt idx="84">
                    <c:v>560</c:v>
                  </c:pt>
                  <c:pt idx="85">
                    <c:v>560</c:v>
                  </c:pt>
                  <c:pt idx="86">
                    <c:v>560</c:v>
                  </c:pt>
                  <c:pt idx="87">
                    <c:v>560</c:v>
                  </c:pt>
                  <c:pt idx="88">
                    <c:v>560</c:v>
                  </c:pt>
                  <c:pt idx="89">
                    <c:v>560</c:v>
                  </c:pt>
                  <c:pt idx="90">
                    <c:v>560</c:v>
                  </c:pt>
                  <c:pt idx="91">
                    <c:v>560</c:v>
                  </c:pt>
                  <c:pt idx="92">
                    <c:v>560</c:v>
                  </c:pt>
                  <c:pt idx="93">
                    <c:v>560</c:v>
                  </c:pt>
                  <c:pt idx="94">
                    <c:v>560</c:v>
                  </c:pt>
                  <c:pt idx="95">
                    <c:v>560</c:v>
                  </c:pt>
                  <c:pt idx="96">
                    <c:v>560</c:v>
                  </c:pt>
                  <c:pt idx="97">
                    <c:v>560</c:v>
                  </c:pt>
                  <c:pt idx="98">
                    <c:v>560</c:v>
                  </c:pt>
                  <c:pt idx="99">
                    <c:v>560</c:v>
                  </c:pt>
                  <c:pt idx="100">
                    <c:v>560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500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500</c:v>
                  </c:pt>
                  <c:pt idx="10">
                    <c:v>500</c:v>
                  </c:pt>
                  <c:pt idx="11">
                    <c:v>500</c:v>
                  </c:pt>
                  <c:pt idx="12">
                    <c:v>500</c:v>
                  </c:pt>
                  <c:pt idx="13">
                    <c:v>500</c:v>
                  </c:pt>
                  <c:pt idx="14">
                    <c:v>500</c:v>
                  </c:pt>
                  <c:pt idx="15">
                    <c:v>500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500</c:v>
                  </c:pt>
                  <c:pt idx="21">
                    <c:v>500</c:v>
                  </c:pt>
                  <c:pt idx="22">
                    <c:v>500</c:v>
                  </c:pt>
                  <c:pt idx="23">
                    <c:v>500</c:v>
                  </c:pt>
                  <c:pt idx="24">
                    <c:v>500</c:v>
                  </c:pt>
                  <c:pt idx="25">
                    <c:v>500</c:v>
                  </c:pt>
                  <c:pt idx="26">
                    <c:v>500</c:v>
                  </c:pt>
                  <c:pt idx="27">
                    <c:v>500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500</c:v>
                  </c:pt>
                  <c:pt idx="33">
                    <c:v>500</c:v>
                  </c:pt>
                  <c:pt idx="34">
                    <c:v>500</c:v>
                  </c:pt>
                  <c:pt idx="35">
                    <c:v>500</c:v>
                  </c:pt>
                  <c:pt idx="36">
                    <c:v>500</c:v>
                  </c:pt>
                  <c:pt idx="37">
                    <c:v>500</c:v>
                  </c:pt>
                  <c:pt idx="38">
                    <c:v>500</c:v>
                  </c:pt>
                  <c:pt idx="39">
                    <c:v>500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500</c:v>
                  </c:pt>
                  <c:pt idx="45">
                    <c:v>500</c:v>
                  </c:pt>
                  <c:pt idx="46">
                    <c:v>500</c:v>
                  </c:pt>
                  <c:pt idx="47">
                    <c:v>500</c:v>
                  </c:pt>
                  <c:pt idx="48">
                    <c:v>500</c:v>
                  </c:pt>
                  <c:pt idx="49">
                    <c:v>500</c:v>
                  </c:pt>
                  <c:pt idx="50">
                    <c:v>500</c:v>
                  </c:pt>
                  <c:pt idx="51">
                    <c:v>500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500</c:v>
                  </c:pt>
                  <c:pt idx="57">
                    <c:v>500</c:v>
                  </c:pt>
                  <c:pt idx="58">
                    <c:v>500</c:v>
                  </c:pt>
                  <c:pt idx="59">
                    <c:v>500</c:v>
                  </c:pt>
                  <c:pt idx="60">
                    <c:v>500</c:v>
                  </c:pt>
                  <c:pt idx="61">
                    <c:v>500</c:v>
                  </c:pt>
                  <c:pt idx="62">
                    <c:v>500</c:v>
                  </c:pt>
                  <c:pt idx="63">
                    <c:v>500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500</c:v>
                  </c:pt>
                  <c:pt idx="69">
                    <c:v>500</c:v>
                  </c:pt>
                  <c:pt idx="70">
                    <c:v>500</c:v>
                  </c:pt>
                  <c:pt idx="71">
                    <c:v>500</c:v>
                  </c:pt>
                  <c:pt idx="72">
                    <c:v>500</c:v>
                  </c:pt>
                  <c:pt idx="73">
                    <c:v>500</c:v>
                  </c:pt>
                  <c:pt idx="74">
                    <c:v>500</c:v>
                  </c:pt>
                  <c:pt idx="75">
                    <c:v>500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500</c:v>
                  </c:pt>
                  <c:pt idx="81">
                    <c:v>500</c:v>
                  </c:pt>
                  <c:pt idx="82">
                    <c:v>500</c:v>
                  </c:pt>
                  <c:pt idx="83">
                    <c:v>500</c:v>
                  </c:pt>
                  <c:pt idx="84">
                    <c:v>500</c:v>
                  </c:pt>
                  <c:pt idx="85">
                    <c:v>500</c:v>
                  </c:pt>
                  <c:pt idx="86">
                    <c:v>500</c:v>
                  </c:pt>
                  <c:pt idx="87">
                    <c:v>500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500</c:v>
                  </c:pt>
                  <c:pt idx="93">
                    <c:v>500</c:v>
                  </c:pt>
                  <c:pt idx="94">
                    <c:v>500</c:v>
                  </c:pt>
                  <c:pt idx="95">
                    <c:v>500</c:v>
                  </c:pt>
                  <c:pt idx="96">
                    <c:v>500</c:v>
                  </c:pt>
                  <c:pt idx="97">
                    <c:v>500</c:v>
                  </c:pt>
                  <c:pt idx="98">
                    <c:v>500</c:v>
                  </c:pt>
                  <c:pt idx="99">
                    <c:v>500</c:v>
                  </c:pt>
                  <c:pt idx="100">
                    <c:v>500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82</c:v>
                  </c:pt>
                  <c:pt idx="83">
                    <c:v>83</c:v>
                  </c:pt>
                  <c:pt idx="84">
                    <c:v>84</c:v>
                  </c:pt>
                  <c:pt idx="85">
                    <c:v>85</c:v>
                  </c:pt>
                  <c:pt idx="86">
                    <c:v>86</c:v>
                  </c:pt>
                  <c:pt idx="87">
                    <c:v>87</c:v>
                  </c:pt>
                  <c:pt idx="88">
                    <c:v>88</c:v>
                  </c:pt>
                  <c:pt idx="89">
                    <c:v>89</c:v>
                  </c:pt>
                  <c:pt idx="90">
                    <c:v>90</c:v>
                  </c:pt>
                  <c:pt idx="91">
                    <c:v>91</c:v>
                  </c:pt>
                  <c:pt idx="92">
                    <c:v>92</c:v>
                  </c:pt>
                  <c:pt idx="93">
                    <c:v>93</c:v>
                  </c:pt>
                  <c:pt idx="94">
                    <c:v>94</c:v>
                  </c:pt>
                  <c:pt idx="95">
                    <c:v>95</c:v>
                  </c:pt>
                  <c:pt idx="96">
                    <c:v>96</c:v>
                  </c:pt>
                  <c:pt idx="97">
                    <c:v>97</c:v>
                  </c:pt>
                  <c:pt idx="98">
                    <c:v>98</c:v>
                  </c:pt>
                  <c:pt idx="99">
                    <c:v>99</c:v>
                  </c:pt>
                  <c:pt idx="100">
                    <c:v>100</c:v>
                  </c:pt>
                </c:lvl>
              </c:multiLvlStrCache>
            </c:multiLvlStrRef>
          </c:xVal>
          <c:yVal>
            <c:numRef>
              <c:f>'HPS Comparing'!$Z$10:$Z$110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9C-40CC-835F-A10742FCB657}"/>
            </c:ext>
          </c:extLst>
        </c:ser>
        <c:ser>
          <c:idx val="13"/>
          <c:order val="13"/>
          <c:tx>
            <c:v>560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Comparing'!$AN$10:$AN$11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Comparing'!$AO$10:$AO$11</c:f>
              <c:numCache>
                <c:formatCode>General</c:formatCode>
                <c:ptCount val="2"/>
                <c:pt idx="0">
                  <c:v>560</c:v>
                </c:pt>
                <c:pt idx="1">
                  <c:v>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9C-40CC-835F-A10742FCB657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Comparing'!$AN$14:$AN$15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Comparing'!$AO$14:$AO$15</c:f>
              <c:numCache>
                <c:formatCode>General</c:formatCode>
                <c:ptCount val="2"/>
                <c:pt idx="0">
                  <c:v>160</c:v>
                </c:pt>
                <c:pt idx="1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9C-40CC-835F-A10742FCB657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Comparing'!$AN$17:$AN$18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Comparing'!$AO$17:$AO$18</c:f>
              <c:numCache>
                <c:formatCode>General</c:formatCode>
                <c:ptCount val="2"/>
                <c:pt idx="0">
                  <c:v>360</c:v>
                </c:pt>
                <c:pt idx="1">
                  <c:v>360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9C-40CC-835F-A10742FCB657}"/>
            </c:ext>
          </c:extLst>
        </c:ser>
        <c:ser>
          <c:idx val="17"/>
          <c:order val="18"/>
          <c:tx>
            <c:v>Light end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'HPS Comparing'!$AN$23:$AN$24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'HPS Comparing'!$AO$23:$AO$24</c:f>
              <c:numCache>
                <c:formatCode>General</c:formatCode>
                <c:ptCount val="2"/>
                <c:pt idx="0">
                  <c:v>-2</c:v>
                </c:pt>
                <c:pt idx="1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09C-40CC-835F-A10742FCB657}"/>
            </c:ext>
          </c:extLst>
        </c:ser>
        <c:ser>
          <c:idx val="20"/>
          <c:order val="20"/>
          <c:tx>
            <c:v>HPS-D5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Comparing'!$N$10:$N$98</c:f>
              <c:numCache>
                <c:formatCode>General</c:formatCode>
                <c:ptCount val="89"/>
                <c:pt idx="0">
                  <c:v>95.5</c:v>
                </c:pt>
                <c:pt idx="1">
                  <c:v>125.7</c:v>
                </c:pt>
                <c:pt idx="2">
                  <c:v>155.6</c:v>
                </c:pt>
                <c:pt idx="3">
                  <c:v>174.7</c:v>
                </c:pt>
                <c:pt idx="4">
                  <c:v>190.5</c:v>
                </c:pt>
                <c:pt idx="5">
                  <c:v>203.2</c:v>
                </c:pt>
                <c:pt idx="6">
                  <c:v>216</c:v>
                </c:pt>
                <c:pt idx="7">
                  <c:v>226</c:v>
                </c:pt>
                <c:pt idx="8">
                  <c:v>235.1</c:v>
                </c:pt>
                <c:pt idx="9">
                  <c:v>245.2</c:v>
                </c:pt>
                <c:pt idx="10">
                  <c:v>253.3</c:v>
                </c:pt>
                <c:pt idx="11">
                  <c:v>262.5</c:v>
                </c:pt>
                <c:pt idx="12">
                  <c:v>270.2</c:v>
                </c:pt>
                <c:pt idx="13">
                  <c:v>278.8</c:v>
                </c:pt>
                <c:pt idx="14">
                  <c:v>286.39999999999998</c:v>
                </c:pt>
                <c:pt idx="15">
                  <c:v>294.10000000000002</c:v>
                </c:pt>
                <c:pt idx="16">
                  <c:v>301</c:v>
                </c:pt>
                <c:pt idx="17">
                  <c:v>308</c:v>
                </c:pt>
                <c:pt idx="18">
                  <c:v>314.89999999999998</c:v>
                </c:pt>
                <c:pt idx="19">
                  <c:v>321.3</c:v>
                </c:pt>
                <c:pt idx="20">
                  <c:v>328.2</c:v>
                </c:pt>
                <c:pt idx="21">
                  <c:v>334.2</c:v>
                </c:pt>
                <c:pt idx="22">
                  <c:v>340.8</c:v>
                </c:pt>
                <c:pt idx="23">
                  <c:v>346.4</c:v>
                </c:pt>
                <c:pt idx="24">
                  <c:v>352.3</c:v>
                </c:pt>
                <c:pt idx="25">
                  <c:v>357.5</c:v>
                </c:pt>
                <c:pt idx="26">
                  <c:v>363.2</c:v>
                </c:pt>
                <c:pt idx="27">
                  <c:v>368.5</c:v>
                </c:pt>
                <c:pt idx="28">
                  <c:v>375.1</c:v>
                </c:pt>
                <c:pt idx="29">
                  <c:v>381.5</c:v>
                </c:pt>
                <c:pt idx="30">
                  <c:v>388.2</c:v>
                </c:pt>
                <c:pt idx="31">
                  <c:v>393.9</c:v>
                </c:pt>
                <c:pt idx="32">
                  <c:v>399.4</c:v>
                </c:pt>
                <c:pt idx="33">
                  <c:v>404.7</c:v>
                </c:pt>
                <c:pt idx="34">
                  <c:v>410</c:v>
                </c:pt>
                <c:pt idx="35">
                  <c:v>415.6</c:v>
                </c:pt>
                <c:pt idx="36">
                  <c:v>421</c:v>
                </c:pt>
                <c:pt idx="37">
                  <c:v>427</c:v>
                </c:pt>
                <c:pt idx="38">
                  <c:v>432.5</c:v>
                </c:pt>
                <c:pt idx="39">
                  <c:v>438.1</c:v>
                </c:pt>
                <c:pt idx="40">
                  <c:v>443.3</c:v>
                </c:pt>
                <c:pt idx="41">
                  <c:v>448.5</c:v>
                </c:pt>
                <c:pt idx="42">
                  <c:v>454.3</c:v>
                </c:pt>
                <c:pt idx="43">
                  <c:v>459.9</c:v>
                </c:pt>
                <c:pt idx="44">
                  <c:v>465.4</c:v>
                </c:pt>
                <c:pt idx="45">
                  <c:v>471</c:v>
                </c:pt>
                <c:pt idx="46">
                  <c:v>476.4</c:v>
                </c:pt>
                <c:pt idx="47">
                  <c:v>481.9</c:v>
                </c:pt>
                <c:pt idx="48">
                  <c:v>487.5</c:v>
                </c:pt>
                <c:pt idx="49">
                  <c:v>493.2</c:v>
                </c:pt>
                <c:pt idx="50">
                  <c:v>498.4</c:v>
                </c:pt>
                <c:pt idx="51">
                  <c:v>503.4</c:v>
                </c:pt>
                <c:pt idx="52">
                  <c:v>508.3</c:v>
                </c:pt>
                <c:pt idx="53">
                  <c:v>513.70000000000005</c:v>
                </c:pt>
                <c:pt idx="54">
                  <c:v>519.1</c:v>
                </c:pt>
                <c:pt idx="55">
                  <c:v>524.20000000000005</c:v>
                </c:pt>
                <c:pt idx="56">
                  <c:v>529.1</c:v>
                </c:pt>
                <c:pt idx="57">
                  <c:v>533.9</c:v>
                </c:pt>
                <c:pt idx="58">
                  <c:v>538.70000000000005</c:v>
                </c:pt>
                <c:pt idx="59">
                  <c:v>543.29999999999995</c:v>
                </c:pt>
                <c:pt idx="60">
                  <c:v>548.1</c:v>
                </c:pt>
                <c:pt idx="61">
                  <c:v>552.79999999999995</c:v>
                </c:pt>
                <c:pt idx="62">
                  <c:v>557.4</c:v>
                </c:pt>
                <c:pt idx="63">
                  <c:v>561.79999999999995</c:v>
                </c:pt>
                <c:pt idx="64">
                  <c:v>566.1</c:v>
                </c:pt>
                <c:pt idx="65">
                  <c:v>570.20000000000005</c:v>
                </c:pt>
                <c:pt idx="66">
                  <c:v>574.20000000000005</c:v>
                </c:pt>
                <c:pt idx="67">
                  <c:v>578.5</c:v>
                </c:pt>
                <c:pt idx="68">
                  <c:v>582.9</c:v>
                </c:pt>
                <c:pt idx="69">
                  <c:v>587.20000000000005</c:v>
                </c:pt>
                <c:pt idx="70">
                  <c:v>591.6</c:v>
                </c:pt>
                <c:pt idx="71">
                  <c:v>596</c:v>
                </c:pt>
                <c:pt idx="72">
                  <c:v>600.5</c:v>
                </c:pt>
                <c:pt idx="73">
                  <c:v>605.29999999999995</c:v>
                </c:pt>
                <c:pt idx="74">
                  <c:v>610.29999999999995</c:v>
                </c:pt>
                <c:pt idx="75">
                  <c:v>615.29999999999995</c:v>
                </c:pt>
                <c:pt idx="76">
                  <c:v>620.9</c:v>
                </c:pt>
                <c:pt idx="77">
                  <c:v>626.4</c:v>
                </c:pt>
                <c:pt idx="78">
                  <c:v>632.1</c:v>
                </c:pt>
                <c:pt idx="79">
                  <c:v>638</c:v>
                </c:pt>
                <c:pt idx="80">
                  <c:v>644.6</c:v>
                </c:pt>
                <c:pt idx="81">
                  <c:v>651.6</c:v>
                </c:pt>
                <c:pt idx="82">
                  <c:v>658.6</c:v>
                </c:pt>
                <c:pt idx="83">
                  <c:v>667.9</c:v>
                </c:pt>
                <c:pt idx="84">
                  <c:v>677.4</c:v>
                </c:pt>
                <c:pt idx="85">
                  <c:v>688.1</c:v>
                </c:pt>
                <c:pt idx="86">
                  <c:v>698.6</c:v>
                </c:pt>
                <c:pt idx="87">
                  <c:v>709.6</c:v>
                </c:pt>
                <c:pt idx="88">
                  <c:v>722.6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09C-40CC-835F-A10742FCB657}"/>
            </c:ext>
          </c:extLst>
        </c:ser>
        <c:ser>
          <c:idx val="21"/>
          <c:order val="21"/>
          <c:tx>
            <c:v>HPS_Aging_D3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Comparing'!$L$10:$L$102</c:f>
              <c:numCache>
                <c:formatCode>General</c:formatCode>
                <c:ptCount val="93"/>
                <c:pt idx="0">
                  <c:v>152.5</c:v>
                </c:pt>
                <c:pt idx="1">
                  <c:v>185.3</c:v>
                </c:pt>
                <c:pt idx="2">
                  <c:v>226.6</c:v>
                </c:pt>
                <c:pt idx="3">
                  <c:v>255</c:v>
                </c:pt>
                <c:pt idx="4">
                  <c:v>279.10000000000002</c:v>
                </c:pt>
                <c:pt idx="5">
                  <c:v>299.2</c:v>
                </c:pt>
                <c:pt idx="6">
                  <c:v>317.3</c:v>
                </c:pt>
                <c:pt idx="7">
                  <c:v>332.5</c:v>
                </c:pt>
                <c:pt idx="8">
                  <c:v>345.5</c:v>
                </c:pt>
                <c:pt idx="9">
                  <c:v>356.3</c:v>
                </c:pt>
                <c:pt idx="10">
                  <c:v>366.7</c:v>
                </c:pt>
                <c:pt idx="11">
                  <c:v>378.3</c:v>
                </c:pt>
                <c:pt idx="12">
                  <c:v>390.2</c:v>
                </c:pt>
                <c:pt idx="13">
                  <c:v>398.9</c:v>
                </c:pt>
                <c:pt idx="14">
                  <c:v>407.3</c:v>
                </c:pt>
                <c:pt idx="15">
                  <c:v>415.7</c:v>
                </c:pt>
                <c:pt idx="16">
                  <c:v>424.9</c:v>
                </c:pt>
                <c:pt idx="17">
                  <c:v>433.3</c:v>
                </c:pt>
                <c:pt idx="18">
                  <c:v>440.7</c:v>
                </c:pt>
                <c:pt idx="19">
                  <c:v>448</c:v>
                </c:pt>
                <c:pt idx="20">
                  <c:v>455.9</c:v>
                </c:pt>
                <c:pt idx="21">
                  <c:v>463.6</c:v>
                </c:pt>
                <c:pt idx="22">
                  <c:v>470.6</c:v>
                </c:pt>
                <c:pt idx="23">
                  <c:v>477.3</c:v>
                </c:pt>
                <c:pt idx="24">
                  <c:v>484.2</c:v>
                </c:pt>
                <c:pt idx="25">
                  <c:v>491.3</c:v>
                </c:pt>
                <c:pt idx="26">
                  <c:v>497.8</c:v>
                </c:pt>
                <c:pt idx="27">
                  <c:v>503.3</c:v>
                </c:pt>
                <c:pt idx="28">
                  <c:v>508.7</c:v>
                </c:pt>
                <c:pt idx="29">
                  <c:v>514.70000000000005</c:v>
                </c:pt>
                <c:pt idx="30">
                  <c:v>520.6</c:v>
                </c:pt>
                <c:pt idx="31">
                  <c:v>525.70000000000005</c:v>
                </c:pt>
                <c:pt idx="32">
                  <c:v>530.5</c:v>
                </c:pt>
                <c:pt idx="33">
                  <c:v>535.20000000000005</c:v>
                </c:pt>
                <c:pt idx="34">
                  <c:v>539.6</c:v>
                </c:pt>
                <c:pt idx="35">
                  <c:v>543.9</c:v>
                </c:pt>
                <c:pt idx="36">
                  <c:v>548.20000000000005</c:v>
                </c:pt>
                <c:pt idx="37">
                  <c:v>552.4</c:v>
                </c:pt>
                <c:pt idx="38">
                  <c:v>556.4</c:v>
                </c:pt>
                <c:pt idx="39">
                  <c:v>560</c:v>
                </c:pt>
                <c:pt idx="40">
                  <c:v>563.5</c:v>
                </c:pt>
                <c:pt idx="41">
                  <c:v>566.79999999999995</c:v>
                </c:pt>
                <c:pt idx="42">
                  <c:v>569.9</c:v>
                </c:pt>
                <c:pt idx="43">
                  <c:v>572.9</c:v>
                </c:pt>
                <c:pt idx="44">
                  <c:v>575.79999999999995</c:v>
                </c:pt>
                <c:pt idx="45">
                  <c:v>578.79999999999995</c:v>
                </c:pt>
                <c:pt idx="46">
                  <c:v>581.70000000000005</c:v>
                </c:pt>
                <c:pt idx="47">
                  <c:v>584.6</c:v>
                </c:pt>
                <c:pt idx="48">
                  <c:v>587.4</c:v>
                </c:pt>
                <c:pt idx="49">
                  <c:v>590.1</c:v>
                </c:pt>
                <c:pt idx="50">
                  <c:v>592.79999999999995</c:v>
                </c:pt>
                <c:pt idx="51">
                  <c:v>595.5</c:v>
                </c:pt>
                <c:pt idx="52">
                  <c:v>598.1</c:v>
                </c:pt>
                <c:pt idx="53">
                  <c:v>600.79999999999995</c:v>
                </c:pt>
                <c:pt idx="54">
                  <c:v>603.6</c:v>
                </c:pt>
                <c:pt idx="55">
                  <c:v>606.29999999999995</c:v>
                </c:pt>
                <c:pt idx="56">
                  <c:v>609</c:v>
                </c:pt>
                <c:pt idx="57">
                  <c:v>611.70000000000005</c:v>
                </c:pt>
                <c:pt idx="58">
                  <c:v>614.5</c:v>
                </c:pt>
                <c:pt idx="59">
                  <c:v>617.29999999999995</c:v>
                </c:pt>
                <c:pt idx="60">
                  <c:v>620.1</c:v>
                </c:pt>
                <c:pt idx="61">
                  <c:v>623</c:v>
                </c:pt>
                <c:pt idx="62">
                  <c:v>625.79999999999995</c:v>
                </c:pt>
                <c:pt idx="63">
                  <c:v>628.6</c:v>
                </c:pt>
                <c:pt idx="64">
                  <c:v>631.4</c:v>
                </c:pt>
                <c:pt idx="65">
                  <c:v>634.20000000000005</c:v>
                </c:pt>
                <c:pt idx="66">
                  <c:v>637.1</c:v>
                </c:pt>
                <c:pt idx="67">
                  <c:v>640</c:v>
                </c:pt>
                <c:pt idx="68">
                  <c:v>643.1</c:v>
                </c:pt>
                <c:pt idx="69">
                  <c:v>646.20000000000005</c:v>
                </c:pt>
                <c:pt idx="70">
                  <c:v>649.20000000000005</c:v>
                </c:pt>
                <c:pt idx="71">
                  <c:v>652.20000000000005</c:v>
                </c:pt>
                <c:pt idx="72">
                  <c:v>655.1</c:v>
                </c:pt>
                <c:pt idx="73">
                  <c:v>658.1</c:v>
                </c:pt>
                <c:pt idx="74">
                  <c:v>661.9</c:v>
                </c:pt>
                <c:pt idx="75">
                  <c:v>665.7</c:v>
                </c:pt>
                <c:pt idx="76">
                  <c:v>669.7</c:v>
                </c:pt>
                <c:pt idx="77">
                  <c:v>673.1</c:v>
                </c:pt>
                <c:pt idx="78">
                  <c:v>676.9</c:v>
                </c:pt>
                <c:pt idx="79">
                  <c:v>681.3</c:v>
                </c:pt>
                <c:pt idx="80">
                  <c:v>685</c:v>
                </c:pt>
                <c:pt idx="81">
                  <c:v>688.9</c:v>
                </c:pt>
                <c:pt idx="82">
                  <c:v>692.4</c:v>
                </c:pt>
                <c:pt idx="83">
                  <c:v>695.7</c:v>
                </c:pt>
                <c:pt idx="84">
                  <c:v>700</c:v>
                </c:pt>
                <c:pt idx="85">
                  <c:v>703.3</c:v>
                </c:pt>
                <c:pt idx="86">
                  <c:v>706.7</c:v>
                </c:pt>
                <c:pt idx="87">
                  <c:v>710.8</c:v>
                </c:pt>
                <c:pt idx="88">
                  <c:v>714.7</c:v>
                </c:pt>
                <c:pt idx="89">
                  <c:v>718.6</c:v>
                </c:pt>
                <c:pt idx="90">
                  <c:v>722.6</c:v>
                </c:pt>
                <c:pt idx="91">
                  <c:v>726.7</c:v>
                </c:pt>
                <c:pt idx="92">
                  <c:v>730.9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09C-40CC-835F-A10742FCB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948943"/>
        <c:axId val="161193406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'HPS Comparing'!$J$7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Comparing'!$J$10:$J$89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142.1</c:v>
                      </c:pt>
                      <c:pt idx="1">
                        <c:v>173.4</c:v>
                      </c:pt>
                      <c:pt idx="2">
                        <c:v>215</c:v>
                      </c:pt>
                      <c:pt idx="3">
                        <c:v>248.3</c:v>
                      </c:pt>
                      <c:pt idx="4">
                        <c:v>270.7</c:v>
                      </c:pt>
                      <c:pt idx="5">
                        <c:v>291.2</c:v>
                      </c:pt>
                      <c:pt idx="6">
                        <c:v>308.60000000000002</c:v>
                      </c:pt>
                      <c:pt idx="7">
                        <c:v>324.2</c:v>
                      </c:pt>
                      <c:pt idx="8">
                        <c:v>338.5</c:v>
                      </c:pt>
                      <c:pt idx="9">
                        <c:v>351.6</c:v>
                      </c:pt>
                      <c:pt idx="10">
                        <c:v>363.5</c:v>
                      </c:pt>
                      <c:pt idx="11">
                        <c:v>374.4</c:v>
                      </c:pt>
                      <c:pt idx="12">
                        <c:v>384.5</c:v>
                      </c:pt>
                      <c:pt idx="13">
                        <c:v>394.2</c:v>
                      </c:pt>
                      <c:pt idx="14">
                        <c:v>404</c:v>
                      </c:pt>
                      <c:pt idx="15">
                        <c:v>413.2</c:v>
                      </c:pt>
                      <c:pt idx="16">
                        <c:v>421.9</c:v>
                      </c:pt>
                      <c:pt idx="17">
                        <c:v>430.1</c:v>
                      </c:pt>
                      <c:pt idx="18">
                        <c:v>438.5</c:v>
                      </c:pt>
                      <c:pt idx="19">
                        <c:v>446.5</c:v>
                      </c:pt>
                      <c:pt idx="20">
                        <c:v>454.4</c:v>
                      </c:pt>
                      <c:pt idx="21">
                        <c:v>462</c:v>
                      </c:pt>
                      <c:pt idx="22">
                        <c:v>469.5</c:v>
                      </c:pt>
                      <c:pt idx="23">
                        <c:v>476.7</c:v>
                      </c:pt>
                      <c:pt idx="24">
                        <c:v>483.7</c:v>
                      </c:pt>
                      <c:pt idx="25">
                        <c:v>490.4</c:v>
                      </c:pt>
                      <c:pt idx="26">
                        <c:v>496.8</c:v>
                      </c:pt>
                      <c:pt idx="27">
                        <c:v>502.6</c:v>
                      </c:pt>
                      <c:pt idx="28">
                        <c:v>508.1</c:v>
                      </c:pt>
                      <c:pt idx="29">
                        <c:v>513.70000000000005</c:v>
                      </c:pt>
                      <c:pt idx="30">
                        <c:v>519.1</c:v>
                      </c:pt>
                      <c:pt idx="31">
                        <c:v>524.20000000000005</c:v>
                      </c:pt>
                      <c:pt idx="32">
                        <c:v>528.79999999999995</c:v>
                      </c:pt>
                      <c:pt idx="33">
                        <c:v>533.20000000000005</c:v>
                      </c:pt>
                      <c:pt idx="34">
                        <c:v>537.4</c:v>
                      </c:pt>
                      <c:pt idx="35">
                        <c:v>541.5</c:v>
                      </c:pt>
                      <c:pt idx="36">
                        <c:v>545.29999999999995</c:v>
                      </c:pt>
                      <c:pt idx="37">
                        <c:v>549.4</c:v>
                      </c:pt>
                      <c:pt idx="38">
                        <c:v>553.20000000000005</c:v>
                      </c:pt>
                      <c:pt idx="39">
                        <c:v>556.9</c:v>
                      </c:pt>
                      <c:pt idx="40">
                        <c:v>560.4</c:v>
                      </c:pt>
                      <c:pt idx="41">
                        <c:v>563.79999999999995</c:v>
                      </c:pt>
                      <c:pt idx="42">
                        <c:v>567</c:v>
                      </c:pt>
                      <c:pt idx="43">
                        <c:v>570</c:v>
                      </c:pt>
                      <c:pt idx="44">
                        <c:v>573</c:v>
                      </c:pt>
                      <c:pt idx="45">
                        <c:v>576.1</c:v>
                      </c:pt>
                      <c:pt idx="46">
                        <c:v>579.20000000000005</c:v>
                      </c:pt>
                      <c:pt idx="47">
                        <c:v>582.4</c:v>
                      </c:pt>
                      <c:pt idx="48">
                        <c:v>585.5</c:v>
                      </c:pt>
                      <c:pt idx="49">
                        <c:v>588.5</c:v>
                      </c:pt>
                      <c:pt idx="50">
                        <c:v>591.6</c:v>
                      </c:pt>
                      <c:pt idx="51">
                        <c:v>594.70000000000005</c:v>
                      </c:pt>
                      <c:pt idx="52">
                        <c:v>597.79999999999995</c:v>
                      </c:pt>
                      <c:pt idx="53">
                        <c:v>601</c:v>
                      </c:pt>
                      <c:pt idx="54">
                        <c:v>604.29999999999995</c:v>
                      </c:pt>
                      <c:pt idx="55">
                        <c:v>607.6</c:v>
                      </c:pt>
                      <c:pt idx="56">
                        <c:v>610.9</c:v>
                      </c:pt>
                      <c:pt idx="57">
                        <c:v>614.29999999999995</c:v>
                      </c:pt>
                      <c:pt idx="58">
                        <c:v>617.79999999999995</c:v>
                      </c:pt>
                      <c:pt idx="59">
                        <c:v>621.4</c:v>
                      </c:pt>
                      <c:pt idx="60">
                        <c:v>625</c:v>
                      </c:pt>
                      <c:pt idx="61">
                        <c:v>628.6</c:v>
                      </c:pt>
                      <c:pt idx="62">
                        <c:v>632</c:v>
                      </c:pt>
                      <c:pt idx="63">
                        <c:v>635.5</c:v>
                      </c:pt>
                      <c:pt idx="64">
                        <c:v>639.29999999999995</c:v>
                      </c:pt>
                      <c:pt idx="65">
                        <c:v>643.29999999999995</c:v>
                      </c:pt>
                      <c:pt idx="66">
                        <c:v>647.4</c:v>
                      </c:pt>
                      <c:pt idx="67">
                        <c:v>651.4</c:v>
                      </c:pt>
                      <c:pt idx="68">
                        <c:v>655.20000000000005</c:v>
                      </c:pt>
                      <c:pt idx="69">
                        <c:v>659.4</c:v>
                      </c:pt>
                      <c:pt idx="70">
                        <c:v>664.4</c:v>
                      </c:pt>
                      <c:pt idx="71">
                        <c:v>669.7</c:v>
                      </c:pt>
                      <c:pt idx="72">
                        <c:v>674.4</c:v>
                      </c:pt>
                      <c:pt idx="73">
                        <c:v>680</c:v>
                      </c:pt>
                      <c:pt idx="74">
                        <c:v>685.4</c:v>
                      </c:pt>
                      <c:pt idx="75">
                        <c:v>691</c:v>
                      </c:pt>
                      <c:pt idx="76">
                        <c:v>696</c:v>
                      </c:pt>
                      <c:pt idx="77">
                        <c:v>702.3</c:v>
                      </c:pt>
                      <c:pt idx="78">
                        <c:v>708.5</c:v>
                      </c:pt>
                      <c:pt idx="79">
                        <c:v>716.3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C-009C-40CC-835F-A10742FCB65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Comparing'!$K$7</c15:sqref>
                        </c15:formulaRef>
                      </c:ext>
                    </c:extLst>
                    <c:strCache>
                      <c:ptCount val="1"/>
                      <c:pt idx="0">
                        <c:v>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Comparing'!$K$10:$K$90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140.19999999999999</c:v>
                      </c:pt>
                      <c:pt idx="1">
                        <c:v>187.3</c:v>
                      </c:pt>
                      <c:pt idx="2">
                        <c:v>232</c:v>
                      </c:pt>
                      <c:pt idx="3">
                        <c:v>261.39999999999998</c:v>
                      </c:pt>
                      <c:pt idx="4">
                        <c:v>285.2</c:v>
                      </c:pt>
                      <c:pt idx="5">
                        <c:v>305.60000000000002</c:v>
                      </c:pt>
                      <c:pt idx="6">
                        <c:v>323.2</c:v>
                      </c:pt>
                      <c:pt idx="7">
                        <c:v>338.6</c:v>
                      </c:pt>
                      <c:pt idx="8">
                        <c:v>351.3</c:v>
                      </c:pt>
                      <c:pt idx="9">
                        <c:v>362.4</c:v>
                      </c:pt>
                      <c:pt idx="10">
                        <c:v>374.1</c:v>
                      </c:pt>
                      <c:pt idx="11">
                        <c:v>387.1</c:v>
                      </c:pt>
                      <c:pt idx="12">
                        <c:v>397.2</c:v>
                      </c:pt>
                      <c:pt idx="13">
                        <c:v>406</c:v>
                      </c:pt>
                      <c:pt idx="14">
                        <c:v>414.7</c:v>
                      </c:pt>
                      <c:pt idx="15">
                        <c:v>424.4</c:v>
                      </c:pt>
                      <c:pt idx="16">
                        <c:v>433.3</c:v>
                      </c:pt>
                      <c:pt idx="17">
                        <c:v>441.2</c:v>
                      </c:pt>
                      <c:pt idx="18">
                        <c:v>448.8</c:v>
                      </c:pt>
                      <c:pt idx="19">
                        <c:v>457.3</c:v>
                      </c:pt>
                      <c:pt idx="20">
                        <c:v>465.4</c:v>
                      </c:pt>
                      <c:pt idx="21">
                        <c:v>472.5</c:v>
                      </c:pt>
                      <c:pt idx="22">
                        <c:v>479.5</c:v>
                      </c:pt>
                      <c:pt idx="23">
                        <c:v>486.9</c:v>
                      </c:pt>
                      <c:pt idx="24">
                        <c:v>494.3</c:v>
                      </c:pt>
                      <c:pt idx="25">
                        <c:v>500.6</c:v>
                      </c:pt>
                      <c:pt idx="26">
                        <c:v>506.4</c:v>
                      </c:pt>
                      <c:pt idx="27">
                        <c:v>512.4</c:v>
                      </c:pt>
                      <c:pt idx="28">
                        <c:v>518.70000000000005</c:v>
                      </c:pt>
                      <c:pt idx="29">
                        <c:v>524.4</c:v>
                      </c:pt>
                      <c:pt idx="30">
                        <c:v>529.6</c:v>
                      </c:pt>
                      <c:pt idx="31">
                        <c:v>534.6</c:v>
                      </c:pt>
                      <c:pt idx="32">
                        <c:v>539.29999999999995</c:v>
                      </c:pt>
                      <c:pt idx="33">
                        <c:v>543.9</c:v>
                      </c:pt>
                      <c:pt idx="34">
                        <c:v>548.6</c:v>
                      </c:pt>
                      <c:pt idx="35">
                        <c:v>553.1</c:v>
                      </c:pt>
                      <c:pt idx="36">
                        <c:v>557.29999999999995</c:v>
                      </c:pt>
                      <c:pt idx="37">
                        <c:v>561.1</c:v>
                      </c:pt>
                      <c:pt idx="38">
                        <c:v>564.79999999999995</c:v>
                      </c:pt>
                      <c:pt idx="39">
                        <c:v>568.20000000000005</c:v>
                      </c:pt>
                      <c:pt idx="40">
                        <c:v>571.4</c:v>
                      </c:pt>
                      <c:pt idx="41">
                        <c:v>574.6</c:v>
                      </c:pt>
                      <c:pt idx="42">
                        <c:v>577.79999999999995</c:v>
                      </c:pt>
                      <c:pt idx="43">
                        <c:v>580.9</c:v>
                      </c:pt>
                      <c:pt idx="44">
                        <c:v>584.1</c:v>
                      </c:pt>
                      <c:pt idx="45">
                        <c:v>587</c:v>
                      </c:pt>
                      <c:pt idx="46">
                        <c:v>590</c:v>
                      </c:pt>
                      <c:pt idx="47">
                        <c:v>592.9</c:v>
                      </c:pt>
                      <c:pt idx="48">
                        <c:v>595.70000000000005</c:v>
                      </c:pt>
                      <c:pt idx="49">
                        <c:v>598.6</c:v>
                      </c:pt>
                      <c:pt idx="50">
                        <c:v>601.5</c:v>
                      </c:pt>
                      <c:pt idx="51">
                        <c:v>604.4</c:v>
                      </c:pt>
                      <c:pt idx="52">
                        <c:v>607.4</c:v>
                      </c:pt>
                      <c:pt idx="53">
                        <c:v>610.29999999999995</c:v>
                      </c:pt>
                      <c:pt idx="54">
                        <c:v>613.29999999999995</c:v>
                      </c:pt>
                      <c:pt idx="55">
                        <c:v>616.29999999999995</c:v>
                      </c:pt>
                      <c:pt idx="56">
                        <c:v>619.4</c:v>
                      </c:pt>
                      <c:pt idx="57">
                        <c:v>622.6</c:v>
                      </c:pt>
                      <c:pt idx="58">
                        <c:v>625.70000000000005</c:v>
                      </c:pt>
                      <c:pt idx="59">
                        <c:v>628.9</c:v>
                      </c:pt>
                      <c:pt idx="60">
                        <c:v>631.9</c:v>
                      </c:pt>
                      <c:pt idx="61">
                        <c:v>635.1</c:v>
                      </c:pt>
                      <c:pt idx="62">
                        <c:v>638.4</c:v>
                      </c:pt>
                      <c:pt idx="63">
                        <c:v>641.79999999999995</c:v>
                      </c:pt>
                      <c:pt idx="64">
                        <c:v>645.4</c:v>
                      </c:pt>
                      <c:pt idx="65">
                        <c:v>648.9</c:v>
                      </c:pt>
                      <c:pt idx="66">
                        <c:v>652.4</c:v>
                      </c:pt>
                      <c:pt idx="67">
                        <c:v>655.8</c:v>
                      </c:pt>
                      <c:pt idx="68">
                        <c:v>659.7</c:v>
                      </c:pt>
                      <c:pt idx="69">
                        <c:v>664.3</c:v>
                      </c:pt>
                      <c:pt idx="70">
                        <c:v>669.1</c:v>
                      </c:pt>
                      <c:pt idx="71">
                        <c:v>673.5</c:v>
                      </c:pt>
                      <c:pt idx="72">
                        <c:v>678.6</c:v>
                      </c:pt>
                      <c:pt idx="73">
                        <c:v>683.9</c:v>
                      </c:pt>
                      <c:pt idx="74">
                        <c:v>689.1</c:v>
                      </c:pt>
                      <c:pt idx="75">
                        <c:v>693.9</c:v>
                      </c:pt>
                      <c:pt idx="76">
                        <c:v>699.8</c:v>
                      </c:pt>
                      <c:pt idx="77">
                        <c:v>705.2</c:v>
                      </c:pt>
                      <c:pt idx="78">
                        <c:v>712.1</c:v>
                      </c:pt>
                      <c:pt idx="79">
                        <c:v>720.3</c:v>
                      </c:pt>
                      <c:pt idx="80">
                        <c:v>733.8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09C-40CC-835F-A10742FCB65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Comparing'!$L$7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Comparing'!$L$10:$L$102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152.5</c:v>
                      </c:pt>
                      <c:pt idx="1">
                        <c:v>185.3</c:v>
                      </c:pt>
                      <c:pt idx="2">
                        <c:v>226.6</c:v>
                      </c:pt>
                      <c:pt idx="3">
                        <c:v>255</c:v>
                      </c:pt>
                      <c:pt idx="4">
                        <c:v>279.10000000000002</c:v>
                      </c:pt>
                      <c:pt idx="5">
                        <c:v>299.2</c:v>
                      </c:pt>
                      <c:pt idx="6">
                        <c:v>317.3</c:v>
                      </c:pt>
                      <c:pt idx="7">
                        <c:v>332.5</c:v>
                      </c:pt>
                      <c:pt idx="8">
                        <c:v>345.5</c:v>
                      </c:pt>
                      <c:pt idx="9">
                        <c:v>356.3</c:v>
                      </c:pt>
                      <c:pt idx="10">
                        <c:v>366.7</c:v>
                      </c:pt>
                      <c:pt idx="11">
                        <c:v>378.3</c:v>
                      </c:pt>
                      <c:pt idx="12">
                        <c:v>390.2</c:v>
                      </c:pt>
                      <c:pt idx="13">
                        <c:v>398.9</c:v>
                      </c:pt>
                      <c:pt idx="14">
                        <c:v>407.3</c:v>
                      </c:pt>
                      <c:pt idx="15">
                        <c:v>415.7</c:v>
                      </c:pt>
                      <c:pt idx="16">
                        <c:v>424.9</c:v>
                      </c:pt>
                      <c:pt idx="17">
                        <c:v>433.3</c:v>
                      </c:pt>
                      <c:pt idx="18">
                        <c:v>440.7</c:v>
                      </c:pt>
                      <c:pt idx="19">
                        <c:v>448</c:v>
                      </c:pt>
                      <c:pt idx="20">
                        <c:v>455.9</c:v>
                      </c:pt>
                      <c:pt idx="21">
                        <c:v>463.6</c:v>
                      </c:pt>
                      <c:pt idx="22">
                        <c:v>470.6</c:v>
                      </c:pt>
                      <c:pt idx="23">
                        <c:v>477.3</c:v>
                      </c:pt>
                      <c:pt idx="24">
                        <c:v>484.2</c:v>
                      </c:pt>
                      <c:pt idx="25">
                        <c:v>491.3</c:v>
                      </c:pt>
                      <c:pt idx="26">
                        <c:v>497.8</c:v>
                      </c:pt>
                      <c:pt idx="27">
                        <c:v>503.3</c:v>
                      </c:pt>
                      <c:pt idx="28">
                        <c:v>508.7</c:v>
                      </c:pt>
                      <c:pt idx="29">
                        <c:v>514.70000000000005</c:v>
                      </c:pt>
                      <c:pt idx="30">
                        <c:v>520.6</c:v>
                      </c:pt>
                      <c:pt idx="31">
                        <c:v>525.70000000000005</c:v>
                      </c:pt>
                      <c:pt idx="32">
                        <c:v>530.5</c:v>
                      </c:pt>
                      <c:pt idx="33">
                        <c:v>535.20000000000005</c:v>
                      </c:pt>
                      <c:pt idx="34">
                        <c:v>539.6</c:v>
                      </c:pt>
                      <c:pt idx="35">
                        <c:v>543.9</c:v>
                      </c:pt>
                      <c:pt idx="36">
                        <c:v>548.20000000000005</c:v>
                      </c:pt>
                      <c:pt idx="37">
                        <c:v>552.4</c:v>
                      </c:pt>
                      <c:pt idx="38">
                        <c:v>556.4</c:v>
                      </c:pt>
                      <c:pt idx="39">
                        <c:v>560</c:v>
                      </c:pt>
                      <c:pt idx="40">
                        <c:v>563.5</c:v>
                      </c:pt>
                      <c:pt idx="41">
                        <c:v>566.79999999999995</c:v>
                      </c:pt>
                      <c:pt idx="42">
                        <c:v>569.9</c:v>
                      </c:pt>
                      <c:pt idx="43">
                        <c:v>572.9</c:v>
                      </c:pt>
                      <c:pt idx="44">
                        <c:v>575.79999999999995</c:v>
                      </c:pt>
                      <c:pt idx="45">
                        <c:v>578.79999999999995</c:v>
                      </c:pt>
                      <c:pt idx="46">
                        <c:v>581.70000000000005</c:v>
                      </c:pt>
                      <c:pt idx="47">
                        <c:v>584.6</c:v>
                      </c:pt>
                      <c:pt idx="48">
                        <c:v>587.4</c:v>
                      </c:pt>
                      <c:pt idx="49">
                        <c:v>590.1</c:v>
                      </c:pt>
                      <c:pt idx="50">
                        <c:v>592.79999999999995</c:v>
                      </c:pt>
                      <c:pt idx="51">
                        <c:v>595.5</c:v>
                      </c:pt>
                      <c:pt idx="52">
                        <c:v>598.1</c:v>
                      </c:pt>
                      <c:pt idx="53">
                        <c:v>600.79999999999995</c:v>
                      </c:pt>
                      <c:pt idx="54">
                        <c:v>603.6</c:v>
                      </c:pt>
                      <c:pt idx="55">
                        <c:v>606.29999999999995</c:v>
                      </c:pt>
                      <c:pt idx="56">
                        <c:v>609</c:v>
                      </c:pt>
                      <c:pt idx="57">
                        <c:v>611.70000000000005</c:v>
                      </c:pt>
                      <c:pt idx="58">
                        <c:v>614.5</c:v>
                      </c:pt>
                      <c:pt idx="59">
                        <c:v>617.29999999999995</c:v>
                      </c:pt>
                      <c:pt idx="60">
                        <c:v>620.1</c:v>
                      </c:pt>
                      <c:pt idx="61">
                        <c:v>623</c:v>
                      </c:pt>
                      <c:pt idx="62">
                        <c:v>625.79999999999995</c:v>
                      </c:pt>
                      <c:pt idx="63">
                        <c:v>628.6</c:v>
                      </c:pt>
                      <c:pt idx="64">
                        <c:v>631.4</c:v>
                      </c:pt>
                      <c:pt idx="65">
                        <c:v>634.20000000000005</c:v>
                      </c:pt>
                      <c:pt idx="66">
                        <c:v>637.1</c:v>
                      </c:pt>
                      <c:pt idx="67">
                        <c:v>640</c:v>
                      </c:pt>
                      <c:pt idx="68">
                        <c:v>643.1</c:v>
                      </c:pt>
                      <c:pt idx="69">
                        <c:v>646.20000000000005</c:v>
                      </c:pt>
                      <c:pt idx="70">
                        <c:v>649.20000000000005</c:v>
                      </c:pt>
                      <c:pt idx="71">
                        <c:v>652.20000000000005</c:v>
                      </c:pt>
                      <c:pt idx="72">
                        <c:v>655.1</c:v>
                      </c:pt>
                      <c:pt idx="73">
                        <c:v>658.1</c:v>
                      </c:pt>
                      <c:pt idx="74">
                        <c:v>661.9</c:v>
                      </c:pt>
                      <c:pt idx="75">
                        <c:v>665.7</c:v>
                      </c:pt>
                      <c:pt idx="76">
                        <c:v>669.7</c:v>
                      </c:pt>
                      <c:pt idx="77">
                        <c:v>673.1</c:v>
                      </c:pt>
                      <c:pt idx="78">
                        <c:v>676.9</c:v>
                      </c:pt>
                      <c:pt idx="79">
                        <c:v>681.3</c:v>
                      </c:pt>
                      <c:pt idx="80">
                        <c:v>685</c:v>
                      </c:pt>
                      <c:pt idx="81">
                        <c:v>688.9</c:v>
                      </c:pt>
                      <c:pt idx="82">
                        <c:v>692.4</c:v>
                      </c:pt>
                      <c:pt idx="83">
                        <c:v>695.7</c:v>
                      </c:pt>
                      <c:pt idx="84">
                        <c:v>700</c:v>
                      </c:pt>
                      <c:pt idx="85">
                        <c:v>703.3</c:v>
                      </c:pt>
                      <c:pt idx="86">
                        <c:v>706.7</c:v>
                      </c:pt>
                      <c:pt idx="87">
                        <c:v>710.8</c:v>
                      </c:pt>
                      <c:pt idx="88">
                        <c:v>714.7</c:v>
                      </c:pt>
                      <c:pt idx="89">
                        <c:v>718.6</c:v>
                      </c:pt>
                      <c:pt idx="90">
                        <c:v>722.6</c:v>
                      </c:pt>
                      <c:pt idx="91">
                        <c:v>726.7</c:v>
                      </c:pt>
                      <c:pt idx="92">
                        <c:v>730.9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09C-40CC-835F-A10742FCB65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Comparing'!$M$7</c15:sqref>
                        </c15:formulaRef>
                      </c:ext>
                    </c:extLst>
                    <c:strCache>
                      <c:ptCount val="1"/>
                      <c:pt idx="0">
                        <c:v>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Comparing'!$M$10:$M$97</c15:sqref>
                        </c15:formulaRef>
                      </c:ext>
                    </c:extLst>
                    <c:numCache>
                      <c:formatCode>General</c:formatCode>
                      <c:ptCount val="88"/>
                      <c:pt idx="0">
                        <c:v>133.6</c:v>
                      </c:pt>
                      <c:pt idx="1">
                        <c:v>179.1</c:v>
                      </c:pt>
                      <c:pt idx="2">
                        <c:v>224.9</c:v>
                      </c:pt>
                      <c:pt idx="3">
                        <c:v>255.3</c:v>
                      </c:pt>
                      <c:pt idx="4">
                        <c:v>279.7</c:v>
                      </c:pt>
                      <c:pt idx="5">
                        <c:v>300.89999999999998</c:v>
                      </c:pt>
                      <c:pt idx="6">
                        <c:v>317.7</c:v>
                      </c:pt>
                      <c:pt idx="7">
                        <c:v>332.7</c:v>
                      </c:pt>
                      <c:pt idx="8">
                        <c:v>345.9</c:v>
                      </c:pt>
                      <c:pt idx="9">
                        <c:v>357.3</c:v>
                      </c:pt>
                      <c:pt idx="10">
                        <c:v>367.8</c:v>
                      </c:pt>
                      <c:pt idx="11">
                        <c:v>379.7</c:v>
                      </c:pt>
                      <c:pt idx="12">
                        <c:v>391.3</c:v>
                      </c:pt>
                      <c:pt idx="13">
                        <c:v>400</c:v>
                      </c:pt>
                      <c:pt idx="14">
                        <c:v>408.3</c:v>
                      </c:pt>
                      <c:pt idx="15">
                        <c:v>417</c:v>
                      </c:pt>
                      <c:pt idx="16">
                        <c:v>426.3</c:v>
                      </c:pt>
                      <c:pt idx="17">
                        <c:v>434.6</c:v>
                      </c:pt>
                      <c:pt idx="18">
                        <c:v>442.1</c:v>
                      </c:pt>
                      <c:pt idx="19">
                        <c:v>449.4</c:v>
                      </c:pt>
                      <c:pt idx="20">
                        <c:v>457.4</c:v>
                      </c:pt>
                      <c:pt idx="21">
                        <c:v>465.2</c:v>
                      </c:pt>
                      <c:pt idx="22">
                        <c:v>472.3</c:v>
                      </c:pt>
                      <c:pt idx="23">
                        <c:v>479</c:v>
                      </c:pt>
                      <c:pt idx="24">
                        <c:v>486.1</c:v>
                      </c:pt>
                      <c:pt idx="25">
                        <c:v>493.1</c:v>
                      </c:pt>
                      <c:pt idx="26">
                        <c:v>499.3</c:v>
                      </c:pt>
                      <c:pt idx="27">
                        <c:v>505</c:v>
                      </c:pt>
                      <c:pt idx="28">
                        <c:v>510.6</c:v>
                      </c:pt>
                      <c:pt idx="29">
                        <c:v>516.6</c:v>
                      </c:pt>
                      <c:pt idx="30">
                        <c:v>522.4</c:v>
                      </c:pt>
                      <c:pt idx="31">
                        <c:v>527.4</c:v>
                      </c:pt>
                      <c:pt idx="32">
                        <c:v>532.20000000000005</c:v>
                      </c:pt>
                      <c:pt idx="33">
                        <c:v>536.70000000000005</c:v>
                      </c:pt>
                      <c:pt idx="34">
                        <c:v>541.20000000000005</c:v>
                      </c:pt>
                      <c:pt idx="35">
                        <c:v>545.5</c:v>
                      </c:pt>
                      <c:pt idx="36">
                        <c:v>549.79999999999995</c:v>
                      </c:pt>
                      <c:pt idx="37">
                        <c:v>554</c:v>
                      </c:pt>
                      <c:pt idx="38">
                        <c:v>557.9</c:v>
                      </c:pt>
                      <c:pt idx="39">
                        <c:v>561.4</c:v>
                      </c:pt>
                      <c:pt idx="40">
                        <c:v>564.9</c:v>
                      </c:pt>
                      <c:pt idx="41">
                        <c:v>568.1</c:v>
                      </c:pt>
                      <c:pt idx="42">
                        <c:v>571.20000000000005</c:v>
                      </c:pt>
                      <c:pt idx="43">
                        <c:v>574.20000000000005</c:v>
                      </c:pt>
                      <c:pt idx="44">
                        <c:v>577.20000000000005</c:v>
                      </c:pt>
                      <c:pt idx="45">
                        <c:v>580.20000000000005</c:v>
                      </c:pt>
                      <c:pt idx="46">
                        <c:v>583.1</c:v>
                      </c:pt>
                      <c:pt idx="47">
                        <c:v>586</c:v>
                      </c:pt>
                      <c:pt idx="48">
                        <c:v>588.79999999999995</c:v>
                      </c:pt>
                      <c:pt idx="49">
                        <c:v>591.6</c:v>
                      </c:pt>
                      <c:pt idx="50">
                        <c:v>594.29999999999995</c:v>
                      </c:pt>
                      <c:pt idx="51">
                        <c:v>597</c:v>
                      </c:pt>
                      <c:pt idx="52">
                        <c:v>599.79999999999995</c:v>
                      </c:pt>
                      <c:pt idx="53">
                        <c:v>602.6</c:v>
                      </c:pt>
                      <c:pt idx="54">
                        <c:v>605.4</c:v>
                      </c:pt>
                      <c:pt idx="55">
                        <c:v>608.20000000000005</c:v>
                      </c:pt>
                      <c:pt idx="56">
                        <c:v>611</c:v>
                      </c:pt>
                      <c:pt idx="57">
                        <c:v>613.9</c:v>
                      </c:pt>
                      <c:pt idx="58">
                        <c:v>616.79999999999995</c:v>
                      </c:pt>
                      <c:pt idx="59">
                        <c:v>619.70000000000005</c:v>
                      </c:pt>
                      <c:pt idx="60">
                        <c:v>622.70000000000005</c:v>
                      </c:pt>
                      <c:pt idx="61">
                        <c:v>625.70000000000005</c:v>
                      </c:pt>
                      <c:pt idx="62">
                        <c:v>628.70000000000005</c:v>
                      </c:pt>
                      <c:pt idx="63">
                        <c:v>631.6</c:v>
                      </c:pt>
                      <c:pt idx="64">
                        <c:v>634.5</c:v>
                      </c:pt>
                      <c:pt idx="65">
                        <c:v>637.6</c:v>
                      </c:pt>
                      <c:pt idx="66">
                        <c:v>640.70000000000005</c:v>
                      </c:pt>
                      <c:pt idx="67">
                        <c:v>644</c:v>
                      </c:pt>
                      <c:pt idx="68">
                        <c:v>647.4</c:v>
                      </c:pt>
                      <c:pt idx="69">
                        <c:v>650.5</c:v>
                      </c:pt>
                      <c:pt idx="70">
                        <c:v>653.70000000000005</c:v>
                      </c:pt>
                      <c:pt idx="71">
                        <c:v>656.8</c:v>
                      </c:pt>
                      <c:pt idx="72">
                        <c:v>660.6</c:v>
                      </c:pt>
                      <c:pt idx="73">
                        <c:v>664.8</c:v>
                      </c:pt>
                      <c:pt idx="74">
                        <c:v>669.2</c:v>
                      </c:pt>
                      <c:pt idx="75">
                        <c:v>673.1</c:v>
                      </c:pt>
                      <c:pt idx="76">
                        <c:v>677.4</c:v>
                      </c:pt>
                      <c:pt idx="77">
                        <c:v>682.2</c:v>
                      </c:pt>
                      <c:pt idx="78">
                        <c:v>686.5</c:v>
                      </c:pt>
                      <c:pt idx="79">
                        <c:v>691.2</c:v>
                      </c:pt>
                      <c:pt idx="80">
                        <c:v>694.8</c:v>
                      </c:pt>
                      <c:pt idx="81">
                        <c:v>699.9</c:v>
                      </c:pt>
                      <c:pt idx="82">
                        <c:v>704</c:v>
                      </c:pt>
                      <c:pt idx="83">
                        <c:v>708.8</c:v>
                      </c:pt>
                      <c:pt idx="84">
                        <c:v>714.2</c:v>
                      </c:pt>
                      <c:pt idx="85">
                        <c:v>719.8</c:v>
                      </c:pt>
                      <c:pt idx="86">
                        <c:v>726.2</c:v>
                      </c:pt>
                      <c:pt idx="87">
                        <c:v>733.5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09C-40CC-835F-A10742FCB65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Comparing'!$N$7</c15:sqref>
                        </c15:formulaRef>
                      </c:ext>
                    </c:extLst>
                    <c:strCache>
                      <c:ptCount val="1"/>
                      <c:pt idx="0">
                        <c:v>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Comparing'!$N$10:$N$107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95.5</c:v>
                      </c:pt>
                      <c:pt idx="1">
                        <c:v>125.7</c:v>
                      </c:pt>
                      <c:pt idx="2">
                        <c:v>155.6</c:v>
                      </c:pt>
                      <c:pt idx="3">
                        <c:v>174.7</c:v>
                      </c:pt>
                      <c:pt idx="4">
                        <c:v>190.5</c:v>
                      </c:pt>
                      <c:pt idx="5">
                        <c:v>203.2</c:v>
                      </c:pt>
                      <c:pt idx="6">
                        <c:v>216</c:v>
                      </c:pt>
                      <c:pt idx="7">
                        <c:v>226</c:v>
                      </c:pt>
                      <c:pt idx="8">
                        <c:v>235.1</c:v>
                      </c:pt>
                      <c:pt idx="9">
                        <c:v>245.2</c:v>
                      </c:pt>
                      <c:pt idx="10">
                        <c:v>253.3</c:v>
                      </c:pt>
                      <c:pt idx="11">
                        <c:v>262.5</c:v>
                      </c:pt>
                      <c:pt idx="12">
                        <c:v>270.2</c:v>
                      </c:pt>
                      <c:pt idx="13">
                        <c:v>278.8</c:v>
                      </c:pt>
                      <c:pt idx="14">
                        <c:v>286.39999999999998</c:v>
                      </c:pt>
                      <c:pt idx="15">
                        <c:v>294.10000000000002</c:v>
                      </c:pt>
                      <c:pt idx="16">
                        <c:v>301</c:v>
                      </c:pt>
                      <c:pt idx="17">
                        <c:v>308</c:v>
                      </c:pt>
                      <c:pt idx="18">
                        <c:v>314.89999999999998</c:v>
                      </c:pt>
                      <c:pt idx="19">
                        <c:v>321.3</c:v>
                      </c:pt>
                      <c:pt idx="20">
                        <c:v>328.2</c:v>
                      </c:pt>
                      <c:pt idx="21">
                        <c:v>334.2</c:v>
                      </c:pt>
                      <c:pt idx="22">
                        <c:v>340.8</c:v>
                      </c:pt>
                      <c:pt idx="23">
                        <c:v>346.4</c:v>
                      </c:pt>
                      <c:pt idx="24">
                        <c:v>352.3</c:v>
                      </c:pt>
                      <c:pt idx="25">
                        <c:v>357.5</c:v>
                      </c:pt>
                      <c:pt idx="26">
                        <c:v>363.2</c:v>
                      </c:pt>
                      <c:pt idx="27">
                        <c:v>368.5</c:v>
                      </c:pt>
                      <c:pt idx="28">
                        <c:v>375.1</c:v>
                      </c:pt>
                      <c:pt idx="29">
                        <c:v>381.5</c:v>
                      </c:pt>
                      <c:pt idx="30">
                        <c:v>388.2</c:v>
                      </c:pt>
                      <c:pt idx="31">
                        <c:v>393.9</c:v>
                      </c:pt>
                      <c:pt idx="32">
                        <c:v>399.4</c:v>
                      </c:pt>
                      <c:pt idx="33">
                        <c:v>404.7</c:v>
                      </c:pt>
                      <c:pt idx="34">
                        <c:v>410</c:v>
                      </c:pt>
                      <c:pt idx="35">
                        <c:v>415.6</c:v>
                      </c:pt>
                      <c:pt idx="36">
                        <c:v>421</c:v>
                      </c:pt>
                      <c:pt idx="37">
                        <c:v>427</c:v>
                      </c:pt>
                      <c:pt idx="38">
                        <c:v>432.5</c:v>
                      </c:pt>
                      <c:pt idx="39">
                        <c:v>438.1</c:v>
                      </c:pt>
                      <c:pt idx="40">
                        <c:v>443.3</c:v>
                      </c:pt>
                      <c:pt idx="41">
                        <c:v>448.5</c:v>
                      </c:pt>
                      <c:pt idx="42">
                        <c:v>454.3</c:v>
                      </c:pt>
                      <c:pt idx="43">
                        <c:v>459.9</c:v>
                      </c:pt>
                      <c:pt idx="44">
                        <c:v>465.4</c:v>
                      </c:pt>
                      <c:pt idx="45">
                        <c:v>471</c:v>
                      </c:pt>
                      <c:pt idx="46">
                        <c:v>476.4</c:v>
                      </c:pt>
                      <c:pt idx="47">
                        <c:v>481.9</c:v>
                      </c:pt>
                      <c:pt idx="48">
                        <c:v>487.5</c:v>
                      </c:pt>
                      <c:pt idx="49">
                        <c:v>493.2</c:v>
                      </c:pt>
                      <c:pt idx="50">
                        <c:v>498.4</c:v>
                      </c:pt>
                      <c:pt idx="51">
                        <c:v>503.4</c:v>
                      </c:pt>
                      <c:pt idx="52">
                        <c:v>508.3</c:v>
                      </c:pt>
                      <c:pt idx="53">
                        <c:v>513.70000000000005</c:v>
                      </c:pt>
                      <c:pt idx="54">
                        <c:v>519.1</c:v>
                      </c:pt>
                      <c:pt idx="55">
                        <c:v>524.20000000000005</c:v>
                      </c:pt>
                      <c:pt idx="56">
                        <c:v>529.1</c:v>
                      </c:pt>
                      <c:pt idx="57">
                        <c:v>533.9</c:v>
                      </c:pt>
                      <c:pt idx="58">
                        <c:v>538.70000000000005</c:v>
                      </c:pt>
                      <c:pt idx="59">
                        <c:v>543.29999999999995</c:v>
                      </c:pt>
                      <c:pt idx="60">
                        <c:v>548.1</c:v>
                      </c:pt>
                      <c:pt idx="61">
                        <c:v>552.79999999999995</c:v>
                      </c:pt>
                      <c:pt idx="62">
                        <c:v>557.4</c:v>
                      </c:pt>
                      <c:pt idx="63">
                        <c:v>561.79999999999995</c:v>
                      </c:pt>
                      <c:pt idx="64">
                        <c:v>566.1</c:v>
                      </c:pt>
                      <c:pt idx="65">
                        <c:v>570.20000000000005</c:v>
                      </c:pt>
                      <c:pt idx="66">
                        <c:v>574.20000000000005</c:v>
                      </c:pt>
                      <c:pt idx="67">
                        <c:v>578.5</c:v>
                      </c:pt>
                      <c:pt idx="68">
                        <c:v>582.9</c:v>
                      </c:pt>
                      <c:pt idx="69">
                        <c:v>587.20000000000005</c:v>
                      </c:pt>
                      <c:pt idx="70">
                        <c:v>591.6</c:v>
                      </c:pt>
                      <c:pt idx="71">
                        <c:v>596</c:v>
                      </c:pt>
                      <c:pt idx="72">
                        <c:v>600.5</c:v>
                      </c:pt>
                      <c:pt idx="73">
                        <c:v>605.29999999999995</c:v>
                      </c:pt>
                      <c:pt idx="74">
                        <c:v>610.29999999999995</c:v>
                      </c:pt>
                      <c:pt idx="75">
                        <c:v>615.29999999999995</c:v>
                      </c:pt>
                      <c:pt idx="76">
                        <c:v>620.9</c:v>
                      </c:pt>
                      <c:pt idx="77">
                        <c:v>626.4</c:v>
                      </c:pt>
                      <c:pt idx="78">
                        <c:v>632.1</c:v>
                      </c:pt>
                      <c:pt idx="79">
                        <c:v>638</c:v>
                      </c:pt>
                      <c:pt idx="80">
                        <c:v>644.6</c:v>
                      </c:pt>
                      <c:pt idx="81">
                        <c:v>651.6</c:v>
                      </c:pt>
                      <c:pt idx="82">
                        <c:v>658.6</c:v>
                      </c:pt>
                      <c:pt idx="83">
                        <c:v>667.9</c:v>
                      </c:pt>
                      <c:pt idx="84">
                        <c:v>677.4</c:v>
                      </c:pt>
                      <c:pt idx="85">
                        <c:v>688.1</c:v>
                      </c:pt>
                      <c:pt idx="86">
                        <c:v>698.6</c:v>
                      </c:pt>
                      <c:pt idx="87">
                        <c:v>709.6</c:v>
                      </c:pt>
                      <c:pt idx="88">
                        <c:v>722.6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09C-40CC-835F-A10742FCB65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Comparing'!$O$7</c15:sqref>
                        </c15:formulaRef>
                      </c:ext>
                    </c:extLst>
                    <c:strCache>
                      <c:ptCount val="1"/>
                      <c:pt idx="0">
                        <c:v>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Comparing'!$O$10:$O$102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110.4</c:v>
                      </c:pt>
                      <c:pt idx="1">
                        <c:v>133.4</c:v>
                      </c:pt>
                      <c:pt idx="2">
                        <c:v>162.30000000000001</c:v>
                      </c:pt>
                      <c:pt idx="3">
                        <c:v>180.8</c:v>
                      </c:pt>
                      <c:pt idx="4">
                        <c:v>196.7</c:v>
                      </c:pt>
                      <c:pt idx="5">
                        <c:v>211.2</c:v>
                      </c:pt>
                      <c:pt idx="6">
                        <c:v>222.6</c:v>
                      </c:pt>
                      <c:pt idx="7">
                        <c:v>234</c:v>
                      </c:pt>
                      <c:pt idx="8">
                        <c:v>244.8</c:v>
                      </c:pt>
                      <c:pt idx="9">
                        <c:v>253.6</c:v>
                      </c:pt>
                      <c:pt idx="10">
                        <c:v>264</c:v>
                      </c:pt>
                      <c:pt idx="11">
                        <c:v>273.10000000000002</c:v>
                      </c:pt>
                      <c:pt idx="12">
                        <c:v>283</c:v>
                      </c:pt>
                      <c:pt idx="13">
                        <c:v>291.5</c:v>
                      </c:pt>
                      <c:pt idx="14">
                        <c:v>299.39999999999998</c:v>
                      </c:pt>
                      <c:pt idx="15">
                        <c:v>306.89999999999998</c:v>
                      </c:pt>
                      <c:pt idx="16">
                        <c:v>314.2</c:v>
                      </c:pt>
                      <c:pt idx="17">
                        <c:v>321.7</c:v>
                      </c:pt>
                      <c:pt idx="18">
                        <c:v>328.5</c:v>
                      </c:pt>
                      <c:pt idx="19">
                        <c:v>336.2</c:v>
                      </c:pt>
                      <c:pt idx="20">
                        <c:v>342.6</c:v>
                      </c:pt>
                      <c:pt idx="21">
                        <c:v>349.8</c:v>
                      </c:pt>
                      <c:pt idx="22">
                        <c:v>355.6</c:v>
                      </c:pt>
                      <c:pt idx="23">
                        <c:v>362.1</c:v>
                      </c:pt>
                      <c:pt idx="24">
                        <c:v>368</c:v>
                      </c:pt>
                      <c:pt idx="25">
                        <c:v>375.3</c:v>
                      </c:pt>
                      <c:pt idx="26">
                        <c:v>382.2</c:v>
                      </c:pt>
                      <c:pt idx="27">
                        <c:v>389</c:v>
                      </c:pt>
                      <c:pt idx="28">
                        <c:v>395.6</c:v>
                      </c:pt>
                      <c:pt idx="29">
                        <c:v>401.3</c:v>
                      </c:pt>
                      <c:pt idx="30">
                        <c:v>407.5</c:v>
                      </c:pt>
                      <c:pt idx="31">
                        <c:v>413.1</c:v>
                      </c:pt>
                      <c:pt idx="32">
                        <c:v>419</c:v>
                      </c:pt>
                      <c:pt idx="33">
                        <c:v>425.4</c:v>
                      </c:pt>
                      <c:pt idx="34">
                        <c:v>431.3</c:v>
                      </c:pt>
                      <c:pt idx="35">
                        <c:v>437.2</c:v>
                      </c:pt>
                      <c:pt idx="36">
                        <c:v>442.9</c:v>
                      </c:pt>
                      <c:pt idx="37">
                        <c:v>448.4</c:v>
                      </c:pt>
                      <c:pt idx="38">
                        <c:v>454.4</c:v>
                      </c:pt>
                      <c:pt idx="39">
                        <c:v>460.3</c:v>
                      </c:pt>
                      <c:pt idx="40">
                        <c:v>466.1</c:v>
                      </c:pt>
                      <c:pt idx="41">
                        <c:v>471.7</c:v>
                      </c:pt>
                      <c:pt idx="42">
                        <c:v>477.5</c:v>
                      </c:pt>
                      <c:pt idx="43">
                        <c:v>483.1</c:v>
                      </c:pt>
                      <c:pt idx="44">
                        <c:v>488.8</c:v>
                      </c:pt>
                      <c:pt idx="45">
                        <c:v>494.6</c:v>
                      </c:pt>
                      <c:pt idx="46">
                        <c:v>499.9</c:v>
                      </c:pt>
                      <c:pt idx="47">
                        <c:v>504.9</c:v>
                      </c:pt>
                      <c:pt idx="48">
                        <c:v>510</c:v>
                      </c:pt>
                      <c:pt idx="49">
                        <c:v>515.4</c:v>
                      </c:pt>
                      <c:pt idx="50">
                        <c:v>520.79999999999995</c:v>
                      </c:pt>
                      <c:pt idx="51">
                        <c:v>525.79999999999995</c:v>
                      </c:pt>
                      <c:pt idx="52">
                        <c:v>530.6</c:v>
                      </c:pt>
                      <c:pt idx="53">
                        <c:v>535.29999999999995</c:v>
                      </c:pt>
                      <c:pt idx="54">
                        <c:v>539.9</c:v>
                      </c:pt>
                      <c:pt idx="55">
                        <c:v>544.4</c:v>
                      </c:pt>
                      <c:pt idx="56">
                        <c:v>549</c:v>
                      </c:pt>
                      <c:pt idx="57">
                        <c:v>553.5</c:v>
                      </c:pt>
                      <c:pt idx="58">
                        <c:v>557.79999999999995</c:v>
                      </c:pt>
                      <c:pt idx="59">
                        <c:v>561.79999999999995</c:v>
                      </c:pt>
                      <c:pt idx="60">
                        <c:v>565.79999999999995</c:v>
                      </c:pt>
                      <c:pt idx="61">
                        <c:v>569.5</c:v>
                      </c:pt>
                      <c:pt idx="62">
                        <c:v>573.20000000000005</c:v>
                      </c:pt>
                      <c:pt idx="63">
                        <c:v>577.1</c:v>
                      </c:pt>
                      <c:pt idx="64">
                        <c:v>581</c:v>
                      </c:pt>
                      <c:pt idx="65">
                        <c:v>584.9</c:v>
                      </c:pt>
                      <c:pt idx="66">
                        <c:v>588.79999999999995</c:v>
                      </c:pt>
                      <c:pt idx="67">
                        <c:v>592.79999999999995</c:v>
                      </c:pt>
                      <c:pt idx="68">
                        <c:v>596.70000000000005</c:v>
                      </c:pt>
                      <c:pt idx="69">
                        <c:v>600.79999999999995</c:v>
                      </c:pt>
                      <c:pt idx="70">
                        <c:v>605.1</c:v>
                      </c:pt>
                      <c:pt idx="71">
                        <c:v>609.5</c:v>
                      </c:pt>
                      <c:pt idx="72">
                        <c:v>614</c:v>
                      </c:pt>
                      <c:pt idx="73">
                        <c:v>618.9</c:v>
                      </c:pt>
                      <c:pt idx="74">
                        <c:v>623.9</c:v>
                      </c:pt>
                      <c:pt idx="75">
                        <c:v>628.9</c:v>
                      </c:pt>
                      <c:pt idx="76">
                        <c:v>634.1</c:v>
                      </c:pt>
                      <c:pt idx="77">
                        <c:v>639.6</c:v>
                      </c:pt>
                      <c:pt idx="78">
                        <c:v>645.70000000000005</c:v>
                      </c:pt>
                      <c:pt idx="79">
                        <c:v>651.9</c:v>
                      </c:pt>
                      <c:pt idx="80">
                        <c:v>658</c:v>
                      </c:pt>
                      <c:pt idx="81">
                        <c:v>666.2</c:v>
                      </c:pt>
                      <c:pt idx="82">
                        <c:v>674.4</c:v>
                      </c:pt>
                      <c:pt idx="83">
                        <c:v>684</c:v>
                      </c:pt>
                      <c:pt idx="84">
                        <c:v>693</c:v>
                      </c:pt>
                      <c:pt idx="85">
                        <c:v>702.7</c:v>
                      </c:pt>
                      <c:pt idx="86">
                        <c:v>713.1</c:v>
                      </c:pt>
                      <c:pt idx="87">
                        <c:v>724.8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09C-40CC-835F-A10742FCB65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Comparing'!$P$7</c15:sqref>
                        </c15:formulaRef>
                      </c:ext>
                    </c:extLst>
                    <c:strCache>
                      <c:ptCount val="1"/>
                      <c:pt idx="0">
                        <c:v>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Comparing'!$P$10:$P$102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111.6</c:v>
                      </c:pt>
                      <c:pt idx="1">
                        <c:v>136.19999999999999</c:v>
                      </c:pt>
                      <c:pt idx="2">
                        <c:v>162.80000000000001</c:v>
                      </c:pt>
                      <c:pt idx="3">
                        <c:v>181.4</c:v>
                      </c:pt>
                      <c:pt idx="4">
                        <c:v>196.4</c:v>
                      </c:pt>
                      <c:pt idx="5">
                        <c:v>209.9</c:v>
                      </c:pt>
                      <c:pt idx="6">
                        <c:v>220.8</c:v>
                      </c:pt>
                      <c:pt idx="7">
                        <c:v>231.5</c:v>
                      </c:pt>
                      <c:pt idx="8">
                        <c:v>241.8</c:v>
                      </c:pt>
                      <c:pt idx="9">
                        <c:v>250.5</c:v>
                      </c:pt>
                      <c:pt idx="10">
                        <c:v>260.3</c:v>
                      </c:pt>
                      <c:pt idx="11">
                        <c:v>268.3</c:v>
                      </c:pt>
                      <c:pt idx="12">
                        <c:v>278.10000000000002</c:v>
                      </c:pt>
                      <c:pt idx="13">
                        <c:v>286.39999999999998</c:v>
                      </c:pt>
                      <c:pt idx="14">
                        <c:v>294.60000000000002</c:v>
                      </c:pt>
                      <c:pt idx="15">
                        <c:v>301.60000000000002</c:v>
                      </c:pt>
                      <c:pt idx="16">
                        <c:v>309.5</c:v>
                      </c:pt>
                      <c:pt idx="17">
                        <c:v>316</c:v>
                      </c:pt>
                      <c:pt idx="18">
                        <c:v>323.7</c:v>
                      </c:pt>
                      <c:pt idx="19">
                        <c:v>330.2</c:v>
                      </c:pt>
                      <c:pt idx="20">
                        <c:v>337.5</c:v>
                      </c:pt>
                      <c:pt idx="21">
                        <c:v>343.9</c:v>
                      </c:pt>
                      <c:pt idx="22">
                        <c:v>350.3</c:v>
                      </c:pt>
                      <c:pt idx="23">
                        <c:v>355.9</c:v>
                      </c:pt>
                      <c:pt idx="24">
                        <c:v>361.9</c:v>
                      </c:pt>
                      <c:pt idx="25">
                        <c:v>367.7</c:v>
                      </c:pt>
                      <c:pt idx="26">
                        <c:v>374.1</c:v>
                      </c:pt>
                      <c:pt idx="27">
                        <c:v>381.5</c:v>
                      </c:pt>
                      <c:pt idx="28">
                        <c:v>388.1</c:v>
                      </c:pt>
                      <c:pt idx="29">
                        <c:v>394.7</c:v>
                      </c:pt>
                      <c:pt idx="30">
                        <c:v>400.2</c:v>
                      </c:pt>
                      <c:pt idx="31">
                        <c:v>406.1</c:v>
                      </c:pt>
                      <c:pt idx="32">
                        <c:v>411.5</c:v>
                      </c:pt>
                      <c:pt idx="33">
                        <c:v>417.2</c:v>
                      </c:pt>
                      <c:pt idx="34">
                        <c:v>423.4</c:v>
                      </c:pt>
                      <c:pt idx="35">
                        <c:v>429.2</c:v>
                      </c:pt>
                      <c:pt idx="36">
                        <c:v>435</c:v>
                      </c:pt>
                      <c:pt idx="37">
                        <c:v>440.4</c:v>
                      </c:pt>
                      <c:pt idx="38">
                        <c:v>445.8</c:v>
                      </c:pt>
                      <c:pt idx="39">
                        <c:v>451.6</c:v>
                      </c:pt>
                      <c:pt idx="40">
                        <c:v>457.2</c:v>
                      </c:pt>
                      <c:pt idx="41">
                        <c:v>462.8</c:v>
                      </c:pt>
                      <c:pt idx="42">
                        <c:v>468.5</c:v>
                      </c:pt>
                      <c:pt idx="43">
                        <c:v>473.8</c:v>
                      </c:pt>
                      <c:pt idx="44">
                        <c:v>479.2</c:v>
                      </c:pt>
                      <c:pt idx="45">
                        <c:v>484.6</c:v>
                      </c:pt>
                      <c:pt idx="46">
                        <c:v>490.2</c:v>
                      </c:pt>
                      <c:pt idx="47">
                        <c:v>495.6</c:v>
                      </c:pt>
                      <c:pt idx="48">
                        <c:v>500.4</c:v>
                      </c:pt>
                      <c:pt idx="49">
                        <c:v>505.2</c:v>
                      </c:pt>
                      <c:pt idx="50">
                        <c:v>510</c:v>
                      </c:pt>
                      <c:pt idx="51">
                        <c:v>515.1</c:v>
                      </c:pt>
                      <c:pt idx="52">
                        <c:v>520.1</c:v>
                      </c:pt>
                      <c:pt idx="53">
                        <c:v>524.79999999999995</c:v>
                      </c:pt>
                      <c:pt idx="54">
                        <c:v>529.29999999999995</c:v>
                      </c:pt>
                      <c:pt idx="55">
                        <c:v>533.70000000000005</c:v>
                      </c:pt>
                      <c:pt idx="56">
                        <c:v>538</c:v>
                      </c:pt>
                      <c:pt idx="57">
                        <c:v>542.20000000000005</c:v>
                      </c:pt>
                      <c:pt idx="58">
                        <c:v>546.4</c:v>
                      </c:pt>
                      <c:pt idx="59">
                        <c:v>550.5</c:v>
                      </c:pt>
                      <c:pt idx="60">
                        <c:v>554.6</c:v>
                      </c:pt>
                      <c:pt idx="61">
                        <c:v>558.5</c:v>
                      </c:pt>
                      <c:pt idx="62">
                        <c:v>562.20000000000005</c:v>
                      </c:pt>
                      <c:pt idx="63">
                        <c:v>565.9</c:v>
                      </c:pt>
                      <c:pt idx="64">
                        <c:v>569.29999999999995</c:v>
                      </c:pt>
                      <c:pt idx="65">
                        <c:v>572.70000000000005</c:v>
                      </c:pt>
                      <c:pt idx="66">
                        <c:v>576.20000000000005</c:v>
                      </c:pt>
                      <c:pt idx="67">
                        <c:v>579.79999999999995</c:v>
                      </c:pt>
                      <c:pt idx="68">
                        <c:v>583.5</c:v>
                      </c:pt>
                      <c:pt idx="69">
                        <c:v>587</c:v>
                      </c:pt>
                      <c:pt idx="70">
                        <c:v>590.6</c:v>
                      </c:pt>
                      <c:pt idx="71">
                        <c:v>594.29999999999995</c:v>
                      </c:pt>
                      <c:pt idx="72">
                        <c:v>598</c:v>
                      </c:pt>
                      <c:pt idx="73">
                        <c:v>601.79999999999995</c:v>
                      </c:pt>
                      <c:pt idx="74">
                        <c:v>605.79999999999995</c:v>
                      </c:pt>
                      <c:pt idx="75">
                        <c:v>609.9</c:v>
                      </c:pt>
                      <c:pt idx="76">
                        <c:v>614.1</c:v>
                      </c:pt>
                      <c:pt idx="77">
                        <c:v>618.6</c:v>
                      </c:pt>
                      <c:pt idx="78">
                        <c:v>623.20000000000005</c:v>
                      </c:pt>
                      <c:pt idx="79">
                        <c:v>628</c:v>
                      </c:pt>
                      <c:pt idx="80">
                        <c:v>632.79999999999995</c:v>
                      </c:pt>
                      <c:pt idx="81">
                        <c:v>638</c:v>
                      </c:pt>
                      <c:pt idx="82">
                        <c:v>643.70000000000005</c:v>
                      </c:pt>
                      <c:pt idx="83">
                        <c:v>649.70000000000005</c:v>
                      </c:pt>
                      <c:pt idx="84">
                        <c:v>655.7</c:v>
                      </c:pt>
                      <c:pt idx="85">
                        <c:v>662.9</c:v>
                      </c:pt>
                      <c:pt idx="86">
                        <c:v>671.4</c:v>
                      </c:pt>
                      <c:pt idx="87">
                        <c:v>680.7</c:v>
                      </c:pt>
                      <c:pt idx="88">
                        <c:v>690.4</c:v>
                      </c:pt>
                      <c:pt idx="89">
                        <c:v>700.8</c:v>
                      </c:pt>
                      <c:pt idx="90">
                        <c:v>712.8</c:v>
                      </c:pt>
                      <c:pt idx="91">
                        <c:v>729.3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09C-40CC-835F-A10742FCB65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Comparing'!$Q$7</c15:sqref>
                        </c15:formulaRef>
                      </c:ext>
                    </c:extLst>
                    <c:strCache>
                      <c:ptCount val="1"/>
                      <c:pt idx="0">
                        <c:v>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6"/>
                  <c:marker>
                    <c:symbol val="none"/>
                  </c:marker>
                  <c:bubble3D val="0"/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4-009C-40CC-835F-A10742FCB657}"/>
                    </c:ext>
                  </c:extLst>
                </c:dPt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Comparing'!$Q$10:$Q$98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109.6</c:v>
                      </c:pt>
                      <c:pt idx="1">
                        <c:v>135.4</c:v>
                      </c:pt>
                      <c:pt idx="2">
                        <c:v>164.5</c:v>
                      </c:pt>
                      <c:pt idx="3">
                        <c:v>184.4</c:v>
                      </c:pt>
                      <c:pt idx="4">
                        <c:v>200.6</c:v>
                      </c:pt>
                      <c:pt idx="5">
                        <c:v>215.6</c:v>
                      </c:pt>
                      <c:pt idx="6">
                        <c:v>227.3</c:v>
                      </c:pt>
                      <c:pt idx="7">
                        <c:v>238.1</c:v>
                      </c:pt>
                      <c:pt idx="8">
                        <c:v>249.9</c:v>
                      </c:pt>
                      <c:pt idx="9">
                        <c:v>260</c:v>
                      </c:pt>
                      <c:pt idx="10">
                        <c:v>270</c:v>
                      </c:pt>
                      <c:pt idx="11">
                        <c:v>280.2</c:v>
                      </c:pt>
                      <c:pt idx="12">
                        <c:v>289.60000000000002</c:v>
                      </c:pt>
                      <c:pt idx="13">
                        <c:v>298.89999999999998</c:v>
                      </c:pt>
                      <c:pt idx="14">
                        <c:v>307.10000000000002</c:v>
                      </c:pt>
                      <c:pt idx="15">
                        <c:v>315.2</c:v>
                      </c:pt>
                      <c:pt idx="16">
                        <c:v>323.3</c:v>
                      </c:pt>
                      <c:pt idx="17">
                        <c:v>330.6</c:v>
                      </c:pt>
                      <c:pt idx="18">
                        <c:v>339.1</c:v>
                      </c:pt>
                      <c:pt idx="19">
                        <c:v>346.3</c:v>
                      </c:pt>
                      <c:pt idx="20">
                        <c:v>353.6</c:v>
                      </c:pt>
                      <c:pt idx="21">
                        <c:v>359.8</c:v>
                      </c:pt>
                      <c:pt idx="22">
                        <c:v>366.1</c:v>
                      </c:pt>
                      <c:pt idx="23">
                        <c:v>374</c:v>
                      </c:pt>
                      <c:pt idx="24">
                        <c:v>381.7</c:v>
                      </c:pt>
                      <c:pt idx="25">
                        <c:v>389.7</c:v>
                      </c:pt>
                      <c:pt idx="26">
                        <c:v>396.3</c:v>
                      </c:pt>
                      <c:pt idx="27">
                        <c:v>402.4</c:v>
                      </c:pt>
                      <c:pt idx="28">
                        <c:v>409.2</c:v>
                      </c:pt>
                      <c:pt idx="29">
                        <c:v>415.4</c:v>
                      </c:pt>
                      <c:pt idx="30">
                        <c:v>421.8</c:v>
                      </c:pt>
                      <c:pt idx="31">
                        <c:v>428.8</c:v>
                      </c:pt>
                      <c:pt idx="32">
                        <c:v>434.9</c:v>
                      </c:pt>
                      <c:pt idx="33">
                        <c:v>440.9</c:v>
                      </c:pt>
                      <c:pt idx="34">
                        <c:v>447.2</c:v>
                      </c:pt>
                      <c:pt idx="35">
                        <c:v>453.5</c:v>
                      </c:pt>
                      <c:pt idx="36">
                        <c:v>459.8</c:v>
                      </c:pt>
                      <c:pt idx="37">
                        <c:v>466</c:v>
                      </c:pt>
                      <c:pt idx="38">
                        <c:v>472.2</c:v>
                      </c:pt>
                      <c:pt idx="39">
                        <c:v>478.2</c:v>
                      </c:pt>
                      <c:pt idx="40">
                        <c:v>484.3</c:v>
                      </c:pt>
                      <c:pt idx="41">
                        <c:v>490.5</c:v>
                      </c:pt>
                      <c:pt idx="42">
                        <c:v>496.6</c:v>
                      </c:pt>
                      <c:pt idx="43">
                        <c:v>502</c:v>
                      </c:pt>
                      <c:pt idx="44">
                        <c:v>507.4</c:v>
                      </c:pt>
                      <c:pt idx="45">
                        <c:v>513</c:v>
                      </c:pt>
                      <c:pt idx="46">
                        <c:v>518.79999999999995</c:v>
                      </c:pt>
                      <c:pt idx="47">
                        <c:v>524.20000000000005</c:v>
                      </c:pt>
                      <c:pt idx="48">
                        <c:v>529.4</c:v>
                      </c:pt>
                      <c:pt idx="49">
                        <c:v>534.4</c:v>
                      </c:pt>
                      <c:pt idx="50">
                        <c:v>539.29999999999995</c:v>
                      </c:pt>
                      <c:pt idx="51">
                        <c:v>544.20000000000005</c:v>
                      </c:pt>
                      <c:pt idx="52">
                        <c:v>549</c:v>
                      </c:pt>
                      <c:pt idx="53">
                        <c:v>553.70000000000005</c:v>
                      </c:pt>
                      <c:pt idx="54">
                        <c:v>558.20000000000005</c:v>
                      </c:pt>
                      <c:pt idx="55">
                        <c:v>562.5</c:v>
                      </c:pt>
                      <c:pt idx="56">
                        <c:v>566.70000000000005</c:v>
                      </c:pt>
                      <c:pt idx="57">
                        <c:v>570.6</c:v>
                      </c:pt>
                      <c:pt idx="58">
                        <c:v>574.5</c:v>
                      </c:pt>
                      <c:pt idx="59">
                        <c:v>578.5</c:v>
                      </c:pt>
                      <c:pt idx="60">
                        <c:v>582.6</c:v>
                      </c:pt>
                      <c:pt idx="61">
                        <c:v>586.6</c:v>
                      </c:pt>
                      <c:pt idx="62">
                        <c:v>590.70000000000005</c:v>
                      </c:pt>
                      <c:pt idx="63">
                        <c:v>594.70000000000005</c:v>
                      </c:pt>
                      <c:pt idx="64">
                        <c:v>598.79999999999995</c:v>
                      </c:pt>
                      <c:pt idx="65">
                        <c:v>603.1</c:v>
                      </c:pt>
                      <c:pt idx="66">
                        <c:v>607.6</c:v>
                      </c:pt>
                      <c:pt idx="67">
                        <c:v>612.1</c:v>
                      </c:pt>
                      <c:pt idx="68">
                        <c:v>616.79999999999995</c:v>
                      </c:pt>
                      <c:pt idx="69">
                        <c:v>621.9</c:v>
                      </c:pt>
                      <c:pt idx="70">
                        <c:v>626.9</c:v>
                      </c:pt>
                      <c:pt idx="71">
                        <c:v>632.1</c:v>
                      </c:pt>
                      <c:pt idx="72">
                        <c:v>637.6</c:v>
                      </c:pt>
                      <c:pt idx="73">
                        <c:v>643.6</c:v>
                      </c:pt>
                      <c:pt idx="74">
                        <c:v>650</c:v>
                      </c:pt>
                      <c:pt idx="75">
                        <c:v>656.4</c:v>
                      </c:pt>
                      <c:pt idx="76">
                        <c:v>664.5</c:v>
                      </c:pt>
                      <c:pt idx="77">
                        <c:v>673.5</c:v>
                      </c:pt>
                      <c:pt idx="78">
                        <c:v>684</c:v>
                      </c:pt>
                      <c:pt idx="79">
                        <c:v>694.5</c:v>
                      </c:pt>
                      <c:pt idx="80">
                        <c:v>706.9</c:v>
                      </c:pt>
                      <c:pt idx="81">
                        <c:v>724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09C-40CC-835F-A10742FCB65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Comparing'!$R$7</c15:sqref>
                        </c15:formulaRef>
                      </c:ext>
                    </c:extLst>
                    <c:strCache>
                      <c:ptCount val="1"/>
                      <c:pt idx="0">
                        <c:v>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Comparing'!$R$10:$R$89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113.9</c:v>
                      </c:pt>
                      <c:pt idx="1">
                        <c:v>137.80000000000001</c:v>
                      </c:pt>
                      <c:pt idx="2">
                        <c:v>163.19999999999999</c:v>
                      </c:pt>
                      <c:pt idx="3">
                        <c:v>181.5</c:v>
                      </c:pt>
                      <c:pt idx="4">
                        <c:v>196.9</c:v>
                      </c:pt>
                      <c:pt idx="5">
                        <c:v>211</c:v>
                      </c:pt>
                      <c:pt idx="6">
                        <c:v>222.2</c:v>
                      </c:pt>
                      <c:pt idx="7">
                        <c:v>232.1</c:v>
                      </c:pt>
                      <c:pt idx="8">
                        <c:v>244.3</c:v>
                      </c:pt>
                      <c:pt idx="9">
                        <c:v>253.8</c:v>
                      </c:pt>
                      <c:pt idx="10">
                        <c:v>264.8</c:v>
                      </c:pt>
                      <c:pt idx="11">
                        <c:v>274.10000000000002</c:v>
                      </c:pt>
                      <c:pt idx="12">
                        <c:v>283.10000000000002</c:v>
                      </c:pt>
                      <c:pt idx="13">
                        <c:v>292.8</c:v>
                      </c:pt>
                      <c:pt idx="14">
                        <c:v>301</c:v>
                      </c:pt>
                      <c:pt idx="15">
                        <c:v>310</c:v>
                      </c:pt>
                      <c:pt idx="16">
                        <c:v>317.3</c:v>
                      </c:pt>
                      <c:pt idx="17">
                        <c:v>325.10000000000002</c:v>
                      </c:pt>
                      <c:pt idx="18">
                        <c:v>333.3</c:v>
                      </c:pt>
                      <c:pt idx="19">
                        <c:v>340.7</c:v>
                      </c:pt>
                      <c:pt idx="20">
                        <c:v>349</c:v>
                      </c:pt>
                      <c:pt idx="21">
                        <c:v>356</c:v>
                      </c:pt>
                      <c:pt idx="22">
                        <c:v>363.3</c:v>
                      </c:pt>
                      <c:pt idx="23">
                        <c:v>370.6</c:v>
                      </c:pt>
                      <c:pt idx="24">
                        <c:v>377.3</c:v>
                      </c:pt>
                      <c:pt idx="25">
                        <c:v>384.7</c:v>
                      </c:pt>
                      <c:pt idx="26">
                        <c:v>391.2</c:v>
                      </c:pt>
                      <c:pt idx="27">
                        <c:v>397.6</c:v>
                      </c:pt>
                      <c:pt idx="28">
                        <c:v>404.9</c:v>
                      </c:pt>
                      <c:pt idx="29">
                        <c:v>411.4</c:v>
                      </c:pt>
                      <c:pt idx="30">
                        <c:v>417.5</c:v>
                      </c:pt>
                      <c:pt idx="31">
                        <c:v>424.1</c:v>
                      </c:pt>
                      <c:pt idx="32">
                        <c:v>430.2</c:v>
                      </c:pt>
                      <c:pt idx="33">
                        <c:v>436.4</c:v>
                      </c:pt>
                      <c:pt idx="34">
                        <c:v>442.9</c:v>
                      </c:pt>
                      <c:pt idx="35">
                        <c:v>449.2</c:v>
                      </c:pt>
                      <c:pt idx="36">
                        <c:v>455.3</c:v>
                      </c:pt>
                      <c:pt idx="37">
                        <c:v>461.4</c:v>
                      </c:pt>
                      <c:pt idx="38">
                        <c:v>467.8</c:v>
                      </c:pt>
                      <c:pt idx="39">
                        <c:v>474</c:v>
                      </c:pt>
                      <c:pt idx="40">
                        <c:v>480</c:v>
                      </c:pt>
                      <c:pt idx="41">
                        <c:v>486.2</c:v>
                      </c:pt>
                      <c:pt idx="42">
                        <c:v>492.3</c:v>
                      </c:pt>
                      <c:pt idx="43">
                        <c:v>498.2</c:v>
                      </c:pt>
                      <c:pt idx="44">
                        <c:v>503.6</c:v>
                      </c:pt>
                      <c:pt idx="45">
                        <c:v>509.1</c:v>
                      </c:pt>
                      <c:pt idx="46">
                        <c:v>514.9</c:v>
                      </c:pt>
                      <c:pt idx="47">
                        <c:v>520.6</c:v>
                      </c:pt>
                      <c:pt idx="48">
                        <c:v>525.9</c:v>
                      </c:pt>
                      <c:pt idx="49">
                        <c:v>531.1</c:v>
                      </c:pt>
                      <c:pt idx="50">
                        <c:v>536.1</c:v>
                      </c:pt>
                      <c:pt idx="51">
                        <c:v>540.79999999999995</c:v>
                      </c:pt>
                      <c:pt idx="52">
                        <c:v>545.6</c:v>
                      </c:pt>
                      <c:pt idx="53">
                        <c:v>550.4</c:v>
                      </c:pt>
                      <c:pt idx="54">
                        <c:v>555.20000000000005</c:v>
                      </c:pt>
                      <c:pt idx="55">
                        <c:v>559.6</c:v>
                      </c:pt>
                      <c:pt idx="56">
                        <c:v>563.9</c:v>
                      </c:pt>
                      <c:pt idx="57">
                        <c:v>567.9</c:v>
                      </c:pt>
                      <c:pt idx="58">
                        <c:v>571.9</c:v>
                      </c:pt>
                      <c:pt idx="59">
                        <c:v>575.79999999999995</c:v>
                      </c:pt>
                      <c:pt idx="60">
                        <c:v>580</c:v>
                      </c:pt>
                      <c:pt idx="61">
                        <c:v>584.20000000000005</c:v>
                      </c:pt>
                      <c:pt idx="62">
                        <c:v>588.4</c:v>
                      </c:pt>
                      <c:pt idx="63">
                        <c:v>592.70000000000005</c:v>
                      </c:pt>
                      <c:pt idx="64">
                        <c:v>596.9</c:v>
                      </c:pt>
                      <c:pt idx="65">
                        <c:v>601.29999999999995</c:v>
                      </c:pt>
                      <c:pt idx="66">
                        <c:v>606.1</c:v>
                      </c:pt>
                      <c:pt idx="67">
                        <c:v>610.79999999999995</c:v>
                      </c:pt>
                      <c:pt idx="68">
                        <c:v>615.70000000000005</c:v>
                      </c:pt>
                      <c:pt idx="69">
                        <c:v>621.1</c:v>
                      </c:pt>
                      <c:pt idx="70">
                        <c:v>626.6</c:v>
                      </c:pt>
                      <c:pt idx="71">
                        <c:v>632.20000000000005</c:v>
                      </c:pt>
                      <c:pt idx="72">
                        <c:v>638.1</c:v>
                      </c:pt>
                      <c:pt idx="73">
                        <c:v>644.79999999999995</c:v>
                      </c:pt>
                      <c:pt idx="74">
                        <c:v>651.79999999999995</c:v>
                      </c:pt>
                      <c:pt idx="75">
                        <c:v>659</c:v>
                      </c:pt>
                      <c:pt idx="76">
                        <c:v>668.8</c:v>
                      </c:pt>
                      <c:pt idx="77">
                        <c:v>679.5</c:v>
                      </c:pt>
                      <c:pt idx="78">
                        <c:v>691.9</c:v>
                      </c:pt>
                      <c:pt idx="79">
                        <c:v>707.8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009C-40CC-835F-A10742FCB657}"/>
                  </c:ext>
                </c:extLst>
              </c15:ser>
            </c15:filteredScatterSeries>
            <c15:filteredScatterSeries>
              <c15:ser>
                <c:idx val="10"/>
                <c:order val="10"/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Comparing'!$D$10:$N$110</c15:sqref>
                        </c15:formulaRef>
                      </c:ext>
                    </c:extLst>
                    <c:multiLvlStrCache>
                      <c:ptCount val="101"/>
                      <c:lvl>
                        <c:pt idx="0">
                          <c:v>95.5</c:v>
                        </c:pt>
                        <c:pt idx="1">
                          <c:v>125.7</c:v>
                        </c:pt>
                        <c:pt idx="2">
                          <c:v>155.6</c:v>
                        </c:pt>
                        <c:pt idx="3">
                          <c:v>174.7</c:v>
                        </c:pt>
                        <c:pt idx="4">
                          <c:v>190.5</c:v>
                        </c:pt>
                        <c:pt idx="5">
                          <c:v>203.2</c:v>
                        </c:pt>
                        <c:pt idx="6">
                          <c:v>216</c:v>
                        </c:pt>
                        <c:pt idx="7">
                          <c:v>226</c:v>
                        </c:pt>
                        <c:pt idx="8">
                          <c:v>235.1</c:v>
                        </c:pt>
                        <c:pt idx="9">
                          <c:v>245.2</c:v>
                        </c:pt>
                        <c:pt idx="10">
                          <c:v>253.3</c:v>
                        </c:pt>
                        <c:pt idx="11">
                          <c:v>262.5</c:v>
                        </c:pt>
                        <c:pt idx="12">
                          <c:v>270.2</c:v>
                        </c:pt>
                        <c:pt idx="13">
                          <c:v>278.8</c:v>
                        </c:pt>
                        <c:pt idx="14">
                          <c:v>286.4</c:v>
                        </c:pt>
                        <c:pt idx="15">
                          <c:v>294.1</c:v>
                        </c:pt>
                        <c:pt idx="16">
                          <c:v>301</c:v>
                        </c:pt>
                        <c:pt idx="17">
                          <c:v>308</c:v>
                        </c:pt>
                        <c:pt idx="18">
                          <c:v>314.9</c:v>
                        </c:pt>
                        <c:pt idx="19">
                          <c:v>321.3</c:v>
                        </c:pt>
                        <c:pt idx="20">
                          <c:v>328.2</c:v>
                        </c:pt>
                        <c:pt idx="21">
                          <c:v>334.2</c:v>
                        </c:pt>
                        <c:pt idx="22">
                          <c:v>340.8</c:v>
                        </c:pt>
                        <c:pt idx="23">
                          <c:v>346.4</c:v>
                        </c:pt>
                        <c:pt idx="24">
                          <c:v>352.3</c:v>
                        </c:pt>
                        <c:pt idx="25">
                          <c:v>357.5</c:v>
                        </c:pt>
                        <c:pt idx="26">
                          <c:v>363.2</c:v>
                        </c:pt>
                        <c:pt idx="27">
                          <c:v>368.5</c:v>
                        </c:pt>
                        <c:pt idx="28">
                          <c:v>375.1</c:v>
                        </c:pt>
                        <c:pt idx="29">
                          <c:v>381.5</c:v>
                        </c:pt>
                        <c:pt idx="30">
                          <c:v>388.2</c:v>
                        </c:pt>
                        <c:pt idx="31">
                          <c:v>393.9</c:v>
                        </c:pt>
                        <c:pt idx="32">
                          <c:v>399.4</c:v>
                        </c:pt>
                        <c:pt idx="33">
                          <c:v>404.7</c:v>
                        </c:pt>
                        <c:pt idx="34">
                          <c:v>410</c:v>
                        </c:pt>
                        <c:pt idx="35">
                          <c:v>415.6</c:v>
                        </c:pt>
                        <c:pt idx="36">
                          <c:v>421</c:v>
                        </c:pt>
                        <c:pt idx="37">
                          <c:v>427</c:v>
                        </c:pt>
                        <c:pt idx="38">
                          <c:v>432.5</c:v>
                        </c:pt>
                        <c:pt idx="39">
                          <c:v>438.1</c:v>
                        </c:pt>
                        <c:pt idx="40">
                          <c:v>443.3</c:v>
                        </c:pt>
                        <c:pt idx="41">
                          <c:v>448.5</c:v>
                        </c:pt>
                        <c:pt idx="42">
                          <c:v>454.3</c:v>
                        </c:pt>
                        <c:pt idx="43">
                          <c:v>459.9</c:v>
                        </c:pt>
                        <c:pt idx="44">
                          <c:v>465.4</c:v>
                        </c:pt>
                        <c:pt idx="45">
                          <c:v>471</c:v>
                        </c:pt>
                        <c:pt idx="46">
                          <c:v>476.4</c:v>
                        </c:pt>
                        <c:pt idx="47">
                          <c:v>481.9</c:v>
                        </c:pt>
                        <c:pt idx="48">
                          <c:v>487.5</c:v>
                        </c:pt>
                        <c:pt idx="49">
                          <c:v>493.2</c:v>
                        </c:pt>
                        <c:pt idx="50">
                          <c:v>498.4</c:v>
                        </c:pt>
                        <c:pt idx="51">
                          <c:v>503.4</c:v>
                        </c:pt>
                        <c:pt idx="52">
                          <c:v>508.3</c:v>
                        </c:pt>
                        <c:pt idx="53">
                          <c:v>513.7</c:v>
                        </c:pt>
                        <c:pt idx="54">
                          <c:v>519.1</c:v>
                        </c:pt>
                        <c:pt idx="55">
                          <c:v>524.2</c:v>
                        </c:pt>
                        <c:pt idx="56">
                          <c:v>529.1</c:v>
                        </c:pt>
                        <c:pt idx="57">
                          <c:v>533.9</c:v>
                        </c:pt>
                        <c:pt idx="58">
                          <c:v>538.7</c:v>
                        </c:pt>
                        <c:pt idx="59">
                          <c:v>543.3</c:v>
                        </c:pt>
                        <c:pt idx="60">
                          <c:v>548.1</c:v>
                        </c:pt>
                        <c:pt idx="61">
                          <c:v>552.8</c:v>
                        </c:pt>
                        <c:pt idx="62">
                          <c:v>557.4</c:v>
                        </c:pt>
                        <c:pt idx="63">
                          <c:v>561.8</c:v>
                        </c:pt>
                        <c:pt idx="64">
                          <c:v>566.1</c:v>
                        </c:pt>
                        <c:pt idx="65">
                          <c:v>570.2</c:v>
                        </c:pt>
                        <c:pt idx="66">
                          <c:v>574.2</c:v>
                        </c:pt>
                        <c:pt idx="67">
                          <c:v>578.5</c:v>
                        </c:pt>
                        <c:pt idx="68">
                          <c:v>582.9</c:v>
                        </c:pt>
                        <c:pt idx="69">
                          <c:v>587.2</c:v>
                        </c:pt>
                        <c:pt idx="70">
                          <c:v>591.6</c:v>
                        </c:pt>
                        <c:pt idx="71">
                          <c:v>596</c:v>
                        </c:pt>
                        <c:pt idx="72">
                          <c:v>600.5</c:v>
                        </c:pt>
                        <c:pt idx="73">
                          <c:v>605.3</c:v>
                        </c:pt>
                        <c:pt idx="74">
                          <c:v>610.3</c:v>
                        </c:pt>
                        <c:pt idx="75">
                          <c:v>615.3</c:v>
                        </c:pt>
                        <c:pt idx="76">
                          <c:v>620.9</c:v>
                        </c:pt>
                        <c:pt idx="77">
                          <c:v>626.4</c:v>
                        </c:pt>
                        <c:pt idx="78">
                          <c:v>632.1</c:v>
                        </c:pt>
                        <c:pt idx="79">
                          <c:v>638</c:v>
                        </c:pt>
                        <c:pt idx="80">
                          <c:v>644.6</c:v>
                        </c:pt>
                        <c:pt idx="81">
                          <c:v>651.6</c:v>
                        </c:pt>
                        <c:pt idx="82">
                          <c:v>658.6</c:v>
                        </c:pt>
                        <c:pt idx="83">
                          <c:v>667.9</c:v>
                        </c:pt>
                        <c:pt idx="84">
                          <c:v>677.4</c:v>
                        </c:pt>
                        <c:pt idx="85">
                          <c:v>688.1</c:v>
                        </c:pt>
                        <c:pt idx="86">
                          <c:v>698.6</c:v>
                        </c:pt>
                        <c:pt idx="87">
                          <c:v>709.6</c:v>
                        </c:pt>
                        <c:pt idx="88">
                          <c:v>722.6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133.6</c:v>
                        </c:pt>
                        <c:pt idx="1">
                          <c:v>179.1</c:v>
                        </c:pt>
                        <c:pt idx="2">
                          <c:v>224.9</c:v>
                        </c:pt>
                        <c:pt idx="3">
                          <c:v>255.3</c:v>
                        </c:pt>
                        <c:pt idx="4">
                          <c:v>279.7</c:v>
                        </c:pt>
                        <c:pt idx="5">
                          <c:v>300.9</c:v>
                        </c:pt>
                        <c:pt idx="6">
                          <c:v>317.7</c:v>
                        </c:pt>
                        <c:pt idx="7">
                          <c:v>332.7</c:v>
                        </c:pt>
                        <c:pt idx="8">
                          <c:v>345.9</c:v>
                        </c:pt>
                        <c:pt idx="9">
                          <c:v>357.3</c:v>
                        </c:pt>
                        <c:pt idx="10">
                          <c:v>367.8</c:v>
                        </c:pt>
                        <c:pt idx="11">
                          <c:v>379.7</c:v>
                        </c:pt>
                        <c:pt idx="12">
                          <c:v>391.3</c:v>
                        </c:pt>
                        <c:pt idx="13">
                          <c:v>400</c:v>
                        </c:pt>
                        <c:pt idx="14">
                          <c:v>408.3</c:v>
                        </c:pt>
                        <c:pt idx="15">
                          <c:v>417</c:v>
                        </c:pt>
                        <c:pt idx="16">
                          <c:v>426.3</c:v>
                        </c:pt>
                        <c:pt idx="17">
                          <c:v>434.6</c:v>
                        </c:pt>
                        <c:pt idx="18">
                          <c:v>442.1</c:v>
                        </c:pt>
                        <c:pt idx="19">
                          <c:v>449.4</c:v>
                        </c:pt>
                        <c:pt idx="20">
                          <c:v>457.4</c:v>
                        </c:pt>
                        <c:pt idx="21">
                          <c:v>465.2</c:v>
                        </c:pt>
                        <c:pt idx="22">
                          <c:v>472.3</c:v>
                        </c:pt>
                        <c:pt idx="23">
                          <c:v>479</c:v>
                        </c:pt>
                        <c:pt idx="24">
                          <c:v>486.1</c:v>
                        </c:pt>
                        <c:pt idx="25">
                          <c:v>493.1</c:v>
                        </c:pt>
                        <c:pt idx="26">
                          <c:v>499.3</c:v>
                        </c:pt>
                        <c:pt idx="27">
                          <c:v>505</c:v>
                        </c:pt>
                        <c:pt idx="28">
                          <c:v>510.6</c:v>
                        </c:pt>
                        <c:pt idx="29">
                          <c:v>516.6</c:v>
                        </c:pt>
                        <c:pt idx="30">
                          <c:v>522.4</c:v>
                        </c:pt>
                        <c:pt idx="31">
                          <c:v>527.4</c:v>
                        </c:pt>
                        <c:pt idx="32">
                          <c:v>532.2</c:v>
                        </c:pt>
                        <c:pt idx="33">
                          <c:v>536.7</c:v>
                        </c:pt>
                        <c:pt idx="34">
                          <c:v>541.2</c:v>
                        </c:pt>
                        <c:pt idx="35">
                          <c:v>545.5</c:v>
                        </c:pt>
                        <c:pt idx="36">
                          <c:v>549.8</c:v>
                        </c:pt>
                        <c:pt idx="37">
                          <c:v>554</c:v>
                        </c:pt>
                        <c:pt idx="38">
                          <c:v>557.9</c:v>
                        </c:pt>
                        <c:pt idx="39">
                          <c:v>561.4</c:v>
                        </c:pt>
                        <c:pt idx="40">
                          <c:v>564.9</c:v>
                        </c:pt>
                        <c:pt idx="41">
                          <c:v>568.1</c:v>
                        </c:pt>
                        <c:pt idx="42">
                          <c:v>571.2</c:v>
                        </c:pt>
                        <c:pt idx="43">
                          <c:v>574.2</c:v>
                        </c:pt>
                        <c:pt idx="44">
                          <c:v>577.2</c:v>
                        </c:pt>
                        <c:pt idx="45">
                          <c:v>580.2</c:v>
                        </c:pt>
                        <c:pt idx="46">
                          <c:v>583.1</c:v>
                        </c:pt>
                        <c:pt idx="47">
                          <c:v>586</c:v>
                        </c:pt>
                        <c:pt idx="48">
                          <c:v>588.8</c:v>
                        </c:pt>
                        <c:pt idx="49">
                          <c:v>591.6</c:v>
                        </c:pt>
                        <c:pt idx="50">
                          <c:v>594.3</c:v>
                        </c:pt>
                        <c:pt idx="51">
                          <c:v>597</c:v>
                        </c:pt>
                        <c:pt idx="52">
                          <c:v>599.8</c:v>
                        </c:pt>
                        <c:pt idx="53">
                          <c:v>602.6</c:v>
                        </c:pt>
                        <c:pt idx="54">
                          <c:v>605.4</c:v>
                        </c:pt>
                        <c:pt idx="55">
                          <c:v>608.2</c:v>
                        </c:pt>
                        <c:pt idx="56">
                          <c:v>611</c:v>
                        </c:pt>
                        <c:pt idx="57">
                          <c:v>613.9</c:v>
                        </c:pt>
                        <c:pt idx="58">
                          <c:v>616.8</c:v>
                        </c:pt>
                        <c:pt idx="59">
                          <c:v>619.7</c:v>
                        </c:pt>
                        <c:pt idx="60">
                          <c:v>622.7</c:v>
                        </c:pt>
                        <c:pt idx="61">
                          <c:v>625.7</c:v>
                        </c:pt>
                        <c:pt idx="62">
                          <c:v>628.7</c:v>
                        </c:pt>
                        <c:pt idx="63">
                          <c:v>631.6</c:v>
                        </c:pt>
                        <c:pt idx="64">
                          <c:v>634.5</c:v>
                        </c:pt>
                        <c:pt idx="65">
                          <c:v>637.6</c:v>
                        </c:pt>
                        <c:pt idx="66">
                          <c:v>640.7</c:v>
                        </c:pt>
                        <c:pt idx="67">
                          <c:v>644</c:v>
                        </c:pt>
                        <c:pt idx="68">
                          <c:v>647.4</c:v>
                        </c:pt>
                        <c:pt idx="69">
                          <c:v>650.5</c:v>
                        </c:pt>
                        <c:pt idx="70">
                          <c:v>653.7</c:v>
                        </c:pt>
                        <c:pt idx="71">
                          <c:v>656.8</c:v>
                        </c:pt>
                        <c:pt idx="72">
                          <c:v>660.6</c:v>
                        </c:pt>
                        <c:pt idx="73">
                          <c:v>664.8</c:v>
                        </c:pt>
                        <c:pt idx="74">
                          <c:v>669.2</c:v>
                        </c:pt>
                        <c:pt idx="75">
                          <c:v>673.1</c:v>
                        </c:pt>
                        <c:pt idx="76">
                          <c:v>677.4</c:v>
                        </c:pt>
                        <c:pt idx="77">
                          <c:v>682.2</c:v>
                        </c:pt>
                        <c:pt idx="78">
                          <c:v>686.5</c:v>
                        </c:pt>
                        <c:pt idx="79">
                          <c:v>691.2</c:v>
                        </c:pt>
                        <c:pt idx="80">
                          <c:v>694.8</c:v>
                        </c:pt>
                        <c:pt idx="81">
                          <c:v>699.9</c:v>
                        </c:pt>
                        <c:pt idx="82">
                          <c:v>704</c:v>
                        </c:pt>
                        <c:pt idx="83">
                          <c:v>708.8</c:v>
                        </c:pt>
                        <c:pt idx="84">
                          <c:v>714.2</c:v>
                        </c:pt>
                        <c:pt idx="85">
                          <c:v>719.8</c:v>
                        </c:pt>
                        <c:pt idx="86">
                          <c:v>726.2</c:v>
                        </c:pt>
                        <c:pt idx="87">
                          <c:v>733.5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152.5</c:v>
                        </c:pt>
                        <c:pt idx="1">
                          <c:v>185.3</c:v>
                        </c:pt>
                        <c:pt idx="2">
                          <c:v>226.6</c:v>
                        </c:pt>
                        <c:pt idx="3">
                          <c:v>255</c:v>
                        </c:pt>
                        <c:pt idx="4">
                          <c:v>279.1</c:v>
                        </c:pt>
                        <c:pt idx="5">
                          <c:v>299.2</c:v>
                        </c:pt>
                        <c:pt idx="6">
                          <c:v>317.3</c:v>
                        </c:pt>
                        <c:pt idx="7">
                          <c:v>332.5</c:v>
                        </c:pt>
                        <c:pt idx="8">
                          <c:v>345.5</c:v>
                        </c:pt>
                        <c:pt idx="9">
                          <c:v>356.3</c:v>
                        </c:pt>
                        <c:pt idx="10">
                          <c:v>366.7</c:v>
                        </c:pt>
                        <c:pt idx="11">
                          <c:v>378.3</c:v>
                        </c:pt>
                        <c:pt idx="12">
                          <c:v>390.2</c:v>
                        </c:pt>
                        <c:pt idx="13">
                          <c:v>398.9</c:v>
                        </c:pt>
                        <c:pt idx="14">
                          <c:v>407.3</c:v>
                        </c:pt>
                        <c:pt idx="15">
                          <c:v>415.7</c:v>
                        </c:pt>
                        <c:pt idx="16">
                          <c:v>424.9</c:v>
                        </c:pt>
                        <c:pt idx="17">
                          <c:v>433.3</c:v>
                        </c:pt>
                        <c:pt idx="18">
                          <c:v>440.7</c:v>
                        </c:pt>
                        <c:pt idx="19">
                          <c:v>448</c:v>
                        </c:pt>
                        <c:pt idx="20">
                          <c:v>455.9</c:v>
                        </c:pt>
                        <c:pt idx="21">
                          <c:v>463.6</c:v>
                        </c:pt>
                        <c:pt idx="22">
                          <c:v>470.6</c:v>
                        </c:pt>
                        <c:pt idx="23">
                          <c:v>477.3</c:v>
                        </c:pt>
                        <c:pt idx="24">
                          <c:v>484.2</c:v>
                        </c:pt>
                        <c:pt idx="25">
                          <c:v>491.3</c:v>
                        </c:pt>
                        <c:pt idx="26">
                          <c:v>497.8</c:v>
                        </c:pt>
                        <c:pt idx="27">
                          <c:v>503.3</c:v>
                        </c:pt>
                        <c:pt idx="28">
                          <c:v>508.7</c:v>
                        </c:pt>
                        <c:pt idx="29">
                          <c:v>514.7</c:v>
                        </c:pt>
                        <c:pt idx="30">
                          <c:v>520.6</c:v>
                        </c:pt>
                        <c:pt idx="31">
                          <c:v>525.7</c:v>
                        </c:pt>
                        <c:pt idx="32">
                          <c:v>530.5</c:v>
                        </c:pt>
                        <c:pt idx="33">
                          <c:v>535.2</c:v>
                        </c:pt>
                        <c:pt idx="34">
                          <c:v>539.6</c:v>
                        </c:pt>
                        <c:pt idx="35">
                          <c:v>543.9</c:v>
                        </c:pt>
                        <c:pt idx="36">
                          <c:v>548.2</c:v>
                        </c:pt>
                        <c:pt idx="37">
                          <c:v>552.4</c:v>
                        </c:pt>
                        <c:pt idx="38">
                          <c:v>556.4</c:v>
                        </c:pt>
                        <c:pt idx="39">
                          <c:v>560</c:v>
                        </c:pt>
                        <c:pt idx="40">
                          <c:v>563.5</c:v>
                        </c:pt>
                        <c:pt idx="41">
                          <c:v>566.8</c:v>
                        </c:pt>
                        <c:pt idx="42">
                          <c:v>569.9</c:v>
                        </c:pt>
                        <c:pt idx="43">
                          <c:v>572.9</c:v>
                        </c:pt>
                        <c:pt idx="44">
                          <c:v>575.8</c:v>
                        </c:pt>
                        <c:pt idx="45">
                          <c:v>578.8</c:v>
                        </c:pt>
                        <c:pt idx="46">
                          <c:v>581.7</c:v>
                        </c:pt>
                        <c:pt idx="47">
                          <c:v>584.6</c:v>
                        </c:pt>
                        <c:pt idx="48">
                          <c:v>587.4</c:v>
                        </c:pt>
                        <c:pt idx="49">
                          <c:v>590.1</c:v>
                        </c:pt>
                        <c:pt idx="50">
                          <c:v>592.8</c:v>
                        </c:pt>
                        <c:pt idx="51">
                          <c:v>595.5</c:v>
                        </c:pt>
                        <c:pt idx="52">
                          <c:v>598.1</c:v>
                        </c:pt>
                        <c:pt idx="53">
                          <c:v>600.8</c:v>
                        </c:pt>
                        <c:pt idx="54">
                          <c:v>603.6</c:v>
                        </c:pt>
                        <c:pt idx="55">
                          <c:v>606.3</c:v>
                        </c:pt>
                        <c:pt idx="56">
                          <c:v>609</c:v>
                        </c:pt>
                        <c:pt idx="57">
                          <c:v>611.7</c:v>
                        </c:pt>
                        <c:pt idx="58">
                          <c:v>614.5</c:v>
                        </c:pt>
                        <c:pt idx="59">
                          <c:v>617.3</c:v>
                        </c:pt>
                        <c:pt idx="60">
                          <c:v>620.1</c:v>
                        </c:pt>
                        <c:pt idx="61">
                          <c:v>623</c:v>
                        </c:pt>
                        <c:pt idx="62">
                          <c:v>625.8</c:v>
                        </c:pt>
                        <c:pt idx="63">
                          <c:v>628.6</c:v>
                        </c:pt>
                        <c:pt idx="64">
                          <c:v>631.4</c:v>
                        </c:pt>
                        <c:pt idx="65">
                          <c:v>634.2</c:v>
                        </c:pt>
                        <c:pt idx="66">
                          <c:v>637.1</c:v>
                        </c:pt>
                        <c:pt idx="67">
                          <c:v>640</c:v>
                        </c:pt>
                        <c:pt idx="68">
                          <c:v>643.1</c:v>
                        </c:pt>
                        <c:pt idx="69">
                          <c:v>646.2</c:v>
                        </c:pt>
                        <c:pt idx="70">
                          <c:v>649.2</c:v>
                        </c:pt>
                        <c:pt idx="71">
                          <c:v>652.2</c:v>
                        </c:pt>
                        <c:pt idx="72">
                          <c:v>655.1</c:v>
                        </c:pt>
                        <c:pt idx="73">
                          <c:v>658.1</c:v>
                        </c:pt>
                        <c:pt idx="74">
                          <c:v>661.9</c:v>
                        </c:pt>
                        <c:pt idx="75">
                          <c:v>665.7</c:v>
                        </c:pt>
                        <c:pt idx="76">
                          <c:v>669.7</c:v>
                        </c:pt>
                        <c:pt idx="77">
                          <c:v>673.1</c:v>
                        </c:pt>
                        <c:pt idx="78">
                          <c:v>676.9</c:v>
                        </c:pt>
                        <c:pt idx="79">
                          <c:v>681.3</c:v>
                        </c:pt>
                        <c:pt idx="80">
                          <c:v>685</c:v>
                        </c:pt>
                        <c:pt idx="81">
                          <c:v>688.9</c:v>
                        </c:pt>
                        <c:pt idx="82">
                          <c:v>692.4</c:v>
                        </c:pt>
                        <c:pt idx="83">
                          <c:v>695.7</c:v>
                        </c:pt>
                        <c:pt idx="84">
                          <c:v>700</c:v>
                        </c:pt>
                        <c:pt idx="85">
                          <c:v>703.3</c:v>
                        </c:pt>
                        <c:pt idx="86">
                          <c:v>706.7</c:v>
                        </c:pt>
                        <c:pt idx="87">
                          <c:v>710.8</c:v>
                        </c:pt>
                        <c:pt idx="88">
                          <c:v>714.7</c:v>
                        </c:pt>
                        <c:pt idx="89">
                          <c:v>718.6</c:v>
                        </c:pt>
                        <c:pt idx="90">
                          <c:v>722.6</c:v>
                        </c:pt>
                        <c:pt idx="91">
                          <c:v>726.7</c:v>
                        </c:pt>
                        <c:pt idx="92">
                          <c:v>730.9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140.2</c:v>
                        </c:pt>
                        <c:pt idx="1">
                          <c:v>187.3</c:v>
                        </c:pt>
                        <c:pt idx="2">
                          <c:v>232</c:v>
                        </c:pt>
                        <c:pt idx="3">
                          <c:v>261.4</c:v>
                        </c:pt>
                        <c:pt idx="4">
                          <c:v>285.2</c:v>
                        </c:pt>
                        <c:pt idx="5">
                          <c:v>305.6</c:v>
                        </c:pt>
                        <c:pt idx="6">
                          <c:v>323.2</c:v>
                        </c:pt>
                        <c:pt idx="7">
                          <c:v>338.6</c:v>
                        </c:pt>
                        <c:pt idx="8">
                          <c:v>351.3</c:v>
                        </c:pt>
                        <c:pt idx="9">
                          <c:v>362.4</c:v>
                        </c:pt>
                        <c:pt idx="10">
                          <c:v>374.1</c:v>
                        </c:pt>
                        <c:pt idx="11">
                          <c:v>387.1</c:v>
                        </c:pt>
                        <c:pt idx="12">
                          <c:v>397.2</c:v>
                        </c:pt>
                        <c:pt idx="13">
                          <c:v>406</c:v>
                        </c:pt>
                        <c:pt idx="14">
                          <c:v>414.7</c:v>
                        </c:pt>
                        <c:pt idx="15">
                          <c:v>424.4</c:v>
                        </c:pt>
                        <c:pt idx="16">
                          <c:v>433.3</c:v>
                        </c:pt>
                        <c:pt idx="17">
                          <c:v>441.2</c:v>
                        </c:pt>
                        <c:pt idx="18">
                          <c:v>448.8</c:v>
                        </c:pt>
                        <c:pt idx="19">
                          <c:v>457.3</c:v>
                        </c:pt>
                        <c:pt idx="20">
                          <c:v>465.4</c:v>
                        </c:pt>
                        <c:pt idx="21">
                          <c:v>472.5</c:v>
                        </c:pt>
                        <c:pt idx="22">
                          <c:v>479.5</c:v>
                        </c:pt>
                        <c:pt idx="23">
                          <c:v>486.9</c:v>
                        </c:pt>
                        <c:pt idx="24">
                          <c:v>494.3</c:v>
                        </c:pt>
                        <c:pt idx="25">
                          <c:v>500.6</c:v>
                        </c:pt>
                        <c:pt idx="26">
                          <c:v>506.4</c:v>
                        </c:pt>
                        <c:pt idx="27">
                          <c:v>512.4</c:v>
                        </c:pt>
                        <c:pt idx="28">
                          <c:v>518.7</c:v>
                        </c:pt>
                        <c:pt idx="29">
                          <c:v>524.4</c:v>
                        </c:pt>
                        <c:pt idx="30">
                          <c:v>529.6</c:v>
                        </c:pt>
                        <c:pt idx="31">
                          <c:v>534.6</c:v>
                        </c:pt>
                        <c:pt idx="32">
                          <c:v>539.3</c:v>
                        </c:pt>
                        <c:pt idx="33">
                          <c:v>543.9</c:v>
                        </c:pt>
                        <c:pt idx="34">
                          <c:v>548.6</c:v>
                        </c:pt>
                        <c:pt idx="35">
                          <c:v>553.1</c:v>
                        </c:pt>
                        <c:pt idx="36">
                          <c:v>557.3</c:v>
                        </c:pt>
                        <c:pt idx="37">
                          <c:v>561.1</c:v>
                        </c:pt>
                        <c:pt idx="38">
                          <c:v>564.8</c:v>
                        </c:pt>
                        <c:pt idx="39">
                          <c:v>568.2</c:v>
                        </c:pt>
                        <c:pt idx="40">
                          <c:v>571.4</c:v>
                        </c:pt>
                        <c:pt idx="41">
                          <c:v>574.6</c:v>
                        </c:pt>
                        <c:pt idx="42">
                          <c:v>577.8</c:v>
                        </c:pt>
                        <c:pt idx="43">
                          <c:v>580.9</c:v>
                        </c:pt>
                        <c:pt idx="44">
                          <c:v>584.1</c:v>
                        </c:pt>
                        <c:pt idx="45">
                          <c:v>587</c:v>
                        </c:pt>
                        <c:pt idx="46">
                          <c:v>590</c:v>
                        </c:pt>
                        <c:pt idx="47">
                          <c:v>592.9</c:v>
                        </c:pt>
                        <c:pt idx="48">
                          <c:v>595.7</c:v>
                        </c:pt>
                        <c:pt idx="49">
                          <c:v>598.6</c:v>
                        </c:pt>
                        <c:pt idx="50">
                          <c:v>601.5</c:v>
                        </c:pt>
                        <c:pt idx="51">
                          <c:v>604.4</c:v>
                        </c:pt>
                        <c:pt idx="52">
                          <c:v>607.4</c:v>
                        </c:pt>
                        <c:pt idx="53">
                          <c:v>610.3</c:v>
                        </c:pt>
                        <c:pt idx="54">
                          <c:v>613.3</c:v>
                        </c:pt>
                        <c:pt idx="55">
                          <c:v>616.3</c:v>
                        </c:pt>
                        <c:pt idx="56">
                          <c:v>619.4</c:v>
                        </c:pt>
                        <c:pt idx="57">
                          <c:v>622.6</c:v>
                        </c:pt>
                        <c:pt idx="58">
                          <c:v>625.7</c:v>
                        </c:pt>
                        <c:pt idx="59">
                          <c:v>628.9</c:v>
                        </c:pt>
                        <c:pt idx="60">
                          <c:v>631.9</c:v>
                        </c:pt>
                        <c:pt idx="61">
                          <c:v>635.1</c:v>
                        </c:pt>
                        <c:pt idx="62">
                          <c:v>638.4</c:v>
                        </c:pt>
                        <c:pt idx="63">
                          <c:v>641.8</c:v>
                        </c:pt>
                        <c:pt idx="64">
                          <c:v>645.4</c:v>
                        </c:pt>
                        <c:pt idx="65">
                          <c:v>648.9</c:v>
                        </c:pt>
                        <c:pt idx="66">
                          <c:v>652.4</c:v>
                        </c:pt>
                        <c:pt idx="67">
                          <c:v>655.8</c:v>
                        </c:pt>
                        <c:pt idx="68">
                          <c:v>659.7</c:v>
                        </c:pt>
                        <c:pt idx="69">
                          <c:v>664.3</c:v>
                        </c:pt>
                        <c:pt idx="70">
                          <c:v>669.1</c:v>
                        </c:pt>
                        <c:pt idx="71">
                          <c:v>673.5</c:v>
                        </c:pt>
                        <c:pt idx="72">
                          <c:v>678.6</c:v>
                        </c:pt>
                        <c:pt idx="73">
                          <c:v>683.9</c:v>
                        </c:pt>
                        <c:pt idx="74">
                          <c:v>689.1</c:v>
                        </c:pt>
                        <c:pt idx="75">
                          <c:v>693.9</c:v>
                        </c:pt>
                        <c:pt idx="76">
                          <c:v>699.8</c:v>
                        </c:pt>
                        <c:pt idx="77">
                          <c:v>705.2</c:v>
                        </c:pt>
                        <c:pt idx="78">
                          <c:v>712.1</c:v>
                        </c:pt>
                        <c:pt idx="79">
                          <c:v>720.3</c:v>
                        </c:pt>
                        <c:pt idx="80">
                          <c:v>733.8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142.1</c:v>
                        </c:pt>
                        <c:pt idx="1">
                          <c:v>173.4</c:v>
                        </c:pt>
                        <c:pt idx="2">
                          <c:v>215</c:v>
                        </c:pt>
                        <c:pt idx="3">
                          <c:v>248.3</c:v>
                        </c:pt>
                        <c:pt idx="4">
                          <c:v>270.7</c:v>
                        </c:pt>
                        <c:pt idx="5">
                          <c:v>291.2</c:v>
                        </c:pt>
                        <c:pt idx="6">
                          <c:v>308.6</c:v>
                        </c:pt>
                        <c:pt idx="7">
                          <c:v>324.2</c:v>
                        </c:pt>
                        <c:pt idx="8">
                          <c:v>338.5</c:v>
                        </c:pt>
                        <c:pt idx="9">
                          <c:v>351.6</c:v>
                        </c:pt>
                        <c:pt idx="10">
                          <c:v>363.5</c:v>
                        </c:pt>
                        <c:pt idx="11">
                          <c:v>374.4</c:v>
                        </c:pt>
                        <c:pt idx="12">
                          <c:v>384.5</c:v>
                        </c:pt>
                        <c:pt idx="13">
                          <c:v>394.2</c:v>
                        </c:pt>
                        <c:pt idx="14">
                          <c:v>404</c:v>
                        </c:pt>
                        <c:pt idx="15">
                          <c:v>413.2</c:v>
                        </c:pt>
                        <c:pt idx="16">
                          <c:v>421.9</c:v>
                        </c:pt>
                        <c:pt idx="17">
                          <c:v>430.1</c:v>
                        </c:pt>
                        <c:pt idx="18">
                          <c:v>438.5</c:v>
                        </c:pt>
                        <c:pt idx="19">
                          <c:v>446.5</c:v>
                        </c:pt>
                        <c:pt idx="20">
                          <c:v>454.4</c:v>
                        </c:pt>
                        <c:pt idx="21">
                          <c:v>462</c:v>
                        </c:pt>
                        <c:pt idx="22">
                          <c:v>469.5</c:v>
                        </c:pt>
                        <c:pt idx="23">
                          <c:v>476.7</c:v>
                        </c:pt>
                        <c:pt idx="24">
                          <c:v>483.7</c:v>
                        </c:pt>
                        <c:pt idx="25">
                          <c:v>490.4</c:v>
                        </c:pt>
                        <c:pt idx="26">
                          <c:v>496.8</c:v>
                        </c:pt>
                        <c:pt idx="27">
                          <c:v>502.6</c:v>
                        </c:pt>
                        <c:pt idx="28">
                          <c:v>508.1</c:v>
                        </c:pt>
                        <c:pt idx="29">
                          <c:v>513.7</c:v>
                        </c:pt>
                        <c:pt idx="30">
                          <c:v>519.1</c:v>
                        </c:pt>
                        <c:pt idx="31">
                          <c:v>524.2</c:v>
                        </c:pt>
                        <c:pt idx="32">
                          <c:v>528.8</c:v>
                        </c:pt>
                        <c:pt idx="33">
                          <c:v>533.2</c:v>
                        </c:pt>
                        <c:pt idx="34">
                          <c:v>537.4</c:v>
                        </c:pt>
                        <c:pt idx="35">
                          <c:v>541.5</c:v>
                        </c:pt>
                        <c:pt idx="36">
                          <c:v>545.3</c:v>
                        </c:pt>
                        <c:pt idx="37">
                          <c:v>549.4</c:v>
                        </c:pt>
                        <c:pt idx="38">
                          <c:v>553.2</c:v>
                        </c:pt>
                        <c:pt idx="39">
                          <c:v>556.9</c:v>
                        </c:pt>
                        <c:pt idx="40">
                          <c:v>560.4</c:v>
                        </c:pt>
                        <c:pt idx="41">
                          <c:v>563.8</c:v>
                        </c:pt>
                        <c:pt idx="42">
                          <c:v>567</c:v>
                        </c:pt>
                        <c:pt idx="43">
                          <c:v>570</c:v>
                        </c:pt>
                        <c:pt idx="44">
                          <c:v>573</c:v>
                        </c:pt>
                        <c:pt idx="45">
                          <c:v>576.1</c:v>
                        </c:pt>
                        <c:pt idx="46">
                          <c:v>579.2</c:v>
                        </c:pt>
                        <c:pt idx="47">
                          <c:v>582.4</c:v>
                        </c:pt>
                        <c:pt idx="48">
                          <c:v>585.5</c:v>
                        </c:pt>
                        <c:pt idx="49">
                          <c:v>588.5</c:v>
                        </c:pt>
                        <c:pt idx="50">
                          <c:v>591.6</c:v>
                        </c:pt>
                        <c:pt idx="51">
                          <c:v>594.7</c:v>
                        </c:pt>
                        <c:pt idx="52">
                          <c:v>597.8</c:v>
                        </c:pt>
                        <c:pt idx="53">
                          <c:v>601</c:v>
                        </c:pt>
                        <c:pt idx="54">
                          <c:v>604.3</c:v>
                        </c:pt>
                        <c:pt idx="55">
                          <c:v>607.6</c:v>
                        </c:pt>
                        <c:pt idx="56">
                          <c:v>610.9</c:v>
                        </c:pt>
                        <c:pt idx="57">
                          <c:v>614.3</c:v>
                        </c:pt>
                        <c:pt idx="58">
                          <c:v>617.8</c:v>
                        </c:pt>
                        <c:pt idx="59">
                          <c:v>621.4</c:v>
                        </c:pt>
                        <c:pt idx="60">
                          <c:v>625</c:v>
                        </c:pt>
                        <c:pt idx="61">
                          <c:v>628.6</c:v>
                        </c:pt>
                        <c:pt idx="62">
                          <c:v>632</c:v>
                        </c:pt>
                        <c:pt idx="63">
                          <c:v>635.5</c:v>
                        </c:pt>
                        <c:pt idx="64">
                          <c:v>639.3</c:v>
                        </c:pt>
                        <c:pt idx="65">
                          <c:v>643.3</c:v>
                        </c:pt>
                        <c:pt idx="66">
                          <c:v>647.4</c:v>
                        </c:pt>
                        <c:pt idx="67">
                          <c:v>651.4</c:v>
                        </c:pt>
                        <c:pt idx="68">
                          <c:v>655.2</c:v>
                        </c:pt>
                        <c:pt idx="69">
                          <c:v>659.4</c:v>
                        </c:pt>
                        <c:pt idx="70">
                          <c:v>664.4</c:v>
                        </c:pt>
                        <c:pt idx="71">
                          <c:v>669.7</c:v>
                        </c:pt>
                        <c:pt idx="72">
                          <c:v>674.4</c:v>
                        </c:pt>
                        <c:pt idx="73">
                          <c:v>680</c:v>
                        </c:pt>
                        <c:pt idx="74">
                          <c:v>685.4</c:v>
                        </c:pt>
                        <c:pt idx="75">
                          <c:v>691</c:v>
                        </c:pt>
                        <c:pt idx="76">
                          <c:v>696</c:v>
                        </c:pt>
                        <c:pt idx="77">
                          <c:v>702.3</c:v>
                        </c:pt>
                        <c:pt idx="78">
                          <c:v>708.5</c:v>
                        </c:pt>
                        <c:pt idx="79">
                          <c:v>716.3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436.7</c:v>
                        </c:pt>
                        <c:pt idx="1">
                          <c:v>499.2</c:v>
                        </c:pt>
                        <c:pt idx="2">
                          <c:v>527.2</c:v>
                        </c:pt>
                        <c:pt idx="3">
                          <c:v>538.6</c:v>
                        </c:pt>
                        <c:pt idx="4">
                          <c:v>546.5</c:v>
                        </c:pt>
                        <c:pt idx="5">
                          <c:v>553.1</c:v>
                        </c:pt>
                        <c:pt idx="6">
                          <c:v>558.5</c:v>
                        </c:pt>
                        <c:pt idx="7">
                          <c:v>563.2</c:v>
                        </c:pt>
                        <c:pt idx="8">
                          <c:v>567.4</c:v>
                        </c:pt>
                        <c:pt idx="9">
                          <c:v>571.1</c:v>
                        </c:pt>
                        <c:pt idx="10">
                          <c:v>574.7</c:v>
                        </c:pt>
                        <c:pt idx="11">
                          <c:v>578.2</c:v>
                        </c:pt>
                        <c:pt idx="12">
                          <c:v>581.7</c:v>
                        </c:pt>
                        <c:pt idx="13">
                          <c:v>585.1</c:v>
                        </c:pt>
                        <c:pt idx="14">
                          <c:v>588.4</c:v>
                        </c:pt>
                        <c:pt idx="15">
                          <c:v>591.6</c:v>
                        </c:pt>
                        <c:pt idx="16">
                          <c:v>594.8</c:v>
                        </c:pt>
                        <c:pt idx="17">
                          <c:v>598</c:v>
                        </c:pt>
                        <c:pt idx="18">
                          <c:v>601.2</c:v>
                        </c:pt>
                        <c:pt idx="19">
                          <c:v>604.6</c:v>
                        </c:pt>
                        <c:pt idx="20">
                          <c:v>607.9</c:v>
                        </c:pt>
                        <c:pt idx="21">
                          <c:v>611.2</c:v>
                        </c:pt>
                        <c:pt idx="22">
                          <c:v>614.5</c:v>
                        </c:pt>
                        <c:pt idx="23">
                          <c:v>618</c:v>
                        </c:pt>
                        <c:pt idx="24">
                          <c:v>621.5</c:v>
                        </c:pt>
                        <c:pt idx="25">
                          <c:v>624.9</c:v>
                        </c:pt>
                        <c:pt idx="26">
                          <c:v>628.4</c:v>
                        </c:pt>
                        <c:pt idx="27">
                          <c:v>631.8</c:v>
                        </c:pt>
                        <c:pt idx="28">
                          <c:v>635.2</c:v>
                        </c:pt>
                        <c:pt idx="29">
                          <c:v>638.8</c:v>
                        </c:pt>
                        <c:pt idx="30">
                          <c:v>642.6</c:v>
                        </c:pt>
                        <c:pt idx="31">
                          <c:v>646.5</c:v>
                        </c:pt>
                        <c:pt idx="32">
                          <c:v>650.2</c:v>
                        </c:pt>
                        <c:pt idx="33">
                          <c:v>654</c:v>
                        </c:pt>
                        <c:pt idx="34">
                          <c:v>657.6</c:v>
                        </c:pt>
                        <c:pt idx="35">
                          <c:v>662.3</c:v>
                        </c:pt>
                        <c:pt idx="36">
                          <c:v>667.3</c:v>
                        </c:pt>
                        <c:pt idx="37">
                          <c:v>672.1</c:v>
                        </c:pt>
                        <c:pt idx="38">
                          <c:v>677.2</c:v>
                        </c:pt>
                        <c:pt idx="39">
                          <c:v>683</c:v>
                        </c:pt>
                        <c:pt idx="40">
                          <c:v>688.5</c:v>
                        </c:pt>
                        <c:pt idx="41">
                          <c:v>693.9</c:v>
                        </c:pt>
                        <c:pt idx="42">
                          <c:v>700.7</c:v>
                        </c:pt>
                        <c:pt idx="43">
                          <c:v>708.3</c:v>
                        </c:pt>
                        <c:pt idx="44">
                          <c:v>721.3</c:v>
                        </c:pt>
                        <c:pt idx="45">
                          <c:v>-</c:v>
                        </c:pt>
                        <c:pt idx="46">
                          <c:v>-</c:v>
                        </c:pt>
                        <c:pt idx="47">
                          <c:v>-</c:v>
                        </c:pt>
                        <c:pt idx="48">
                          <c:v>-</c:v>
                        </c:pt>
                        <c:pt idx="49">
                          <c:v>-</c:v>
                        </c:pt>
                        <c:pt idx="50">
                          <c:v>-</c:v>
                        </c:pt>
                        <c:pt idx="51">
                          <c:v>-</c:v>
                        </c:pt>
                        <c:pt idx="52">
                          <c:v>-</c:v>
                        </c:pt>
                        <c:pt idx="53">
                          <c:v>-</c:v>
                        </c:pt>
                        <c:pt idx="54">
                          <c:v>-</c:v>
                        </c:pt>
                        <c:pt idx="55">
                          <c:v>-</c:v>
                        </c:pt>
                        <c:pt idx="56">
                          <c:v>-</c:v>
                        </c:pt>
                        <c:pt idx="57">
                          <c:v>-</c:v>
                        </c:pt>
                        <c:pt idx="58">
                          <c:v>-</c:v>
                        </c:pt>
                        <c:pt idx="59">
                          <c:v>-</c:v>
                        </c:pt>
                        <c:pt idx="60">
                          <c:v>-</c:v>
                        </c:pt>
                        <c:pt idx="61">
                          <c:v>-</c:v>
                        </c:pt>
                        <c:pt idx="62">
                          <c:v>-</c:v>
                        </c:pt>
                        <c:pt idx="63">
                          <c:v>-</c:v>
                        </c:pt>
                        <c:pt idx="64">
                          <c:v>-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462.3</c:v>
                        </c:pt>
                        <c:pt idx="1">
                          <c:v>528.9</c:v>
                        </c:pt>
                        <c:pt idx="2">
                          <c:v>546.9</c:v>
                        </c:pt>
                        <c:pt idx="3">
                          <c:v>555.2</c:v>
                        </c:pt>
                        <c:pt idx="4">
                          <c:v>561</c:v>
                        </c:pt>
                        <c:pt idx="5">
                          <c:v>565.7</c:v>
                        </c:pt>
                        <c:pt idx="6">
                          <c:v>569.7</c:v>
                        </c:pt>
                        <c:pt idx="7">
                          <c:v>573.2</c:v>
                        </c:pt>
                        <c:pt idx="8">
                          <c:v>576.7</c:v>
                        </c:pt>
                        <c:pt idx="9">
                          <c:v>580.1</c:v>
                        </c:pt>
                        <c:pt idx="10">
                          <c:v>583.4</c:v>
                        </c:pt>
                        <c:pt idx="11">
                          <c:v>586.6</c:v>
                        </c:pt>
                        <c:pt idx="12">
                          <c:v>589.6</c:v>
                        </c:pt>
                        <c:pt idx="13">
                          <c:v>592.6</c:v>
                        </c:pt>
                        <c:pt idx="14">
                          <c:v>595.6</c:v>
                        </c:pt>
                        <c:pt idx="15">
                          <c:v>598.5</c:v>
                        </c:pt>
                        <c:pt idx="16">
                          <c:v>601.4</c:v>
                        </c:pt>
                        <c:pt idx="17">
                          <c:v>604.4</c:v>
                        </c:pt>
                        <c:pt idx="18">
                          <c:v>607.3</c:v>
                        </c:pt>
                        <c:pt idx="19">
                          <c:v>610.2</c:v>
                        </c:pt>
                        <c:pt idx="20">
                          <c:v>613.1</c:v>
                        </c:pt>
                        <c:pt idx="21">
                          <c:v>616.1</c:v>
                        </c:pt>
                        <c:pt idx="22">
                          <c:v>619.2</c:v>
                        </c:pt>
                        <c:pt idx="23">
                          <c:v>622.3</c:v>
                        </c:pt>
                        <c:pt idx="24">
                          <c:v>625.3</c:v>
                        </c:pt>
                        <c:pt idx="25">
                          <c:v>628.4</c:v>
                        </c:pt>
                        <c:pt idx="26">
                          <c:v>631.4</c:v>
                        </c:pt>
                        <c:pt idx="27">
                          <c:v>634.4</c:v>
                        </c:pt>
                        <c:pt idx="28">
                          <c:v>637.5</c:v>
                        </c:pt>
                        <c:pt idx="29">
                          <c:v>640.8</c:v>
                        </c:pt>
                        <c:pt idx="30">
                          <c:v>644.2</c:v>
                        </c:pt>
                        <c:pt idx="31">
                          <c:v>647.6</c:v>
                        </c:pt>
                        <c:pt idx="32">
                          <c:v>650.9</c:v>
                        </c:pt>
                        <c:pt idx="33">
                          <c:v>654.2</c:v>
                        </c:pt>
                        <c:pt idx="34">
                          <c:v>657.5</c:v>
                        </c:pt>
                        <c:pt idx="35">
                          <c:v>661.5</c:v>
                        </c:pt>
                        <c:pt idx="36">
                          <c:v>665.8</c:v>
                        </c:pt>
                        <c:pt idx="37">
                          <c:v>670.3</c:v>
                        </c:pt>
                        <c:pt idx="38">
                          <c:v>674.2</c:v>
                        </c:pt>
                        <c:pt idx="39">
                          <c:v>679.2</c:v>
                        </c:pt>
                        <c:pt idx="40">
                          <c:v>683.9</c:v>
                        </c:pt>
                        <c:pt idx="41">
                          <c:v>688.5</c:v>
                        </c:pt>
                        <c:pt idx="42">
                          <c:v>693</c:v>
                        </c:pt>
                        <c:pt idx="43">
                          <c:v>697.8</c:v>
                        </c:pt>
                        <c:pt idx="44">
                          <c:v>702.9</c:v>
                        </c:pt>
                        <c:pt idx="45">
                          <c:v>708.2</c:v>
                        </c:pt>
                        <c:pt idx="46">
                          <c:v>715.3</c:v>
                        </c:pt>
                        <c:pt idx="47">
                          <c:v>724.1</c:v>
                        </c:pt>
                        <c:pt idx="48">
                          <c:v>-</c:v>
                        </c:pt>
                        <c:pt idx="49">
                          <c:v>-</c:v>
                        </c:pt>
                        <c:pt idx="50">
                          <c:v>-</c:v>
                        </c:pt>
                        <c:pt idx="51">
                          <c:v>-</c:v>
                        </c:pt>
                        <c:pt idx="52">
                          <c:v>-</c:v>
                        </c:pt>
                        <c:pt idx="53">
                          <c:v>-</c:v>
                        </c:pt>
                        <c:pt idx="54">
                          <c:v>-</c:v>
                        </c:pt>
                        <c:pt idx="55">
                          <c:v>-</c:v>
                        </c:pt>
                        <c:pt idx="56">
                          <c:v>-</c:v>
                        </c:pt>
                        <c:pt idx="57">
                          <c:v>-</c:v>
                        </c:pt>
                        <c:pt idx="58">
                          <c:v>-</c:v>
                        </c:pt>
                        <c:pt idx="59">
                          <c:v>-</c:v>
                        </c:pt>
                        <c:pt idx="60">
                          <c:v>-</c:v>
                        </c:pt>
                        <c:pt idx="61">
                          <c:v>-</c:v>
                        </c:pt>
                        <c:pt idx="62">
                          <c:v>-</c:v>
                        </c:pt>
                        <c:pt idx="63">
                          <c:v>-</c:v>
                        </c:pt>
                        <c:pt idx="64">
                          <c:v>-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375.98</c:v>
                        </c:pt>
                        <c:pt idx="1">
                          <c:v>402</c:v>
                        </c:pt>
                        <c:pt idx="2">
                          <c:v>422</c:v>
                        </c:pt>
                        <c:pt idx="3">
                          <c:v>462</c:v>
                        </c:pt>
                        <c:pt idx="4">
                          <c:v>489</c:v>
                        </c:pt>
                        <c:pt idx="5">
                          <c:v>510</c:v>
                        </c:pt>
                        <c:pt idx="6">
                          <c:v>518</c:v>
                        </c:pt>
                        <c:pt idx="7">
                          <c:v>525</c:v>
                        </c:pt>
                        <c:pt idx="8">
                          <c:v>533</c:v>
                        </c:pt>
                        <c:pt idx="9">
                          <c:v>538</c:v>
                        </c:pt>
                        <c:pt idx="10">
                          <c:v>543.5</c:v>
                        </c:pt>
                        <c:pt idx="11">
                          <c:v>548</c:v>
                        </c:pt>
                        <c:pt idx="12">
                          <c:v>553</c:v>
                        </c:pt>
                        <c:pt idx="13">
                          <c:v>556</c:v>
                        </c:pt>
                        <c:pt idx="14">
                          <c:v>560</c:v>
                        </c:pt>
                        <c:pt idx="15">
                          <c:v>563</c:v>
                        </c:pt>
                        <c:pt idx="16">
                          <c:v>566</c:v>
                        </c:pt>
                        <c:pt idx="17">
                          <c:v>569</c:v>
                        </c:pt>
                        <c:pt idx="18">
                          <c:v>572</c:v>
                        </c:pt>
                        <c:pt idx="19">
                          <c:v>575</c:v>
                        </c:pt>
                        <c:pt idx="20">
                          <c:v>578</c:v>
                        </c:pt>
                        <c:pt idx="21">
                          <c:v>581</c:v>
                        </c:pt>
                        <c:pt idx="22">
                          <c:v>584</c:v>
                        </c:pt>
                        <c:pt idx="23">
                          <c:v>587</c:v>
                        </c:pt>
                        <c:pt idx="24">
                          <c:v>590</c:v>
                        </c:pt>
                        <c:pt idx="25">
                          <c:v>593</c:v>
                        </c:pt>
                        <c:pt idx="26">
                          <c:v>595</c:v>
                        </c:pt>
                        <c:pt idx="27">
                          <c:v>598</c:v>
                        </c:pt>
                        <c:pt idx="28">
                          <c:v>600</c:v>
                        </c:pt>
                        <c:pt idx="29">
                          <c:v>602</c:v>
                        </c:pt>
                        <c:pt idx="30">
                          <c:v>606</c:v>
                        </c:pt>
                        <c:pt idx="31">
                          <c:v>609</c:v>
                        </c:pt>
                        <c:pt idx="32">
                          <c:v>611</c:v>
                        </c:pt>
                        <c:pt idx="33">
                          <c:v>614</c:v>
                        </c:pt>
                        <c:pt idx="34">
                          <c:v>617</c:v>
                        </c:pt>
                        <c:pt idx="35">
                          <c:v>620</c:v>
                        </c:pt>
                        <c:pt idx="36">
                          <c:v>622</c:v>
                        </c:pt>
                        <c:pt idx="37">
                          <c:v>626</c:v>
                        </c:pt>
                        <c:pt idx="38">
                          <c:v>630</c:v>
                        </c:pt>
                        <c:pt idx="39">
                          <c:v>632</c:v>
                        </c:pt>
                        <c:pt idx="40">
                          <c:v>635</c:v>
                        </c:pt>
                        <c:pt idx="41">
                          <c:v>638</c:v>
                        </c:pt>
                        <c:pt idx="42">
                          <c:v>641</c:v>
                        </c:pt>
                        <c:pt idx="43">
                          <c:v>644</c:v>
                        </c:pt>
                        <c:pt idx="44">
                          <c:v>647</c:v>
                        </c:pt>
                        <c:pt idx="45">
                          <c:v>650</c:v>
                        </c:pt>
                        <c:pt idx="46">
                          <c:v>654</c:v>
                        </c:pt>
                        <c:pt idx="47">
                          <c:v>657</c:v>
                        </c:pt>
                        <c:pt idx="48">
                          <c:v>661</c:v>
                        </c:pt>
                        <c:pt idx="49">
                          <c:v>664</c:v>
                        </c:pt>
                        <c:pt idx="50">
                          <c:v>667</c:v>
                        </c:pt>
                        <c:pt idx="51">
                          <c:v>671</c:v>
                        </c:pt>
                        <c:pt idx="52">
                          <c:v>675</c:v>
                        </c:pt>
                        <c:pt idx="53">
                          <c:v>678</c:v>
                        </c:pt>
                        <c:pt idx="54">
                          <c:v>682</c:v>
                        </c:pt>
                        <c:pt idx="55">
                          <c:v>687</c:v>
                        </c:pt>
                        <c:pt idx="56">
                          <c:v>691</c:v>
                        </c:pt>
                        <c:pt idx="57">
                          <c:v>694</c:v>
                        </c:pt>
                        <c:pt idx="58">
                          <c:v>698</c:v>
                        </c:pt>
                        <c:pt idx="59">
                          <c:v>702</c:v>
                        </c:pt>
                        <c:pt idx="60">
                          <c:v>705</c:v>
                        </c:pt>
                        <c:pt idx="61">
                          <c:v>708</c:v>
                        </c:pt>
                        <c:pt idx="62">
                          <c:v>713</c:v>
                        </c:pt>
                        <c:pt idx="63">
                          <c:v>718</c:v>
                        </c:pt>
                        <c:pt idx="64">
                          <c:v>720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560</c:v>
                        </c:pt>
                        <c:pt idx="1">
                          <c:v>560</c:v>
                        </c:pt>
                        <c:pt idx="2">
                          <c:v>560</c:v>
                        </c:pt>
                        <c:pt idx="3">
                          <c:v>560</c:v>
                        </c:pt>
                        <c:pt idx="4">
                          <c:v>560</c:v>
                        </c:pt>
                        <c:pt idx="5">
                          <c:v>560</c:v>
                        </c:pt>
                        <c:pt idx="6">
                          <c:v>560</c:v>
                        </c:pt>
                        <c:pt idx="7">
                          <c:v>560</c:v>
                        </c:pt>
                        <c:pt idx="8">
                          <c:v>560</c:v>
                        </c:pt>
                        <c:pt idx="9">
                          <c:v>560</c:v>
                        </c:pt>
                        <c:pt idx="10">
                          <c:v>560</c:v>
                        </c:pt>
                        <c:pt idx="11">
                          <c:v>560</c:v>
                        </c:pt>
                        <c:pt idx="12">
                          <c:v>560</c:v>
                        </c:pt>
                        <c:pt idx="13">
                          <c:v>560</c:v>
                        </c:pt>
                        <c:pt idx="14">
                          <c:v>560</c:v>
                        </c:pt>
                        <c:pt idx="15">
                          <c:v>560</c:v>
                        </c:pt>
                        <c:pt idx="16">
                          <c:v>560</c:v>
                        </c:pt>
                        <c:pt idx="17">
                          <c:v>560</c:v>
                        </c:pt>
                        <c:pt idx="18">
                          <c:v>560</c:v>
                        </c:pt>
                        <c:pt idx="19">
                          <c:v>560</c:v>
                        </c:pt>
                        <c:pt idx="20">
                          <c:v>560</c:v>
                        </c:pt>
                        <c:pt idx="21">
                          <c:v>560</c:v>
                        </c:pt>
                        <c:pt idx="22">
                          <c:v>560</c:v>
                        </c:pt>
                        <c:pt idx="23">
                          <c:v>560</c:v>
                        </c:pt>
                        <c:pt idx="24">
                          <c:v>560</c:v>
                        </c:pt>
                        <c:pt idx="25">
                          <c:v>560</c:v>
                        </c:pt>
                        <c:pt idx="26">
                          <c:v>560</c:v>
                        </c:pt>
                        <c:pt idx="27">
                          <c:v>560</c:v>
                        </c:pt>
                        <c:pt idx="28">
                          <c:v>560</c:v>
                        </c:pt>
                        <c:pt idx="29">
                          <c:v>560</c:v>
                        </c:pt>
                        <c:pt idx="30">
                          <c:v>560</c:v>
                        </c:pt>
                        <c:pt idx="31">
                          <c:v>560</c:v>
                        </c:pt>
                        <c:pt idx="32">
                          <c:v>560</c:v>
                        </c:pt>
                        <c:pt idx="33">
                          <c:v>560</c:v>
                        </c:pt>
                        <c:pt idx="34">
                          <c:v>560</c:v>
                        </c:pt>
                        <c:pt idx="35">
                          <c:v>560</c:v>
                        </c:pt>
                        <c:pt idx="36">
                          <c:v>560</c:v>
                        </c:pt>
                        <c:pt idx="37">
                          <c:v>560</c:v>
                        </c:pt>
                        <c:pt idx="38">
                          <c:v>560</c:v>
                        </c:pt>
                        <c:pt idx="39">
                          <c:v>560</c:v>
                        </c:pt>
                        <c:pt idx="40">
                          <c:v>560</c:v>
                        </c:pt>
                        <c:pt idx="41">
                          <c:v>560</c:v>
                        </c:pt>
                        <c:pt idx="42">
                          <c:v>560</c:v>
                        </c:pt>
                        <c:pt idx="43">
                          <c:v>560</c:v>
                        </c:pt>
                        <c:pt idx="44">
                          <c:v>560</c:v>
                        </c:pt>
                        <c:pt idx="45">
                          <c:v>560</c:v>
                        </c:pt>
                        <c:pt idx="46">
                          <c:v>560</c:v>
                        </c:pt>
                        <c:pt idx="47">
                          <c:v>560</c:v>
                        </c:pt>
                        <c:pt idx="48">
                          <c:v>560</c:v>
                        </c:pt>
                        <c:pt idx="49">
                          <c:v>560</c:v>
                        </c:pt>
                        <c:pt idx="50">
                          <c:v>560</c:v>
                        </c:pt>
                        <c:pt idx="51">
                          <c:v>560</c:v>
                        </c:pt>
                        <c:pt idx="52">
                          <c:v>560</c:v>
                        </c:pt>
                        <c:pt idx="53">
                          <c:v>560</c:v>
                        </c:pt>
                        <c:pt idx="54">
                          <c:v>560</c:v>
                        </c:pt>
                        <c:pt idx="55">
                          <c:v>560</c:v>
                        </c:pt>
                        <c:pt idx="56">
                          <c:v>560</c:v>
                        </c:pt>
                        <c:pt idx="57">
                          <c:v>560</c:v>
                        </c:pt>
                        <c:pt idx="58">
                          <c:v>560</c:v>
                        </c:pt>
                        <c:pt idx="59">
                          <c:v>560</c:v>
                        </c:pt>
                        <c:pt idx="60">
                          <c:v>560</c:v>
                        </c:pt>
                        <c:pt idx="61">
                          <c:v>560</c:v>
                        </c:pt>
                        <c:pt idx="62">
                          <c:v>560</c:v>
                        </c:pt>
                        <c:pt idx="63">
                          <c:v>560</c:v>
                        </c:pt>
                        <c:pt idx="64">
                          <c:v>560</c:v>
                        </c:pt>
                        <c:pt idx="65">
                          <c:v>560</c:v>
                        </c:pt>
                        <c:pt idx="66">
                          <c:v>560</c:v>
                        </c:pt>
                        <c:pt idx="67">
                          <c:v>560</c:v>
                        </c:pt>
                        <c:pt idx="68">
                          <c:v>560</c:v>
                        </c:pt>
                        <c:pt idx="69">
                          <c:v>560</c:v>
                        </c:pt>
                        <c:pt idx="70">
                          <c:v>560</c:v>
                        </c:pt>
                        <c:pt idx="71">
                          <c:v>560</c:v>
                        </c:pt>
                        <c:pt idx="72">
                          <c:v>560</c:v>
                        </c:pt>
                        <c:pt idx="73">
                          <c:v>560</c:v>
                        </c:pt>
                        <c:pt idx="74">
                          <c:v>560</c:v>
                        </c:pt>
                        <c:pt idx="75">
                          <c:v>560</c:v>
                        </c:pt>
                        <c:pt idx="76">
                          <c:v>560</c:v>
                        </c:pt>
                        <c:pt idx="77">
                          <c:v>560</c:v>
                        </c:pt>
                        <c:pt idx="78">
                          <c:v>560</c:v>
                        </c:pt>
                        <c:pt idx="79">
                          <c:v>560</c:v>
                        </c:pt>
                        <c:pt idx="80">
                          <c:v>560</c:v>
                        </c:pt>
                        <c:pt idx="81">
                          <c:v>560</c:v>
                        </c:pt>
                        <c:pt idx="82">
                          <c:v>560</c:v>
                        </c:pt>
                        <c:pt idx="83">
                          <c:v>560</c:v>
                        </c:pt>
                        <c:pt idx="84">
                          <c:v>560</c:v>
                        </c:pt>
                        <c:pt idx="85">
                          <c:v>560</c:v>
                        </c:pt>
                        <c:pt idx="86">
                          <c:v>560</c:v>
                        </c:pt>
                        <c:pt idx="87">
                          <c:v>560</c:v>
                        </c:pt>
                        <c:pt idx="88">
                          <c:v>560</c:v>
                        </c:pt>
                        <c:pt idx="89">
                          <c:v>560</c:v>
                        </c:pt>
                        <c:pt idx="90">
                          <c:v>560</c:v>
                        </c:pt>
                        <c:pt idx="91">
                          <c:v>560</c:v>
                        </c:pt>
                        <c:pt idx="92">
                          <c:v>560</c:v>
                        </c:pt>
                        <c:pt idx="93">
                          <c:v>560</c:v>
                        </c:pt>
                        <c:pt idx="94">
                          <c:v>560</c:v>
                        </c:pt>
                        <c:pt idx="95">
                          <c:v>560</c:v>
                        </c:pt>
                        <c:pt idx="96">
                          <c:v>560</c:v>
                        </c:pt>
                        <c:pt idx="97">
                          <c:v>560</c:v>
                        </c:pt>
                        <c:pt idx="98">
                          <c:v>560</c:v>
                        </c:pt>
                        <c:pt idx="99">
                          <c:v>560</c:v>
                        </c:pt>
                        <c:pt idx="100">
                          <c:v>560</c:v>
                        </c:pt>
                      </c:lvl>
                      <c:lvl>
                        <c:pt idx="0">
                          <c:v>500</c:v>
                        </c:pt>
                        <c:pt idx="1">
                          <c:v>500</c:v>
                        </c:pt>
                        <c:pt idx="2">
                          <c:v>500</c:v>
                        </c:pt>
                        <c:pt idx="3">
                          <c:v>500</c:v>
                        </c:pt>
                        <c:pt idx="4">
                          <c:v>500</c:v>
                        </c:pt>
                        <c:pt idx="5">
                          <c:v>500</c:v>
                        </c:pt>
                        <c:pt idx="6">
                          <c:v>500</c:v>
                        </c:pt>
                        <c:pt idx="7">
                          <c:v>500</c:v>
                        </c:pt>
                        <c:pt idx="8">
                          <c:v>500</c:v>
                        </c:pt>
                        <c:pt idx="9">
                          <c:v>500</c:v>
                        </c:pt>
                        <c:pt idx="10">
                          <c:v>500</c:v>
                        </c:pt>
                        <c:pt idx="11">
                          <c:v>500</c:v>
                        </c:pt>
                        <c:pt idx="12">
                          <c:v>500</c:v>
                        </c:pt>
                        <c:pt idx="13">
                          <c:v>500</c:v>
                        </c:pt>
                        <c:pt idx="14">
                          <c:v>500</c:v>
                        </c:pt>
                        <c:pt idx="15">
                          <c:v>500</c:v>
                        </c:pt>
                        <c:pt idx="16">
                          <c:v>500</c:v>
                        </c:pt>
                        <c:pt idx="17">
                          <c:v>500</c:v>
                        </c:pt>
                        <c:pt idx="18">
                          <c:v>500</c:v>
                        </c:pt>
                        <c:pt idx="19">
                          <c:v>500</c:v>
                        </c:pt>
                        <c:pt idx="20">
                          <c:v>500</c:v>
                        </c:pt>
                        <c:pt idx="21">
                          <c:v>500</c:v>
                        </c:pt>
                        <c:pt idx="22">
                          <c:v>500</c:v>
                        </c:pt>
                        <c:pt idx="23">
                          <c:v>500</c:v>
                        </c:pt>
                        <c:pt idx="24">
                          <c:v>500</c:v>
                        </c:pt>
                        <c:pt idx="25">
                          <c:v>500</c:v>
                        </c:pt>
                        <c:pt idx="26">
                          <c:v>500</c:v>
                        </c:pt>
                        <c:pt idx="27">
                          <c:v>500</c:v>
                        </c:pt>
                        <c:pt idx="28">
                          <c:v>500</c:v>
                        </c:pt>
                        <c:pt idx="29">
                          <c:v>500</c:v>
                        </c:pt>
                        <c:pt idx="30">
                          <c:v>500</c:v>
                        </c:pt>
                        <c:pt idx="31">
                          <c:v>500</c:v>
                        </c:pt>
                        <c:pt idx="32">
                          <c:v>500</c:v>
                        </c:pt>
                        <c:pt idx="33">
                          <c:v>500</c:v>
                        </c:pt>
                        <c:pt idx="34">
                          <c:v>500</c:v>
                        </c:pt>
                        <c:pt idx="35">
                          <c:v>500</c:v>
                        </c:pt>
                        <c:pt idx="36">
                          <c:v>500</c:v>
                        </c:pt>
                        <c:pt idx="37">
                          <c:v>500</c:v>
                        </c:pt>
                        <c:pt idx="38">
                          <c:v>500</c:v>
                        </c:pt>
                        <c:pt idx="39">
                          <c:v>500</c:v>
                        </c:pt>
                        <c:pt idx="40">
                          <c:v>500</c:v>
                        </c:pt>
                        <c:pt idx="41">
                          <c:v>500</c:v>
                        </c:pt>
                        <c:pt idx="42">
                          <c:v>500</c:v>
                        </c:pt>
                        <c:pt idx="43">
                          <c:v>500</c:v>
                        </c:pt>
                        <c:pt idx="44">
                          <c:v>500</c:v>
                        </c:pt>
                        <c:pt idx="45">
                          <c:v>500</c:v>
                        </c:pt>
                        <c:pt idx="46">
                          <c:v>500</c:v>
                        </c:pt>
                        <c:pt idx="47">
                          <c:v>500</c:v>
                        </c:pt>
                        <c:pt idx="48">
                          <c:v>500</c:v>
                        </c:pt>
                        <c:pt idx="49">
                          <c:v>500</c:v>
                        </c:pt>
                        <c:pt idx="50">
                          <c:v>500</c:v>
                        </c:pt>
                        <c:pt idx="51">
                          <c:v>500</c:v>
                        </c:pt>
                        <c:pt idx="52">
                          <c:v>500</c:v>
                        </c:pt>
                        <c:pt idx="53">
                          <c:v>500</c:v>
                        </c:pt>
                        <c:pt idx="54">
                          <c:v>500</c:v>
                        </c:pt>
                        <c:pt idx="55">
                          <c:v>500</c:v>
                        </c:pt>
                        <c:pt idx="56">
                          <c:v>500</c:v>
                        </c:pt>
                        <c:pt idx="57">
                          <c:v>500</c:v>
                        </c:pt>
                        <c:pt idx="58">
                          <c:v>500</c:v>
                        </c:pt>
                        <c:pt idx="59">
                          <c:v>500</c:v>
                        </c:pt>
                        <c:pt idx="60">
                          <c:v>500</c:v>
                        </c:pt>
                        <c:pt idx="61">
                          <c:v>500</c:v>
                        </c:pt>
                        <c:pt idx="62">
                          <c:v>500</c:v>
                        </c:pt>
                        <c:pt idx="63">
                          <c:v>500</c:v>
                        </c:pt>
                        <c:pt idx="64">
                          <c:v>500</c:v>
                        </c:pt>
                        <c:pt idx="65">
                          <c:v>500</c:v>
                        </c:pt>
                        <c:pt idx="66">
                          <c:v>500</c:v>
                        </c:pt>
                        <c:pt idx="67">
                          <c:v>500</c:v>
                        </c:pt>
                        <c:pt idx="68">
                          <c:v>500</c:v>
                        </c:pt>
                        <c:pt idx="69">
                          <c:v>500</c:v>
                        </c:pt>
                        <c:pt idx="70">
                          <c:v>500</c:v>
                        </c:pt>
                        <c:pt idx="71">
                          <c:v>500</c:v>
                        </c:pt>
                        <c:pt idx="72">
                          <c:v>500</c:v>
                        </c:pt>
                        <c:pt idx="73">
                          <c:v>500</c:v>
                        </c:pt>
                        <c:pt idx="74">
                          <c:v>500</c:v>
                        </c:pt>
                        <c:pt idx="75">
                          <c:v>500</c:v>
                        </c:pt>
                        <c:pt idx="76">
                          <c:v>500</c:v>
                        </c:pt>
                        <c:pt idx="77">
                          <c:v>500</c:v>
                        </c:pt>
                        <c:pt idx="78">
                          <c:v>500</c:v>
                        </c:pt>
                        <c:pt idx="79">
                          <c:v>500</c:v>
                        </c:pt>
                        <c:pt idx="80">
                          <c:v>500</c:v>
                        </c:pt>
                        <c:pt idx="81">
                          <c:v>500</c:v>
                        </c:pt>
                        <c:pt idx="82">
                          <c:v>500</c:v>
                        </c:pt>
                        <c:pt idx="83">
                          <c:v>500</c:v>
                        </c:pt>
                        <c:pt idx="84">
                          <c:v>500</c:v>
                        </c:pt>
                        <c:pt idx="85">
                          <c:v>500</c:v>
                        </c:pt>
                        <c:pt idx="86">
                          <c:v>500</c:v>
                        </c:pt>
                        <c:pt idx="87">
                          <c:v>500</c:v>
                        </c:pt>
                        <c:pt idx="88">
                          <c:v>500</c:v>
                        </c:pt>
                        <c:pt idx="89">
                          <c:v>500</c:v>
                        </c:pt>
                        <c:pt idx="90">
                          <c:v>500</c:v>
                        </c:pt>
                        <c:pt idx="91">
                          <c:v>500</c:v>
                        </c:pt>
                        <c:pt idx="92">
                          <c:v>500</c:v>
                        </c:pt>
                        <c:pt idx="93">
                          <c:v>500</c:v>
                        </c:pt>
                        <c:pt idx="94">
                          <c:v>500</c:v>
                        </c:pt>
                        <c:pt idx="95">
                          <c:v>500</c:v>
                        </c:pt>
                        <c:pt idx="96">
                          <c:v>500</c:v>
                        </c:pt>
                        <c:pt idx="97">
                          <c:v>500</c:v>
                        </c:pt>
                        <c:pt idx="98">
                          <c:v>500</c:v>
                        </c:pt>
                        <c:pt idx="99">
                          <c:v>500</c:v>
                        </c:pt>
                        <c:pt idx="100">
                          <c:v>500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24</c:v>
                        </c:pt>
                        <c:pt idx="25">
                          <c:v>25</c:v>
                        </c:pt>
                        <c:pt idx="26">
                          <c:v>26</c:v>
                        </c:pt>
                        <c:pt idx="27">
                          <c:v>27</c:v>
                        </c:pt>
                        <c:pt idx="28">
                          <c:v>28</c:v>
                        </c:pt>
                        <c:pt idx="29">
                          <c:v>29</c:v>
                        </c:pt>
                        <c:pt idx="30">
                          <c:v>30</c:v>
                        </c:pt>
                        <c:pt idx="31">
                          <c:v>31</c:v>
                        </c:pt>
                        <c:pt idx="32">
                          <c:v>32</c:v>
                        </c:pt>
                        <c:pt idx="33">
                          <c:v>33</c:v>
                        </c:pt>
                        <c:pt idx="34">
                          <c:v>34</c:v>
                        </c:pt>
                        <c:pt idx="35">
                          <c:v>35</c:v>
                        </c:pt>
                        <c:pt idx="36">
                          <c:v>36</c:v>
                        </c:pt>
                        <c:pt idx="37">
                          <c:v>37</c:v>
                        </c:pt>
                        <c:pt idx="38">
                          <c:v>38</c:v>
                        </c:pt>
                        <c:pt idx="39">
                          <c:v>39</c:v>
                        </c:pt>
                        <c:pt idx="40">
                          <c:v>40</c:v>
                        </c:pt>
                        <c:pt idx="41">
                          <c:v>41</c:v>
                        </c:pt>
                        <c:pt idx="42">
                          <c:v>42</c:v>
                        </c:pt>
                        <c:pt idx="43">
                          <c:v>43</c:v>
                        </c:pt>
                        <c:pt idx="44">
                          <c:v>44</c:v>
                        </c:pt>
                        <c:pt idx="45">
                          <c:v>45</c:v>
                        </c:pt>
                        <c:pt idx="46">
                          <c:v>46</c:v>
                        </c:pt>
                        <c:pt idx="47">
                          <c:v>47</c:v>
                        </c:pt>
                        <c:pt idx="48">
                          <c:v>48</c:v>
                        </c:pt>
                        <c:pt idx="49">
                          <c:v>49</c:v>
                        </c:pt>
                        <c:pt idx="50">
                          <c:v>50</c:v>
                        </c:pt>
                        <c:pt idx="51">
                          <c:v>51</c:v>
                        </c:pt>
                        <c:pt idx="52">
                          <c:v>52</c:v>
                        </c:pt>
                        <c:pt idx="53">
                          <c:v>53</c:v>
                        </c:pt>
                        <c:pt idx="54">
                          <c:v>54</c:v>
                        </c:pt>
                        <c:pt idx="55">
                          <c:v>55</c:v>
                        </c:pt>
                        <c:pt idx="56">
                          <c:v>56</c:v>
                        </c:pt>
                        <c:pt idx="57">
                          <c:v>57</c:v>
                        </c:pt>
                        <c:pt idx="58">
                          <c:v>58</c:v>
                        </c:pt>
                        <c:pt idx="59">
                          <c:v>59</c:v>
                        </c:pt>
                        <c:pt idx="60">
                          <c:v>60</c:v>
                        </c:pt>
                        <c:pt idx="61">
                          <c:v>61</c:v>
                        </c:pt>
                        <c:pt idx="62">
                          <c:v>62</c:v>
                        </c:pt>
                        <c:pt idx="63">
                          <c:v>63</c:v>
                        </c:pt>
                        <c:pt idx="64">
                          <c:v>64</c:v>
                        </c:pt>
                        <c:pt idx="65">
                          <c:v>65</c:v>
                        </c:pt>
                        <c:pt idx="66">
                          <c:v>66</c:v>
                        </c:pt>
                        <c:pt idx="67">
                          <c:v>67</c:v>
                        </c:pt>
                        <c:pt idx="68">
                          <c:v>68</c:v>
                        </c:pt>
                        <c:pt idx="69">
                          <c:v>69</c:v>
                        </c:pt>
                        <c:pt idx="70">
                          <c:v>70</c:v>
                        </c:pt>
                        <c:pt idx="71">
                          <c:v>71</c:v>
                        </c:pt>
                        <c:pt idx="72">
                          <c:v>72</c:v>
                        </c:pt>
                        <c:pt idx="73">
                          <c:v>73</c:v>
                        </c:pt>
                        <c:pt idx="74">
                          <c:v>74</c:v>
                        </c:pt>
                        <c:pt idx="75">
                          <c:v>75</c:v>
                        </c:pt>
                        <c:pt idx="76">
                          <c:v>76</c:v>
                        </c:pt>
                        <c:pt idx="77">
                          <c:v>77</c:v>
                        </c:pt>
                        <c:pt idx="78">
                          <c:v>78</c:v>
                        </c:pt>
                        <c:pt idx="79">
                          <c:v>79</c:v>
                        </c:pt>
                        <c:pt idx="80">
                          <c:v>80</c:v>
                        </c:pt>
                        <c:pt idx="81">
                          <c:v>81</c:v>
                        </c:pt>
                        <c:pt idx="82">
                          <c:v>82</c:v>
                        </c:pt>
                        <c:pt idx="83">
                          <c:v>83</c:v>
                        </c:pt>
                        <c:pt idx="84">
                          <c:v>84</c:v>
                        </c:pt>
                        <c:pt idx="85">
                          <c:v>85</c:v>
                        </c:pt>
                        <c:pt idx="86">
                          <c:v>86</c:v>
                        </c:pt>
                        <c:pt idx="87">
                          <c:v>87</c:v>
                        </c:pt>
                        <c:pt idx="88">
                          <c:v>88</c:v>
                        </c:pt>
                        <c:pt idx="89">
                          <c:v>89</c:v>
                        </c:pt>
                        <c:pt idx="90">
                          <c:v>90</c:v>
                        </c:pt>
                        <c:pt idx="91">
                          <c:v>91</c:v>
                        </c:pt>
                        <c:pt idx="92">
                          <c:v>92</c:v>
                        </c:pt>
                        <c:pt idx="93">
                          <c:v>93</c:v>
                        </c:pt>
                        <c:pt idx="94">
                          <c:v>94</c:v>
                        </c:pt>
                        <c:pt idx="95">
                          <c:v>95</c:v>
                        </c:pt>
                        <c:pt idx="96">
                          <c:v>96</c:v>
                        </c:pt>
                        <c:pt idx="97">
                          <c:v>97</c:v>
                        </c:pt>
                        <c:pt idx="98">
                          <c:v>98</c:v>
                        </c:pt>
                        <c:pt idx="99">
                          <c:v>99</c:v>
                        </c:pt>
                        <c:pt idx="100">
                          <c:v>100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Comparing'!$Y$10:$Y$110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009C-40CC-835F-A10742FCB657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D3 ART LS</c:v>
                </c:tx>
                <c:spPr>
                  <a:ln w="19050" cap="rnd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Comparing'!$AR$6:$AR$104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Comparing'!$AS$6:$AS$104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170.44444444444446</c:v>
                      </c:pt>
                      <c:pt idx="1">
                        <c:v>197.11111111111111</c:v>
                      </c:pt>
                      <c:pt idx="2">
                        <c:v>216.05555555555554</c:v>
                      </c:pt>
                      <c:pt idx="3">
                        <c:v>230.11111111111111</c:v>
                      </c:pt>
                      <c:pt idx="4">
                        <c:v>243.72222222222223</c:v>
                      </c:pt>
                      <c:pt idx="5">
                        <c:v>254.66666666666666</c:v>
                      </c:pt>
                      <c:pt idx="6">
                        <c:v>265.83333333333331</c:v>
                      </c:pt>
                      <c:pt idx="7">
                        <c:v>275.55555555555554</c:v>
                      </c:pt>
                      <c:pt idx="8">
                        <c:v>285.94444444444446</c:v>
                      </c:pt>
                      <c:pt idx="9">
                        <c:v>293.94444444444446</c:v>
                      </c:pt>
                      <c:pt idx="10">
                        <c:v>301.94444444444446</c:v>
                      </c:pt>
                      <c:pt idx="11">
                        <c:v>309.33333333333331</c:v>
                      </c:pt>
                      <c:pt idx="12">
                        <c:v>316.44444444444446</c:v>
                      </c:pt>
                      <c:pt idx="13">
                        <c:v>323.94444444444446</c:v>
                      </c:pt>
                      <c:pt idx="14">
                        <c:v>330.77777777777777</c:v>
                      </c:pt>
                      <c:pt idx="15">
                        <c:v>338.05555555555554</c:v>
                      </c:pt>
                      <c:pt idx="16">
                        <c:v>344.66666666666669</c:v>
                      </c:pt>
                      <c:pt idx="17">
                        <c:v>351.44444444444446</c:v>
                      </c:pt>
                      <c:pt idx="18">
                        <c:v>357.22222222222223</c:v>
                      </c:pt>
                      <c:pt idx="19">
                        <c:v>363.72222222222223</c:v>
                      </c:pt>
                      <c:pt idx="20">
                        <c:v>369.5</c:v>
                      </c:pt>
                      <c:pt idx="21">
                        <c:v>375.66666666666669</c:v>
                      </c:pt>
                      <c:pt idx="22">
                        <c:v>381.33333333333331</c:v>
                      </c:pt>
                      <c:pt idx="23">
                        <c:v>387.44444444444446</c:v>
                      </c:pt>
                      <c:pt idx="24">
                        <c:v>392.88888888888891</c:v>
                      </c:pt>
                      <c:pt idx="25">
                        <c:v>398.72222222222223</c:v>
                      </c:pt>
                      <c:pt idx="26">
                        <c:v>403.88888888888891</c:v>
                      </c:pt>
                      <c:pt idx="27">
                        <c:v>409.44444444444446</c:v>
                      </c:pt>
                      <c:pt idx="28">
                        <c:v>414.61111111111109</c:v>
                      </c:pt>
                      <c:pt idx="29">
                        <c:v>420</c:v>
                      </c:pt>
                      <c:pt idx="30">
                        <c:v>424.94444444444446</c:v>
                      </c:pt>
                      <c:pt idx="31">
                        <c:v>430.27777777777777</c:v>
                      </c:pt>
                      <c:pt idx="32">
                        <c:v>435.33333333333331</c:v>
                      </c:pt>
                      <c:pt idx="33">
                        <c:v>440.5</c:v>
                      </c:pt>
                      <c:pt idx="34">
                        <c:v>445.77777777777777</c:v>
                      </c:pt>
                      <c:pt idx="35">
                        <c:v>450.83333333333331</c:v>
                      </c:pt>
                      <c:pt idx="36">
                        <c:v>456.16666666666669</c:v>
                      </c:pt>
                      <c:pt idx="37">
                        <c:v>461.22222222222223</c:v>
                      </c:pt>
                      <c:pt idx="38">
                        <c:v>466.33333333333331</c:v>
                      </c:pt>
                      <c:pt idx="39">
                        <c:v>471.27777777777777</c:v>
                      </c:pt>
                      <c:pt idx="40">
                        <c:v>476.05555555555554</c:v>
                      </c:pt>
                      <c:pt idx="41">
                        <c:v>480.88888888888891</c:v>
                      </c:pt>
                      <c:pt idx="42">
                        <c:v>485.66666666666669</c:v>
                      </c:pt>
                      <c:pt idx="43">
                        <c:v>490.38888888888891</c:v>
                      </c:pt>
                      <c:pt idx="44">
                        <c:v>495.16666666666669</c:v>
                      </c:pt>
                      <c:pt idx="45">
                        <c:v>499.66666666666669</c:v>
                      </c:pt>
                      <c:pt idx="46">
                        <c:v>504.16666666666669</c:v>
                      </c:pt>
                      <c:pt idx="47">
                        <c:v>508.66666666666669</c:v>
                      </c:pt>
                      <c:pt idx="48">
                        <c:v>513.11111111111109</c:v>
                      </c:pt>
                      <c:pt idx="49">
                        <c:v>517.5</c:v>
                      </c:pt>
                      <c:pt idx="50">
                        <c:v>521.83333333333337</c:v>
                      </c:pt>
                      <c:pt idx="51">
                        <c:v>526.16666666666663</c:v>
                      </c:pt>
                      <c:pt idx="52">
                        <c:v>530.44444444444446</c:v>
                      </c:pt>
                      <c:pt idx="53">
                        <c:v>534.61111111111109</c:v>
                      </c:pt>
                      <c:pt idx="54">
                        <c:v>538.66666666666663</c:v>
                      </c:pt>
                      <c:pt idx="55">
                        <c:v>542.72222222222217</c:v>
                      </c:pt>
                      <c:pt idx="56">
                        <c:v>546.72222222222217</c:v>
                      </c:pt>
                      <c:pt idx="57">
                        <c:v>550.88888888888891</c:v>
                      </c:pt>
                      <c:pt idx="58">
                        <c:v>554.94444444444446</c:v>
                      </c:pt>
                      <c:pt idx="59">
                        <c:v>558.83333333333337</c:v>
                      </c:pt>
                      <c:pt idx="60">
                        <c:v>562.55555555555554</c:v>
                      </c:pt>
                      <c:pt idx="61">
                        <c:v>566.27777777777783</c:v>
                      </c:pt>
                      <c:pt idx="62">
                        <c:v>569.77777777777783</c:v>
                      </c:pt>
                      <c:pt idx="63">
                        <c:v>573.22222222222217</c:v>
                      </c:pt>
                      <c:pt idx="64">
                        <c:v>576.77777777777783</c:v>
                      </c:pt>
                      <c:pt idx="65">
                        <c:v>580.33333333333337</c:v>
                      </c:pt>
                      <c:pt idx="66">
                        <c:v>583.94444444444446</c:v>
                      </c:pt>
                      <c:pt idx="67">
                        <c:v>587.33333333333337</c:v>
                      </c:pt>
                      <c:pt idx="68">
                        <c:v>590.66666666666663</c:v>
                      </c:pt>
                      <c:pt idx="69">
                        <c:v>594.16666666666663</c:v>
                      </c:pt>
                      <c:pt idx="70">
                        <c:v>597.77777777777783</c:v>
                      </c:pt>
                      <c:pt idx="71">
                        <c:v>601.5</c:v>
                      </c:pt>
                      <c:pt idx="72">
                        <c:v>605.33333333333337</c:v>
                      </c:pt>
                      <c:pt idx="73">
                        <c:v>609.22222222222217</c:v>
                      </c:pt>
                      <c:pt idx="74">
                        <c:v>612.88888888888891</c:v>
                      </c:pt>
                      <c:pt idx="75">
                        <c:v>616.77777777777783</c:v>
                      </c:pt>
                      <c:pt idx="76">
                        <c:v>620.83333333333337</c:v>
                      </c:pt>
                      <c:pt idx="77">
                        <c:v>625.16666666666663</c:v>
                      </c:pt>
                      <c:pt idx="78">
                        <c:v>629.61111111111109</c:v>
                      </c:pt>
                      <c:pt idx="79">
                        <c:v>633.88888888888891</c:v>
                      </c:pt>
                      <c:pt idx="80">
                        <c:v>638.44444444444446</c:v>
                      </c:pt>
                      <c:pt idx="81">
                        <c:v>643.33333333333337</c:v>
                      </c:pt>
                      <c:pt idx="82">
                        <c:v>648.66666666666663</c:v>
                      </c:pt>
                      <c:pt idx="83">
                        <c:v>654.22222222222217</c:v>
                      </c:pt>
                      <c:pt idx="84">
                        <c:v>659.88888888888891</c:v>
                      </c:pt>
                      <c:pt idx="85">
                        <c:v>667.05555555555554</c:v>
                      </c:pt>
                      <c:pt idx="86">
                        <c:v>674.27777777777783</c:v>
                      </c:pt>
                      <c:pt idx="87">
                        <c:v>683.27777777777783</c:v>
                      </c:pt>
                      <c:pt idx="88">
                        <c:v>692.83333333333337</c:v>
                      </c:pt>
                      <c:pt idx="89">
                        <c:v>705.27777777777783</c:v>
                      </c:pt>
                      <c:pt idx="90">
                        <c:v>726.05555555555554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09C-40CC-835F-A10742FCB657}"/>
                  </c:ext>
                </c:extLst>
              </c15:ser>
            </c15:filteredScatterSeries>
            <c15:filteredScatterSeries>
              <c15:ser>
                <c:idx val="19"/>
                <c:order val="16"/>
                <c:tx>
                  <c:v>D3_ART HS</c:v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Comparing'!$AR$6:$AR$104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Comparing'!$AV$6:$AV$104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163.72222222222223</c:v>
                      </c:pt>
                      <c:pt idx="1">
                        <c:v>193.22222222222223</c:v>
                      </c:pt>
                      <c:pt idx="2">
                        <c:v>212.44444444444446</c:v>
                      </c:pt>
                      <c:pt idx="3">
                        <c:v>226.94444444444446</c:v>
                      </c:pt>
                      <c:pt idx="4">
                        <c:v>239.66666666666666</c:v>
                      </c:pt>
                      <c:pt idx="5">
                        <c:v>252.72222222222223</c:v>
                      </c:pt>
                      <c:pt idx="6">
                        <c:v>263.22222222222223</c:v>
                      </c:pt>
                      <c:pt idx="7">
                        <c:v>272.5</c:v>
                      </c:pt>
                      <c:pt idx="8">
                        <c:v>283.33333333333331</c:v>
                      </c:pt>
                      <c:pt idx="9">
                        <c:v>291.72222222222223</c:v>
                      </c:pt>
                      <c:pt idx="10">
                        <c:v>300.44444444444446</c:v>
                      </c:pt>
                      <c:pt idx="11">
                        <c:v>307.5</c:v>
                      </c:pt>
                      <c:pt idx="12">
                        <c:v>315.33333333333331</c:v>
                      </c:pt>
                      <c:pt idx="13">
                        <c:v>322.11111111111109</c:v>
                      </c:pt>
                      <c:pt idx="14">
                        <c:v>329.72222222222223</c:v>
                      </c:pt>
                      <c:pt idx="15">
                        <c:v>336.44444444444446</c:v>
                      </c:pt>
                      <c:pt idx="16">
                        <c:v>343.66666666666669</c:v>
                      </c:pt>
                      <c:pt idx="17">
                        <c:v>350.11111111111109</c:v>
                      </c:pt>
                      <c:pt idx="18">
                        <c:v>356.33333333333331</c:v>
                      </c:pt>
                      <c:pt idx="19">
                        <c:v>362.61111111111109</c:v>
                      </c:pt>
                      <c:pt idx="20">
                        <c:v>368.61111111111109</c:v>
                      </c:pt>
                      <c:pt idx="21">
                        <c:v>374.72222222222223</c:v>
                      </c:pt>
                      <c:pt idx="22">
                        <c:v>380.44444444444446</c:v>
                      </c:pt>
                      <c:pt idx="23">
                        <c:v>386.61111111111109</c:v>
                      </c:pt>
                      <c:pt idx="24">
                        <c:v>392.05555555555554</c:v>
                      </c:pt>
                      <c:pt idx="25">
                        <c:v>398.05555555555554</c:v>
                      </c:pt>
                      <c:pt idx="26">
                        <c:v>403.22222222222223</c:v>
                      </c:pt>
                      <c:pt idx="27">
                        <c:v>408.94444444444446</c:v>
                      </c:pt>
                      <c:pt idx="28">
                        <c:v>414.11111111111109</c:v>
                      </c:pt>
                      <c:pt idx="29">
                        <c:v>419.66666666666669</c:v>
                      </c:pt>
                      <c:pt idx="30">
                        <c:v>424.72222222222223</c:v>
                      </c:pt>
                      <c:pt idx="31">
                        <c:v>430.16666666666669</c:v>
                      </c:pt>
                      <c:pt idx="32">
                        <c:v>435.27777777777777</c:v>
                      </c:pt>
                      <c:pt idx="33">
                        <c:v>440.5</c:v>
                      </c:pt>
                      <c:pt idx="34">
                        <c:v>445.94444444444446</c:v>
                      </c:pt>
                      <c:pt idx="35">
                        <c:v>451.11111111111109</c:v>
                      </c:pt>
                      <c:pt idx="36">
                        <c:v>456.5</c:v>
                      </c:pt>
                      <c:pt idx="37">
                        <c:v>461.72222222222223</c:v>
                      </c:pt>
                      <c:pt idx="38">
                        <c:v>466.83333333333331</c:v>
                      </c:pt>
                      <c:pt idx="39">
                        <c:v>471.88888888888891</c:v>
                      </c:pt>
                      <c:pt idx="40">
                        <c:v>476.77777777777777</c:v>
                      </c:pt>
                      <c:pt idx="41">
                        <c:v>481.66666666666669</c:v>
                      </c:pt>
                      <c:pt idx="42">
                        <c:v>486.55555555555554</c:v>
                      </c:pt>
                      <c:pt idx="43">
                        <c:v>491.33333333333331</c:v>
                      </c:pt>
                      <c:pt idx="44">
                        <c:v>496.11111111111109</c:v>
                      </c:pt>
                      <c:pt idx="45">
                        <c:v>500.72222222222223</c:v>
                      </c:pt>
                      <c:pt idx="46">
                        <c:v>505.22222222222223</c:v>
                      </c:pt>
                      <c:pt idx="47">
                        <c:v>509.66666666666669</c:v>
                      </c:pt>
                      <c:pt idx="48">
                        <c:v>514.16666666666663</c:v>
                      </c:pt>
                      <c:pt idx="49">
                        <c:v>518.61111111111109</c:v>
                      </c:pt>
                      <c:pt idx="50">
                        <c:v>522.94444444444446</c:v>
                      </c:pt>
                      <c:pt idx="51">
                        <c:v>527.27777777777783</c:v>
                      </c:pt>
                      <c:pt idx="52">
                        <c:v>531.55555555555554</c:v>
                      </c:pt>
                      <c:pt idx="53">
                        <c:v>535.66666666666663</c:v>
                      </c:pt>
                      <c:pt idx="54">
                        <c:v>539.61111111111109</c:v>
                      </c:pt>
                      <c:pt idx="55">
                        <c:v>543.55555555555554</c:v>
                      </c:pt>
                      <c:pt idx="56">
                        <c:v>547.5</c:v>
                      </c:pt>
                      <c:pt idx="57">
                        <c:v>551.44444444444446</c:v>
                      </c:pt>
                      <c:pt idx="58">
                        <c:v>555.33333333333337</c:v>
                      </c:pt>
                      <c:pt idx="59">
                        <c:v>559.11111111111109</c:v>
                      </c:pt>
                      <c:pt idx="60">
                        <c:v>562.72222222222217</c:v>
                      </c:pt>
                      <c:pt idx="61">
                        <c:v>566.33333333333337</c:v>
                      </c:pt>
                      <c:pt idx="62">
                        <c:v>569.77777777777783</c:v>
                      </c:pt>
                      <c:pt idx="63">
                        <c:v>573.16666666666663</c:v>
                      </c:pt>
                      <c:pt idx="64">
                        <c:v>576.61111111111109</c:v>
                      </c:pt>
                      <c:pt idx="65">
                        <c:v>580.16666666666663</c:v>
                      </c:pt>
                      <c:pt idx="66">
                        <c:v>583.77777777777783</c:v>
                      </c:pt>
                      <c:pt idx="67">
                        <c:v>587.22222222222217</c:v>
                      </c:pt>
                      <c:pt idx="68">
                        <c:v>590.66666666666663</c:v>
                      </c:pt>
                      <c:pt idx="69">
                        <c:v>594.22222222222217</c:v>
                      </c:pt>
                      <c:pt idx="70">
                        <c:v>597.94444444444446</c:v>
                      </c:pt>
                      <c:pt idx="71">
                        <c:v>601.83333333333337</c:v>
                      </c:pt>
                      <c:pt idx="72">
                        <c:v>605.83333333333337</c:v>
                      </c:pt>
                      <c:pt idx="73">
                        <c:v>609.77777777777783</c:v>
                      </c:pt>
                      <c:pt idx="74">
                        <c:v>613.72222222222217</c:v>
                      </c:pt>
                      <c:pt idx="75">
                        <c:v>617.83333333333337</c:v>
                      </c:pt>
                      <c:pt idx="76">
                        <c:v>622.11111111111109</c:v>
                      </c:pt>
                      <c:pt idx="77">
                        <c:v>626.77777777777783</c:v>
                      </c:pt>
                      <c:pt idx="78">
                        <c:v>631.33333333333337</c:v>
                      </c:pt>
                      <c:pt idx="79">
                        <c:v>635.83333333333337</c:v>
                      </c:pt>
                      <c:pt idx="80">
                        <c:v>640.66666666666663</c:v>
                      </c:pt>
                      <c:pt idx="81">
                        <c:v>645.94444444444446</c:v>
                      </c:pt>
                      <c:pt idx="82">
                        <c:v>651.66666666666663</c:v>
                      </c:pt>
                      <c:pt idx="83">
                        <c:v>657.11111111111109</c:v>
                      </c:pt>
                      <c:pt idx="84">
                        <c:v>663.88888888888891</c:v>
                      </c:pt>
                      <c:pt idx="85">
                        <c:v>671.55555555555554</c:v>
                      </c:pt>
                      <c:pt idx="86">
                        <c:v>680.22222222222217</c:v>
                      </c:pt>
                      <c:pt idx="87">
                        <c:v>690.05555555555554</c:v>
                      </c:pt>
                      <c:pt idx="88">
                        <c:v>702.16666666666663</c:v>
                      </c:pt>
                      <c:pt idx="89">
                        <c:v>722.88888888888891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09C-40CC-835F-A10742FCB657}"/>
                  </c:ext>
                </c:extLst>
              </c15:ser>
            </c15:filteredScatterSeries>
            <c15:filteredScatterSeries>
              <c15:ser>
                <c:idx val="18"/>
                <c:order val="17"/>
                <c:tx>
                  <c:v>HS_D3</c:v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Comparing'!$V$10:$V$98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121.9</c:v>
                      </c:pt>
                      <c:pt idx="1">
                        <c:v>144.19999999999999</c:v>
                      </c:pt>
                      <c:pt idx="2">
                        <c:v>169.7</c:v>
                      </c:pt>
                      <c:pt idx="3">
                        <c:v>185.8</c:v>
                      </c:pt>
                      <c:pt idx="4">
                        <c:v>200.3</c:v>
                      </c:pt>
                      <c:pt idx="5">
                        <c:v>212.1</c:v>
                      </c:pt>
                      <c:pt idx="6">
                        <c:v>221.4</c:v>
                      </c:pt>
                      <c:pt idx="7">
                        <c:v>231.3</c:v>
                      </c:pt>
                      <c:pt idx="8">
                        <c:v>239.7</c:v>
                      </c:pt>
                      <c:pt idx="9">
                        <c:v>249.7</c:v>
                      </c:pt>
                      <c:pt idx="10">
                        <c:v>257</c:v>
                      </c:pt>
                      <c:pt idx="11">
                        <c:v>266.5</c:v>
                      </c:pt>
                      <c:pt idx="12">
                        <c:v>274</c:v>
                      </c:pt>
                      <c:pt idx="13">
                        <c:v>283.3</c:v>
                      </c:pt>
                      <c:pt idx="14">
                        <c:v>290.89999999999998</c:v>
                      </c:pt>
                      <c:pt idx="15">
                        <c:v>298.7</c:v>
                      </c:pt>
                      <c:pt idx="16">
                        <c:v>305.2</c:v>
                      </c:pt>
                      <c:pt idx="17">
                        <c:v>313</c:v>
                      </c:pt>
                      <c:pt idx="18">
                        <c:v>319.2</c:v>
                      </c:pt>
                      <c:pt idx="19">
                        <c:v>326.5</c:v>
                      </c:pt>
                      <c:pt idx="20">
                        <c:v>332.5</c:v>
                      </c:pt>
                      <c:pt idx="21">
                        <c:v>339.7</c:v>
                      </c:pt>
                      <c:pt idx="22">
                        <c:v>345.6</c:v>
                      </c:pt>
                      <c:pt idx="23">
                        <c:v>352.5</c:v>
                      </c:pt>
                      <c:pt idx="24">
                        <c:v>358.2</c:v>
                      </c:pt>
                      <c:pt idx="25">
                        <c:v>364.6</c:v>
                      </c:pt>
                      <c:pt idx="26">
                        <c:v>370.5</c:v>
                      </c:pt>
                      <c:pt idx="27">
                        <c:v>377.3</c:v>
                      </c:pt>
                      <c:pt idx="28">
                        <c:v>383.6</c:v>
                      </c:pt>
                      <c:pt idx="29">
                        <c:v>390.3</c:v>
                      </c:pt>
                      <c:pt idx="30">
                        <c:v>395.2</c:v>
                      </c:pt>
                      <c:pt idx="31">
                        <c:v>399.6</c:v>
                      </c:pt>
                      <c:pt idx="32">
                        <c:v>404.7</c:v>
                      </c:pt>
                      <c:pt idx="33">
                        <c:v>409</c:v>
                      </c:pt>
                      <c:pt idx="34">
                        <c:v>415.2</c:v>
                      </c:pt>
                      <c:pt idx="35">
                        <c:v>422.4</c:v>
                      </c:pt>
                      <c:pt idx="36">
                        <c:v>430</c:v>
                      </c:pt>
                      <c:pt idx="37">
                        <c:v>435.4</c:v>
                      </c:pt>
                      <c:pt idx="38">
                        <c:v>440.2</c:v>
                      </c:pt>
                      <c:pt idx="39">
                        <c:v>445.5</c:v>
                      </c:pt>
                      <c:pt idx="40">
                        <c:v>450.9</c:v>
                      </c:pt>
                      <c:pt idx="41">
                        <c:v>457.1</c:v>
                      </c:pt>
                      <c:pt idx="42">
                        <c:v>464</c:v>
                      </c:pt>
                      <c:pt idx="43">
                        <c:v>469.5</c:v>
                      </c:pt>
                      <c:pt idx="44">
                        <c:v>474.7</c:v>
                      </c:pt>
                      <c:pt idx="45">
                        <c:v>480.1</c:v>
                      </c:pt>
                      <c:pt idx="46">
                        <c:v>486</c:v>
                      </c:pt>
                      <c:pt idx="47">
                        <c:v>492</c:v>
                      </c:pt>
                      <c:pt idx="48">
                        <c:v>497.6</c:v>
                      </c:pt>
                      <c:pt idx="49">
                        <c:v>502.5</c:v>
                      </c:pt>
                      <c:pt idx="50">
                        <c:v>507.4</c:v>
                      </c:pt>
                      <c:pt idx="51">
                        <c:v>512.70000000000005</c:v>
                      </c:pt>
                      <c:pt idx="52">
                        <c:v>518.20000000000005</c:v>
                      </c:pt>
                      <c:pt idx="53">
                        <c:v>523.5</c:v>
                      </c:pt>
                      <c:pt idx="54">
                        <c:v>528.29999999999995</c:v>
                      </c:pt>
                      <c:pt idx="55">
                        <c:v>533</c:v>
                      </c:pt>
                      <c:pt idx="56">
                        <c:v>537.6</c:v>
                      </c:pt>
                      <c:pt idx="57">
                        <c:v>542.1</c:v>
                      </c:pt>
                      <c:pt idx="58">
                        <c:v>546.70000000000005</c:v>
                      </c:pt>
                      <c:pt idx="59">
                        <c:v>551.29999999999995</c:v>
                      </c:pt>
                      <c:pt idx="60">
                        <c:v>556</c:v>
                      </c:pt>
                      <c:pt idx="61">
                        <c:v>560.29999999999995</c:v>
                      </c:pt>
                      <c:pt idx="62">
                        <c:v>564.4</c:v>
                      </c:pt>
                      <c:pt idx="63">
                        <c:v>568.4</c:v>
                      </c:pt>
                      <c:pt idx="64">
                        <c:v>572.20000000000005</c:v>
                      </c:pt>
                      <c:pt idx="65">
                        <c:v>576.20000000000005</c:v>
                      </c:pt>
                      <c:pt idx="66">
                        <c:v>580.20000000000005</c:v>
                      </c:pt>
                      <c:pt idx="67">
                        <c:v>584.4</c:v>
                      </c:pt>
                      <c:pt idx="68">
                        <c:v>588.5</c:v>
                      </c:pt>
                      <c:pt idx="69">
                        <c:v>592.6</c:v>
                      </c:pt>
                      <c:pt idx="70">
                        <c:v>596.79999999999995</c:v>
                      </c:pt>
                      <c:pt idx="71">
                        <c:v>601.1</c:v>
                      </c:pt>
                      <c:pt idx="72">
                        <c:v>605.6</c:v>
                      </c:pt>
                      <c:pt idx="73">
                        <c:v>610.20000000000005</c:v>
                      </c:pt>
                      <c:pt idx="74">
                        <c:v>615</c:v>
                      </c:pt>
                      <c:pt idx="75">
                        <c:v>620</c:v>
                      </c:pt>
                      <c:pt idx="76">
                        <c:v>625.20000000000005</c:v>
                      </c:pt>
                      <c:pt idx="77">
                        <c:v>630.5</c:v>
                      </c:pt>
                      <c:pt idx="78">
                        <c:v>635.9</c:v>
                      </c:pt>
                      <c:pt idx="79">
                        <c:v>641.9</c:v>
                      </c:pt>
                      <c:pt idx="80">
                        <c:v>648.29999999999995</c:v>
                      </c:pt>
                      <c:pt idx="81">
                        <c:v>654.70000000000005</c:v>
                      </c:pt>
                      <c:pt idx="82">
                        <c:v>662.1</c:v>
                      </c:pt>
                      <c:pt idx="83">
                        <c:v>670.9</c:v>
                      </c:pt>
                      <c:pt idx="84">
                        <c:v>680.3</c:v>
                      </c:pt>
                      <c:pt idx="85">
                        <c:v>690.2</c:v>
                      </c:pt>
                      <c:pt idx="86">
                        <c:v>700.4</c:v>
                      </c:pt>
                      <c:pt idx="87">
                        <c:v>712.3</c:v>
                      </c:pt>
                      <c:pt idx="88">
                        <c:v>726.7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09C-40CC-835F-A10742FCB657}"/>
                  </c:ext>
                </c:extLst>
              </c15:ser>
            </c15:filteredScatterSeries>
            <c15:filteredScatterSeries>
              <c15:ser>
                <c:idx val="16"/>
                <c:order val="19"/>
                <c:tx>
                  <c:v>D3 LS</c:v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Comparing'!$P$10:$P$110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111.6</c:v>
                      </c:pt>
                      <c:pt idx="1">
                        <c:v>136.19999999999999</c:v>
                      </c:pt>
                      <c:pt idx="2">
                        <c:v>162.80000000000001</c:v>
                      </c:pt>
                      <c:pt idx="3">
                        <c:v>181.4</c:v>
                      </c:pt>
                      <c:pt idx="4">
                        <c:v>196.4</c:v>
                      </c:pt>
                      <c:pt idx="5">
                        <c:v>209.9</c:v>
                      </c:pt>
                      <c:pt idx="6">
                        <c:v>220.8</c:v>
                      </c:pt>
                      <c:pt idx="7">
                        <c:v>231.5</c:v>
                      </c:pt>
                      <c:pt idx="8">
                        <c:v>241.8</c:v>
                      </c:pt>
                      <c:pt idx="9">
                        <c:v>250.5</c:v>
                      </c:pt>
                      <c:pt idx="10">
                        <c:v>260.3</c:v>
                      </c:pt>
                      <c:pt idx="11">
                        <c:v>268.3</c:v>
                      </c:pt>
                      <c:pt idx="12">
                        <c:v>278.10000000000002</c:v>
                      </c:pt>
                      <c:pt idx="13">
                        <c:v>286.39999999999998</c:v>
                      </c:pt>
                      <c:pt idx="14">
                        <c:v>294.60000000000002</c:v>
                      </c:pt>
                      <c:pt idx="15">
                        <c:v>301.60000000000002</c:v>
                      </c:pt>
                      <c:pt idx="16">
                        <c:v>309.5</c:v>
                      </c:pt>
                      <c:pt idx="17">
                        <c:v>316</c:v>
                      </c:pt>
                      <c:pt idx="18">
                        <c:v>323.7</c:v>
                      </c:pt>
                      <c:pt idx="19">
                        <c:v>330.2</c:v>
                      </c:pt>
                      <c:pt idx="20">
                        <c:v>337.5</c:v>
                      </c:pt>
                      <c:pt idx="21">
                        <c:v>343.9</c:v>
                      </c:pt>
                      <c:pt idx="22">
                        <c:v>350.3</c:v>
                      </c:pt>
                      <c:pt idx="23">
                        <c:v>355.9</c:v>
                      </c:pt>
                      <c:pt idx="24">
                        <c:v>361.9</c:v>
                      </c:pt>
                      <c:pt idx="25">
                        <c:v>367.7</c:v>
                      </c:pt>
                      <c:pt idx="26">
                        <c:v>374.1</c:v>
                      </c:pt>
                      <c:pt idx="27">
                        <c:v>381.5</c:v>
                      </c:pt>
                      <c:pt idx="28">
                        <c:v>388.1</c:v>
                      </c:pt>
                      <c:pt idx="29">
                        <c:v>394.7</c:v>
                      </c:pt>
                      <c:pt idx="30">
                        <c:v>400.2</c:v>
                      </c:pt>
                      <c:pt idx="31">
                        <c:v>406.1</c:v>
                      </c:pt>
                      <c:pt idx="32">
                        <c:v>411.5</c:v>
                      </c:pt>
                      <c:pt idx="33">
                        <c:v>417.2</c:v>
                      </c:pt>
                      <c:pt idx="34">
                        <c:v>423.4</c:v>
                      </c:pt>
                      <c:pt idx="35">
                        <c:v>429.2</c:v>
                      </c:pt>
                      <c:pt idx="36">
                        <c:v>435</c:v>
                      </c:pt>
                      <c:pt idx="37">
                        <c:v>440.4</c:v>
                      </c:pt>
                      <c:pt idx="38">
                        <c:v>445.8</c:v>
                      </c:pt>
                      <c:pt idx="39">
                        <c:v>451.6</c:v>
                      </c:pt>
                      <c:pt idx="40">
                        <c:v>457.2</c:v>
                      </c:pt>
                      <c:pt idx="41">
                        <c:v>462.8</c:v>
                      </c:pt>
                      <c:pt idx="42">
                        <c:v>468.5</c:v>
                      </c:pt>
                      <c:pt idx="43">
                        <c:v>473.8</c:v>
                      </c:pt>
                      <c:pt idx="44">
                        <c:v>479.2</c:v>
                      </c:pt>
                      <c:pt idx="45">
                        <c:v>484.6</c:v>
                      </c:pt>
                      <c:pt idx="46">
                        <c:v>490.2</c:v>
                      </c:pt>
                      <c:pt idx="47">
                        <c:v>495.6</c:v>
                      </c:pt>
                      <c:pt idx="48">
                        <c:v>500.4</c:v>
                      </c:pt>
                      <c:pt idx="49">
                        <c:v>505.2</c:v>
                      </c:pt>
                      <c:pt idx="50">
                        <c:v>510</c:v>
                      </c:pt>
                      <c:pt idx="51">
                        <c:v>515.1</c:v>
                      </c:pt>
                      <c:pt idx="52">
                        <c:v>520.1</c:v>
                      </c:pt>
                      <c:pt idx="53">
                        <c:v>524.79999999999995</c:v>
                      </c:pt>
                      <c:pt idx="54">
                        <c:v>529.29999999999995</c:v>
                      </c:pt>
                      <c:pt idx="55">
                        <c:v>533.70000000000005</c:v>
                      </c:pt>
                      <c:pt idx="56">
                        <c:v>538</c:v>
                      </c:pt>
                      <c:pt idx="57">
                        <c:v>542.20000000000005</c:v>
                      </c:pt>
                      <c:pt idx="58">
                        <c:v>546.4</c:v>
                      </c:pt>
                      <c:pt idx="59">
                        <c:v>550.5</c:v>
                      </c:pt>
                      <c:pt idx="60">
                        <c:v>554.6</c:v>
                      </c:pt>
                      <c:pt idx="61">
                        <c:v>558.5</c:v>
                      </c:pt>
                      <c:pt idx="62">
                        <c:v>562.20000000000005</c:v>
                      </c:pt>
                      <c:pt idx="63">
                        <c:v>565.9</c:v>
                      </c:pt>
                      <c:pt idx="64">
                        <c:v>569.29999999999995</c:v>
                      </c:pt>
                      <c:pt idx="65">
                        <c:v>572.70000000000005</c:v>
                      </c:pt>
                      <c:pt idx="66">
                        <c:v>576.20000000000005</c:v>
                      </c:pt>
                      <c:pt idx="67">
                        <c:v>579.79999999999995</c:v>
                      </c:pt>
                      <c:pt idx="68">
                        <c:v>583.5</c:v>
                      </c:pt>
                      <c:pt idx="69">
                        <c:v>587</c:v>
                      </c:pt>
                      <c:pt idx="70">
                        <c:v>590.6</c:v>
                      </c:pt>
                      <c:pt idx="71">
                        <c:v>594.29999999999995</c:v>
                      </c:pt>
                      <c:pt idx="72">
                        <c:v>598</c:v>
                      </c:pt>
                      <c:pt idx="73">
                        <c:v>601.79999999999995</c:v>
                      </c:pt>
                      <c:pt idx="74">
                        <c:v>605.79999999999995</c:v>
                      </c:pt>
                      <c:pt idx="75">
                        <c:v>609.9</c:v>
                      </c:pt>
                      <c:pt idx="76">
                        <c:v>614.1</c:v>
                      </c:pt>
                      <c:pt idx="77">
                        <c:v>618.6</c:v>
                      </c:pt>
                      <c:pt idx="78">
                        <c:v>623.20000000000005</c:v>
                      </c:pt>
                      <c:pt idx="79">
                        <c:v>628</c:v>
                      </c:pt>
                      <c:pt idx="80">
                        <c:v>632.79999999999995</c:v>
                      </c:pt>
                      <c:pt idx="81">
                        <c:v>638</c:v>
                      </c:pt>
                      <c:pt idx="82">
                        <c:v>643.70000000000005</c:v>
                      </c:pt>
                      <c:pt idx="83">
                        <c:v>649.70000000000005</c:v>
                      </c:pt>
                      <c:pt idx="84">
                        <c:v>655.7</c:v>
                      </c:pt>
                      <c:pt idx="85">
                        <c:v>662.9</c:v>
                      </c:pt>
                      <c:pt idx="86">
                        <c:v>671.4</c:v>
                      </c:pt>
                      <c:pt idx="87">
                        <c:v>680.7</c:v>
                      </c:pt>
                      <c:pt idx="88">
                        <c:v>690.4</c:v>
                      </c:pt>
                      <c:pt idx="89">
                        <c:v>700.8</c:v>
                      </c:pt>
                      <c:pt idx="90">
                        <c:v>712.8</c:v>
                      </c:pt>
                      <c:pt idx="91">
                        <c:v>729.3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09C-40CC-835F-A10742FCB657}"/>
                  </c:ext>
                </c:extLst>
              </c15:ser>
            </c15:filteredScatterSeries>
          </c:ext>
        </c:extLst>
      </c:scatterChart>
      <c:valAx>
        <c:axId val="161194894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34063"/>
        <c:crosses val="autoZero"/>
        <c:crossBetween val="midCat"/>
        <c:majorUnit val="5"/>
      </c:valAx>
      <c:valAx>
        <c:axId val="1611934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Boiling Temp (deg.C)</a:t>
                </a:r>
              </a:p>
            </c:rich>
          </c:tx>
          <c:layout>
            <c:manualLayout>
              <c:xMode val="edge"/>
              <c:yMode val="edge"/>
              <c:x val="3.6279909515466682E-2"/>
              <c:y val="0.30633450304659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4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5607562603333189"/>
          <c:y val="0.37361098795536835"/>
          <c:w val="0.11724917440729837"/>
          <c:h val="0.23632547268898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84042800461324"/>
          <c:y val="5.0925925925925923E-2"/>
          <c:w val="0.78107574831104909"/>
          <c:h val="0.80105246245227413"/>
        </c:manualLayout>
      </c:layout>
      <c:scatterChart>
        <c:scatterStyle val="smoothMarker"/>
        <c:varyColors val="0"/>
        <c:ser>
          <c:idx val="0"/>
          <c:order val="0"/>
          <c:tx>
            <c:v>22July_LS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Flowrate!$B$2:$B$41</c:f>
              <c:numCache>
                <c:formatCode>General</c:formatCode>
                <c:ptCount val="40"/>
                <c:pt idx="0">
                  <c:v>5</c:v>
                </c:pt>
                <c:pt idx="1">
                  <c:v>6</c:v>
                </c:pt>
                <c:pt idx="2">
                  <c:v>8.06</c:v>
                </c:pt>
                <c:pt idx="3">
                  <c:v>8.3000000000000007</c:v>
                </c:pt>
                <c:pt idx="5">
                  <c:v>9</c:v>
                </c:pt>
                <c:pt idx="6">
                  <c:v>9.15</c:v>
                </c:pt>
                <c:pt idx="7">
                  <c:v>10</c:v>
                </c:pt>
                <c:pt idx="8">
                  <c:v>10.3</c:v>
                </c:pt>
                <c:pt idx="9">
                  <c:v>11</c:v>
                </c:pt>
                <c:pt idx="10">
                  <c:v>11.3</c:v>
                </c:pt>
                <c:pt idx="11">
                  <c:v>12</c:v>
                </c:pt>
                <c:pt idx="12">
                  <c:v>12.36</c:v>
                </c:pt>
                <c:pt idx="13">
                  <c:v>13</c:v>
                </c:pt>
                <c:pt idx="14">
                  <c:v>14</c:v>
                </c:pt>
                <c:pt idx="15">
                  <c:v>14.3</c:v>
                </c:pt>
                <c:pt idx="16">
                  <c:v>15</c:v>
                </c:pt>
                <c:pt idx="17">
                  <c:v>15.15</c:v>
                </c:pt>
                <c:pt idx="18">
                  <c:v>15.3</c:v>
                </c:pt>
                <c:pt idx="19">
                  <c:v>15.45</c:v>
                </c:pt>
                <c:pt idx="20">
                  <c:v>16</c:v>
                </c:pt>
                <c:pt idx="21">
                  <c:v>16</c:v>
                </c:pt>
                <c:pt idx="22">
                  <c:v>16.3</c:v>
                </c:pt>
                <c:pt idx="23">
                  <c:v>16.45</c:v>
                </c:pt>
                <c:pt idx="24">
                  <c:v>17</c:v>
                </c:pt>
                <c:pt idx="25">
                  <c:v>17</c:v>
                </c:pt>
                <c:pt idx="26">
                  <c:v>17.149999999999999</c:v>
                </c:pt>
                <c:pt idx="27">
                  <c:v>17.3</c:v>
                </c:pt>
                <c:pt idx="28">
                  <c:v>18</c:v>
                </c:pt>
                <c:pt idx="29">
                  <c:v>18.350000000000001</c:v>
                </c:pt>
                <c:pt idx="30">
                  <c:v>19</c:v>
                </c:pt>
                <c:pt idx="31">
                  <c:v>20</c:v>
                </c:pt>
                <c:pt idx="32">
                  <c:v>21</c:v>
                </c:pt>
                <c:pt idx="33">
                  <c:v>22</c:v>
                </c:pt>
                <c:pt idx="34">
                  <c:v>23</c:v>
                </c:pt>
                <c:pt idx="35">
                  <c:v>24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28</c:v>
                </c:pt>
              </c:numCache>
            </c:numRef>
          </c:xVal>
          <c:yVal>
            <c:numRef>
              <c:f>Flowrate!$C$2:$C$41</c:f>
              <c:numCache>
                <c:formatCode>General</c:formatCode>
                <c:ptCount val="40"/>
                <c:pt idx="0">
                  <c:v>19065</c:v>
                </c:pt>
                <c:pt idx="1">
                  <c:v>18921</c:v>
                </c:pt>
                <c:pt idx="2">
                  <c:v>18615</c:v>
                </c:pt>
                <c:pt idx="3">
                  <c:v>18541</c:v>
                </c:pt>
                <c:pt idx="5">
                  <c:v>18458</c:v>
                </c:pt>
                <c:pt idx="6">
                  <c:v>18411</c:v>
                </c:pt>
                <c:pt idx="7">
                  <c:v>18263</c:v>
                </c:pt>
                <c:pt idx="8">
                  <c:v>18156</c:v>
                </c:pt>
                <c:pt idx="9">
                  <c:v>18077</c:v>
                </c:pt>
                <c:pt idx="10">
                  <c:v>17980</c:v>
                </c:pt>
                <c:pt idx="11">
                  <c:v>17897</c:v>
                </c:pt>
                <c:pt idx="12">
                  <c:v>17785</c:v>
                </c:pt>
                <c:pt idx="13">
                  <c:v>17706</c:v>
                </c:pt>
                <c:pt idx="14">
                  <c:v>17516</c:v>
                </c:pt>
                <c:pt idx="15">
                  <c:v>17447</c:v>
                </c:pt>
                <c:pt idx="16">
                  <c:v>17368</c:v>
                </c:pt>
                <c:pt idx="17">
                  <c:v>17308</c:v>
                </c:pt>
                <c:pt idx="18">
                  <c:v>17275</c:v>
                </c:pt>
                <c:pt idx="19">
                  <c:v>17219</c:v>
                </c:pt>
                <c:pt idx="20">
                  <c:v>17168</c:v>
                </c:pt>
                <c:pt idx="21">
                  <c:v>17168</c:v>
                </c:pt>
                <c:pt idx="22">
                  <c:v>17071</c:v>
                </c:pt>
                <c:pt idx="23">
                  <c:v>17034</c:v>
                </c:pt>
                <c:pt idx="24">
                  <c:v>16983</c:v>
                </c:pt>
                <c:pt idx="25">
                  <c:v>16983</c:v>
                </c:pt>
                <c:pt idx="26">
                  <c:v>16937</c:v>
                </c:pt>
                <c:pt idx="27">
                  <c:v>16858</c:v>
                </c:pt>
                <c:pt idx="28">
                  <c:v>16774</c:v>
                </c:pt>
                <c:pt idx="29">
                  <c:v>16668</c:v>
                </c:pt>
                <c:pt idx="30">
                  <c:v>16593</c:v>
                </c:pt>
                <c:pt idx="31">
                  <c:v>16389</c:v>
                </c:pt>
                <c:pt idx="32">
                  <c:v>16208</c:v>
                </c:pt>
                <c:pt idx="33">
                  <c:v>16023</c:v>
                </c:pt>
                <c:pt idx="34">
                  <c:v>15847</c:v>
                </c:pt>
                <c:pt idx="35">
                  <c:v>15652</c:v>
                </c:pt>
                <c:pt idx="36">
                  <c:v>15471</c:v>
                </c:pt>
                <c:pt idx="37">
                  <c:v>15281</c:v>
                </c:pt>
                <c:pt idx="38">
                  <c:v>15105</c:v>
                </c:pt>
                <c:pt idx="39">
                  <c:v>14919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3A-4CFF-89B7-E4A26DD3B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430848"/>
        <c:axId val="177543228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30Jul25_HS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Flowrate!$F$2:$F$30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</c:v>
                      </c:pt>
                      <c:pt idx="1">
                        <c:v>6</c:v>
                      </c:pt>
                      <c:pt idx="2">
                        <c:v>6.3</c:v>
                      </c:pt>
                      <c:pt idx="3">
                        <c:v>8</c:v>
                      </c:pt>
                      <c:pt idx="4">
                        <c:v>8.17</c:v>
                      </c:pt>
                      <c:pt idx="5">
                        <c:v>9</c:v>
                      </c:pt>
                      <c:pt idx="6">
                        <c:v>10.029999999999999</c:v>
                      </c:pt>
                      <c:pt idx="7">
                        <c:v>11.03</c:v>
                      </c:pt>
                      <c:pt idx="8">
                        <c:v>11.15</c:v>
                      </c:pt>
                      <c:pt idx="9">
                        <c:v>12.15</c:v>
                      </c:pt>
                      <c:pt idx="10">
                        <c:v>13</c:v>
                      </c:pt>
                      <c:pt idx="11">
                        <c:v>14</c:v>
                      </c:pt>
                      <c:pt idx="12">
                        <c:v>14.3</c:v>
                      </c:pt>
                      <c:pt idx="13">
                        <c:v>15</c:v>
                      </c:pt>
                      <c:pt idx="14">
                        <c:v>15.3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18.149999999999999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Flowrate!$H$2:$H$30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19005</c:v>
                      </c:pt>
                      <c:pt idx="1">
                        <c:v>18782</c:v>
                      </c:pt>
                      <c:pt idx="2">
                        <c:v>18685</c:v>
                      </c:pt>
                      <c:pt idx="3">
                        <c:v>18467</c:v>
                      </c:pt>
                      <c:pt idx="4">
                        <c:v>18421</c:v>
                      </c:pt>
                      <c:pt idx="5">
                        <c:v>18305</c:v>
                      </c:pt>
                      <c:pt idx="6">
                        <c:v>18114</c:v>
                      </c:pt>
                      <c:pt idx="7">
                        <c:v>17948</c:v>
                      </c:pt>
                      <c:pt idx="8">
                        <c:v>17906</c:v>
                      </c:pt>
                      <c:pt idx="9">
                        <c:v>17720</c:v>
                      </c:pt>
                      <c:pt idx="10">
                        <c:v>17572</c:v>
                      </c:pt>
                      <c:pt idx="11">
                        <c:v>17382</c:v>
                      </c:pt>
                      <c:pt idx="12">
                        <c:v>17289</c:v>
                      </c:pt>
                      <c:pt idx="13">
                        <c:v>17182</c:v>
                      </c:pt>
                      <c:pt idx="14">
                        <c:v>17090</c:v>
                      </c:pt>
                      <c:pt idx="15">
                        <c:v>16992</c:v>
                      </c:pt>
                      <c:pt idx="16">
                        <c:v>16797</c:v>
                      </c:pt>
                      <c:pt idx="17">
                        <c:v>16598</c:v>
                      </c:pt>
                      <c:pt idx="18">
                        <c:v>16552</c:v>
                      </c:pt>
                      <c:pt idx="19">
                        <c:v>16417</c:v>
                      </c:pt>
                      <c:pt idx="20">
                        <c:v>16232</c:v>
                      </c:pt>
                      <c:pt idx="21">
                        <c:v>16037</c:v>
                      </c:pt>
                      <c:pt idx="22">
                        <c:v>15856</c:v>
                      </c:pt>
                      <c:pt idx="23">
                        <c:v>15666</c:v>
                      </c:pt>
                      <c:pt idx="24">
                        <c:v>15471</c:v>
                      </c:pt>
                      <c:pt idx="25">
                        <c:v>15286</c:v>
                      </c:pt>
                      <c:pt idx="26">
                        <c:v>15105</c:v>
                      </c:pt>
                      <c:pt idx="27">
                        <c:v>14905</c:v>
                      </c:pt>
                      <c:pt idx="28">
                        <c:v>14715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1D3A-4CFF-89B7-E4A26DD3BA67}"/>
                  </c:ext>
                </c:extLst>
              </c15:ser>
            </c15:filteredScatterSeries>
          </c:ext>
        </c:extLst>
      </c:scatterChart>
      <c:valAx>
        <c:axId val="1775430848"/>
        <c:scaling>
          <c:orientation val="minMax"/>
          <c:max val="28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on Stream (hrs)</a:t>
                </a:r>
              </a:p>
            </c:rich>
          </c:tx>
          <c:layout>
            <c:manualLayout>
              <c:xMode val="edge"/>
              <c:yMode val="edge"/>
              <c:x val="0.42820549141656167"/>
              <c:y val="0.921200141145922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432288"/>
        <c:crosses val="autoZero"/>
        <c:crossBetween val="midCat"/>
        <c:majorUnit val="2"/>
      </c:valAx>
      <c:valAx>
        <c:axId val="1775432288"/>
        <c:scaling>
          <c:orientation val="minMax"/>
          <c:min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baseline="0"/>
                  <a:t>VR Feed Loss (g VR )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2.4266203660072386E-2"/>
              <c:y val="0.379066519672433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430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70255128497923"/>
          <c:y val="0.21818565888108887"/>
          <c:w val="0.2555282152230971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84042800461324"/>
          <c:y val="5.0925925925925923E-2"/>
          <c:w val="0.78107574831104909"/>
          <c:h val="0.80105246245227413"/>
        </c:manualLayout>
      </c:layout>
      <c:scatterChart>
        <c:scatterStyle val="smoothMarker"/>
        <c:varyColors val="0"/>
        <c:ser>
          <c:idx val="1"/>
          <c:order val="1"/>
          <c:tx>
            <c:v>30Jul25_HS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Flowrate!$F$2:$F$30</c:f>
              <c:numCache>
                <c:formatCode>General</c:formatCode>
                <c:ptCount val="29"/>
                <c:pt idx="0">
                  <c:v>5</c:v>
                </c:pt>
                <c:pt idx="1">
                  <c:v>6</c:v>
                </c:pt>
                <c:pt idx="2">
                  <c:v>6.3</c:v>
                </c:pt>
                <c:pt idx="3">
                  <c:v>8</c:v>
                </c:pt>
                <c:pt idx="4">
                  <c:v>8.17</c:v>
                </c:pt>
                <c:pt idx="5">
                  <c:v>9</c:v>
                </c:pt>
                <c:pt idx="6">
                  <c:v>10.029999999999999</c:v>
                </c:pt>
                <c:pt idx="7">
                  <c:v>11.03</c:v>
                </c:pt>
                <c:pt idx="8">
                  <c:v>11.15</c:v>
                </c:pt>
                <c:pt idx="9">
                  <c:v>12.15</c:v>
                </c:pt>
                <c:pt idx="10">
                  <c:v>13</c:v>
                </c:pt>
                <c:pt idx="11">
                  <c:v>14</c:v>
                </c:pt>
                <c:pt idx="12">
                  <c:v>14.3</c:v>
                </c:pt>
                <c:pt idx="13">
                  <c:v>15</c:v>
                </c:pt>
                <c:pt idx="14">
                  <c:v>15.3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18.149999999999999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Flowrate!$H$2:$H$30</c:f>
              <c:numCache>
                <c:formatCode>General</c:formatCode>
                <c:ptCount val="29"/>
                <c:pt idx="0">
                  <c:v>19005</c:v>
                </c:pt>
                <c:pt idx="1">
                  <c:v>18782</c:v>
                </c:pt>
                <c:pt idx="2">
                  <c:v>18685</c:v>
                </c:pt>
                <c:pt idx="3">
                  <c:v>18467</c:v>
                </c:pt>
                <c:pt idx="4">
                  <c:v>18421</c:v>
                </c:pt>
                <c:pt idx="5">
                  <c:v>18305</c:v>
                </c:pt>
                <c:pt idx="6">
                  <c:v>18114</c:v>
                </c:pt>
                <c:pt idx="7">
                  <c:v>17948</c:v>
                </c:pt>
                <c:pt idx="8">
                  <c:v>17906</c:v>
                </c:pt>
                <c:pt idx="9">
                  <c:v>17720</c:v>
                </c:pt>
                <c:pt idx="10">
                  <c:v>17572</c:v>
                </c:pt>
                <c:pt idx="11">
                  <c:v>17382</c:v>
                </c:pt>
                <c:pt idx="12">
                  <c:v>17289</c:v>
                </c:pt>
                <c:pt idx="13">
                  <c:v>17182</c:v>
                </c:pt>
                <c:pt idx="14">
                  <c:v>17090</c:v>
                </c:pt>
                <c:pt idx="15">
                  <c:v>16992</c:v>
                </c:pt>
                <c:pt idx="16">
                  <c:v>16797</c:v>
                </c:pt>
                <c:pt idx="17">
                  <c:v>16598</c:v>
                </c:pt>
                <c:pt idx="18">
                  <c:v>16552</c:v>
                </c:pt>
                <c:pt idx="19">
                  <c:v>16417</c:v>
                </c:pt>
                <c:pt idx="20">
                  <c:v>16232</c:v>
                </c:pt>
                <c:pt idx="21">
                  <c:v>16037</c:v>
                </c:pt>
                <c:pt idx="22">
                  <c:v>15856</c:v>
                </c:pt>
                <c:pt idx="23">
                  <c:v>15666</c:v>
                </c:pt>
                <c:pt idx="24">
                  <c:v>15471</c:v>
                </c:pt>
                <c:pt idx="25">
                  <c:v>15286</c:v>
                </c:pt>
                <c:pt idx="26">
                  <c:v>15105</c:v>
                </c:pt>
                <c:pt idx="27">
                  <c:v>14905</c:v>
                </c:pt>
                <c:pt idx="28">
                  <c:v>14715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29-4459-A6A4-9D59E883C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430848"/>
        <c:axId val="177543228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22July_LS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Flowrate!$B$2:$B$41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5</c:v>
                      </c:pt>
                      <c:pt idx="1">
                        <c:v>6</c:v>
                      </c:pt>
                      <c:pt idx="2">
                        <c:v>8.06</c:v>
                      </c:pt>
                      <c:pt idx="3">
                        <c:v>8.3000000000000007</c:v>
                      </c:pt>
                      <c:pt idx="5">
                        <c:v>9</c:v>
                      </c:pt>
                      <c:pt idx="6">
                        <c:v>9.15</c:v>
                      </c:pt>
                      <c:pt idx="7">
                        <c:v>10</c:v>
                      </c:pt>
                      <c:pt idx="8">
                        <c:v>10.3</c:v>
                      </c:pt>
                      <c:pt idx="9">
                        <c:v>11</c:v>
                      </c:pt>
                      <c:pt idx="10">
                        <c:v>11.3</c:v>
                      </c:pt>
                      <c:pt idx="11">
                        <c:v>12</c:v>
                      </c:pt>
                      <c:pt idx="12">
                        <c:v>12.36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14.3</c:v>
                      </c:pt>
                      <c:pt idx="16">
                        <c:v>15</c:v>
                      </c:pt>
                      <c:pt idx="17">
                        <c:v>15.15</c:v>
                      </c:pt>
                      <c:pt idx="18">
                        <c:v>15.3</c:v>
                      </c:pt>
                      <c:pt idx="19">
                        <c:v>15.45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16.3</c:v>
                      </c:pt>
                      <c:pt idx="23">
                        <c:v>16.45</c:v>
                      </c:pt>
                      <c:pt idx="24">
                        <c:v>17</c:v>
                      </c:pt>
                      <c:pt idx="25">
                        <c:v>17</c:v>
                      </c:pt>
                      <c:pt idx="26">
                        <c:v>17.149999999999999</c:v>
                      </c:pt>
                      <c:pt idx="27">
                        <c:v>17.3</c:v>
                      </c:pt>
                      <c:pt idx="28">
                        <c:v>18</c:v>
                      </c:pt>
                      <c:pt idx="29">
                        <c:v>18.350000000000001</c:v>
                      </c:pt>
                      <c:pt idx="30">
                        <c:v>19</c:v>
                      </c:pt>
                      <c:pt idx="31">
                        <c:v>20</c:v>
                      </c:pt>
                      <c:pt idx="32">
                        <c:v>21</c:v>
                      </c:pt>
                      <c:pt idx="33">
                        <c:v>22</c:v>
                      </c:pt>
                      <c:pt idx="34">
                        <c:v>23</c:v>
                      </c:pt>
                      <c:pt idx="35">
                        <c:v>24</c:v>
                      </c:pt>
                      <c:pt idx="36">
                        <c:v>25</c:v>
                      </c:pt>
                      <c:pt idx="37">
                        <c:v>26</c:v>
                      </c:pt>
                      <c:pt idx="38">
                        <c:v>27</c:v>
                      </c:pt>
                      <c:pt idx="39">
                        <c:v>28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Flowrate!$C$2:$C$41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19065</c:v>
                      </c:pt>
                      <c:pt idx="1">
                        <c:v>18921</c:v>
                      </c:pt>
                      <c:pt idx="2">
                        <c:v>18615</c:v>
                      </c:pt>
                      <c:pt idx="3">
                        <c:v>18541</c:v>
                      </c:pt>
                      <c:pt idx="5">
                        <c:v>18458</c:v>
                      </c:pt>
                      <c:pt idx="6">
                        <c:v>18411</c:v>
                      </c:pt>
                      <c:pt idx="7">
                        <c:v>18263</c:v>
                      </c:pt>
                      <c:pt idx="8">
                        <c:v>18156</c:v>
                      </c:pt>
                      <c:pt idx="9">
                        <c:v>18077</c:v>
                      </c:pt>
                      <c:pt idx="10">
                        <c:v>17980</c:v>
                      </c:pt>
                      <c:pt idx="11">
                        <c:v>17897</c:v>
                      </c:pt>
                      <c:pt idx="12">
                        <c:v>17785</c:v>
                      </c:pt>
                      <c:pt idx="13">
                        <c:v>17706</c:v>
                      </c:pt>
                      <c:pt idx="14">
                        <c:v>17516</c:v>
                      </c:pt>
                      <c:pt idx="15">
                        <c:v>17447</c:v>
                      </c:pt>
                      <c:pt idx="16">
                        <c:v>17368</c:v>
                      </c:pt>
                      <c:pt idx="17">
                        <c:v>17308</c:v>
                      </c:pt>
                      <c:pt idx="18">
                        <c:v>17275</c:v>
                      </c:pt>
                      <c:pt idx="19">
                        <c:v>17219</c:v>
                      </c:pt>
                      <c:pt idx="20">
                        <c:v>17168</c:v>
                      </c:pt>
                      <c:pt idx="21">
                        <c:v>17168</c:v>
                      </c:pt>
                      <c:pt idx="22">
                        <c:v>17071</c:v>
                      </c:pt>
                      <c:pt idx="23">
                        <c:v>17034</c:v>
                      </c:pt>
                      <c:pt idx="24">
                        <c:v>16983</c:v>
                      </c:pt>
                      <c:pt idx="25">
                        <c:v>16983</c:v>
                      </c:pt>
                      <c:pt idx="26">
                        <c:v>16937</c:v>
                      </c:pt>
                      <c:pt idx="27">
                        <c:v>16858</c:v>
                      </c:pt>
                      <c:pt idx="28">
                        <c:v>16774</c:v>
                      </c:pt>
                      <c:pt idx="29">
                        <c:v>16668</c:v>
                      </c:pt>
                      <c:pt idx="30">
                        <c:v>16593</c:v>
                      </c:pt>
                      <c:pt idx="31">
                        <c:v>16389</c:v>
                      </c:pt>
                      <c:pt idx="32">
                        <c:v>16208</c:v>
                      </c:pt>
                      <c:pt idx="33">
                        <c:v>16023</c:v>
                      </c:pt>
                      <c:pt idx="34">
                        <c:v>15847</c:v>
                      </c:pt>
                      <c:pt idx="35">
                        <c:v>15652</c:v>
                      </c:pt>
                      <c:pt idx="36">
                        <c:v>15471</c:v>
                      </c:pt>
                      <c:pt idx="37">
                        <c:v>15281</c:v>
                      </c:pt>
                      <c:pt idx="38">
                        <c:v>15105</c:v>
                      </c:pt>
                      <c:pt idx="39">
                        <c:v>14919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EB29-4459-A6A4-9D59E883CCDF}"/>
                  </c:ext>
                </c:extLst>
              </c15:ser>
            </c15:filteredScatterSeries>
          </c:ext>
        </c:extLst>
      </c:scatterChart>
      <c:valAx>
        <c:axId val="1775430848"/>
        <c:scaling>
          <c:orientation val="minMax"/>
          <c:max val="28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on Stream (hrs)</a:t>
                </a:r>
              </a:p>
            </c:rich>
          </c:tx>
          <c:layout>
            <c:manualLayout>
              <c:xMode val="edge"/>
              <c:yMode val="edge"/>
              <c:x val="0.42820549141656167"/>
              <c:y val="0.921200141145922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432288"/>
        <c:crosses val="autoZero"/>
        <c:crossBetween val="midCat"/>
        <c:majorUnit val="2"/>
      </c:valAx>
      <c:valAx>
        <c:axId val="1775432288"/>
        <c:scaling>
          <c:orientation val="minMax"/>
          <c:min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baseline="0"/>
                  <a:t>VR Feed Loss (g VR )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2.4266203660072386E-2"/>
              <c:y val="0.379066519672433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430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70255128497923"/>
          <c:y val="0.21818565888108887"/>
          <c:w val="0.2555282152230971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image" Target="../media/image3.png"/><Relationship Id="rId7" Type="http://schemas.openxmlformats.org/officeDocument/2006/relationships/chart" Target="../charts/chart17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13" Type="http://schemas.openxmlformats.org/officeDocument/2006/relationships/chart" Target="../charts/chart35.xml"/><Relationship Id="rId18" Type="http://schemas.openxmlformats.org/officeDocument/2006/relationships/chart" Target="../charts/chart40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12" Type="http://schemas.openxmlformats.org/officeDocument/2006/relationships/chart" Target="../charts/chart34.xml"/><Relationship Id="rId17" Type="http://schemas.openxmlformats.org/officeDocument/2006/relationships/chart" Target="../charts/chart39.xml"/><Relationship Id="rId2" Type="http://schemas.openxmlformats.org/officeDocument/2006/relationships/chart" Target="../charts/chart24.xml"/><Relationship Id="rId16" Type="http://schemas.openxmlformats.org/officeDocument/2006/relationships/chart" Target="../charts/chart38.xml"/><Relationship Id="rId20" Type="http://schemas.openxmlformats.org/officeDocument/2006/relationships/chart" Target="../charts/chart42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5" Type="http://schemas.openxmlformats.org/officeDocument/2006/relationships/chart" Target="../charts/chart27.xml"/><Relationship Id="rId15" Type="http://schemas.openxmlformats.org/officeDocument/2006/relationships/chart" Target="../charts/chart37.xml"/><Relationship Id="rId10" Type="http://schemas.openxmlformats.org/officeDocument/2006/relationships/chart" Target="../charts/chart32.xml"/><Relationship Id="rId19" Type="http://schemas.openxmlformats.org/officeDocument/2006/relationships/chart" Target="../charts/chart41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Relationship Id="rId14" Type="http://schemas.openxmlformats.org/officeDocument/2006/relationships/chart" Target="../charts/chart3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43.xml"/><Relationship Id="rId5" Type="http://schemas.openxmlformats.org/officeDocument/2006/relationships/chart" Target="../charts/chart44.xml"/><Relationship Id="rId4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image" Target="../media/image11.jpeg"/><Relationship Id="rId1" Type="http://schemas.openxmlformats.org/officeDocument/2006/relationships/chart" Target="../charts/chart52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6.xml"/><Relationship Id="rId7" Type="http://schemas.openxmlformats.org/officeDocument/2006/relationships/chart" Target="../charts/chart70.xml"/><Relationship Id="rId2" Type="http://schemas.openxmlformats.org/officeDocument/2006/relationships/chart" Target="../charts/chart65.xml"/><Relationship Id="rId1" Type="http://schemas.openxmlformats.org/officeDocument/2006/relationships/chart" Target="../charts/chart64.xml"/><Relationship Id="rId6" Type="http://schemas.openxmlformats.org/officeDocument/2006/relationships/chart" Target="../charts/chart69.xml"/><Relationship Id="rId5" Type="http://schemas.openxmlformats.org/officeDocument/2006/relationships/chart" Target="../charts/chart68.xml"/><Relationship Id="rId4" Type="http://schemas.openxmlformats.org/officeDocument/2006/relationships/chart" Target="../charts/chart67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2.xml"/><Relationship Id="rId1" Type="http://schemas.openxmlformats.org/officeDocument/2006/relationships/chart" Target="../charts/chart71.xm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25346</xdr:colOff>
      <xdr:row>0</xdr:row>
      <xdr:rowOff>340113</xdr:rowOff>
    </xdr:from>
    <xdr:to>
      <xdr:col>2</xdr:col>
      <xdr:colOff>943429</xdr:colOff>
      <xdr:row>3</xdr:row>
      <xdr:rowOff>63409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8C1F57-21D6-47A3-A12B-C1251F043AA0}"/>
            </a:ext>
          </a:extLst>
        </xdr:cNvPr>
        <xdr:cNvSpPr txBox="1"/>
      </xdr:nvSpPr>
      <xdr:spPr>
        <a:xfrm>
          <a:off x="25346" y="340113"/>
          <a:ext cx="4689983" cy="48529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/>
            <a:t>Remark</a:t>
          </a:r>
        </a:p>
        <a:p>
          <a:r>
            <a:rPr lang="en-US" sz="1200" b="1"/>
            <a:t>	LOW SEDIMENT</a:t>
          </a:r>
        </a:p>
      </xdr:txBody>
    </xdr:sp>
    <xdr:clientData/>
  </xdr:twoCellAnchor>
  <xdr:twoCellAnchor>
    <xdr:from>
      <xdr:col>11</xdr:col>
      <xdr:colOff>204108</xdr:colOff>
      <xdr:row>71</xdr:row>
      <xdr:rowOff>143328</xdr:rowOff>
    </xdr:from>
    <xdr:to>
      <xdr:col>22</xdr:col>
      <xdr:colOff>31751</xdr:colOff>
      <xdr:row>85</xdr:row>
      <xdr:rowOff>83457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30E537-CCF7-46ED-B121-6A25DD1C7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208643</xdr:colOff>
      <xdr:row>86</xdr:row>
      <xdr:rowOff>54428</xdr:rowOff>
    </xdr:from>
    <xdr:to>
      <xdr:col>22</xdr:col>
      <xdr:colOff>36286</xdr:colOff>
      <xdr:row>100</xdr:row>
      <xdr:rowOff>3628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FFBFA5-73B5-4E57-83BD-6BA3DF136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25346</xdr:colOff>
      <xdr:row>0</xdr:row>
      <xdr:rowOff>340113</xdr:rowOff>
    </xdr:from>
    <xdr:to>
      <xdr:col>2</xdr:col>
      <xdr:colOff>943429</xdr:colOff>
      <xdr:row>3</xdr:row>
      <xdr:rowOff>63409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EA9981-C441-4DF9-9C7A-1FA3D42EC25F}"/>
            </a:ext>
          </a:extLst>
        </xdr:cNvPr>
        <xdr:cNvSpPr txBox="1"/>
      </xdr:nvSpPr>
      <xdr:spPr>
        <a:xfrm>
          <a:off x="25346" y="340113"/>
          <a:ext cx="4755297" cy="48529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/>
            <a:t>Remark</a:t>
          </a:r>
        </a:p>
        <a:p>
          <a:r>
            <a:rPr lang="en-US" sz="1200" b="1"/>
            <a:t>	LOW SEDIMENT</a:t>
          </a:r>
        </a:p>
      </xdr:txBody>
    </xdr:sp>
    <xdr:clientData/>
  </xdr:twoCellAnchor>
  <xdr:twoCellAnchor>
    <xdr:from>
      <xdr:col>11</xdr:col>
      <xdr:colOff>204108</xdr:colOff>
      <xdr:row>72</xdr:row>
      <xdr:rowOff>143328</xdr:rowOff>
    </xdr:from>
    <xdr:to>
      <xdr:col>22</xdr:col>
      <xdr:colOff>31751</xdr:colOff>
      <xdr:row>86</xdr:row>
      <xdr:rowOff>83457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8E7EB-3338-694D-41E7-9A3E875D8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216477</xdr:colOff>
      <xdr:row>87</xdr:row>
      <xdr:rowOff>187614</xdr:rowOff>
    </xdr:from>
    <xdr:to>
      <xdr:col>22</xdr:col>
      <xdr:colOff>44120</xdr:colOff>
      <xdr:row>101</xdr:row>
      <xdr:rowOff>134958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AB4F06-A0C9-43BD-AB37-4FF82B488F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262329</xdr:colOff>
      <xdr:row>25</xdr:row>
      <xdr:rowOff>64958</xdr:rowOff>
    </xdr:from>
    <xdr:to>
      <xdr:col>37</xdr:col>
      <xdr:colOff>549641</xdr:colOff>
      <xdr:row>39</xdr:row>
      <xdr:rowOff>9994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56DC45-0F5D-7B15-EDC2-C44D039A6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594838</xdr:colOff>
      <xdr:row>25</xdr:row>
      <xdr:rowOff>72907</xdr:rowOff>
    </xdr:from>
    <xdr:to>
      <xdr:col>45</xdr:col>
      <xdr:colOff>270052</xdr:colOff>
      <xdr:row>39</xdr:row>
      <xdr:rowOff>9994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288FD7-87A7-CD3B-362C-C54CC1DC6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262329</xdr:colOff>
      <xdr:row>39</xdr:row>
      <xdr:rowOff>72907</xdr:rowOff>
    </xdr:from>
    <xdr:to>
      <xdr:col>37</xdr:col>
      <xdr:colOff>547143</xdr:colOff>
      <xdr:row>53</xdr:row>
      <xdr:rowOff>51558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E996A7-A135-853C-5F3D-2D4193C1C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262329</xdr:colOff>
      <xdr:row>67</xdr:row>
      <xdr:rowOff>3634</xdr:rowOff>
    </xdr:from>
    <xdr:to>
      <xdr:col>37</xdr:col>
      <xdr:colOff>547143</xdr:colOff>
      <xdr:row>81</xdr:row>
      <xdr:rowOff>9994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78BC17-9668-CD00-962B-3252E42CA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262329</xdr:colOff>
      <xdr:row>53</xdr:row>
      <xdr:rowOff>120376</xdr:rowOff>
    </xdr:from>
    <xdr:to>
      <xdr:col>37</xdr:col>
      <xdr:colOff>549641</xdr:colOff>
      <xdr:row>66</xdr:row>
      <xdr:rowOff>162394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053CA85-F29A-F337-1BAE-B756D2675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37</xdr:col>
      <xdr:colOff>580983</xdr:colOff>
      <xdr:row>53</xdr:row>
      <xdr:rowOff>128325</xdr:rowOff>
    </xdr:from>
    <xdr:to>
      <xdr:col>45</xdr:col>
      <xdr:colOff>256197</xdr:colOff>
      <xdr:row>66</xdr:row>
      <xdr:rowOff>162394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25CF50C-7398-CCC7-FFB8-6985C9BD0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599785</xdr:colOff>
      <xdr:row>39</xdr:row>
      <xdr:rowOff>72907</xdr:rowOff>
    </xdr:from>
    <xdr:to>
      <xdr:col>45</xdr:col>
      <xdr:colOff>274999</xdr:colOff>
      <xdr:row>53</xdr:row>
      <xdr:rowOff>51558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C0D12DF-356E-A716-CFC4-23FE5B6EA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37</xdr:col>
      <xdr:colOff>599785</xdr:colOff>
      <xdr:row>67</xdr:row>
      <xdr:rowOff>17489</xdr:rowOff>
    </xdr:from>
    <xdr:to>
      <xdr:col>45</xdr:col>
      <xdr:colOff>274999</xdr:colOff>
      <xdr:row>81</xdr:row>
      <xdr:rowOff>37703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3188F06-8675-BFE3-2A3B-26533E059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256036</xdr:colOff>
      <xdr:row>81</xdr:row>
      <xdr:rowOff>80818</xdr:rowOff>
    </xdr:from>
    <xdr:to>
      <xdr:col>37</xdr:col>
      <xdr:colOff>519545</xdr:colOff>
      <xdr:row>95</xdr:row>
      <xdr:rowOff>112081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D548710-C88A-4D8B-AB50-2308A9A63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37</xdr:col>
      <xdr:colOff>609193</xdr:colOff>
      <xdr:row>81</xdr:row>
      <xdr:rowOff>82856</xdr:rowOff>
    </xdr:from>
    <xdr:to>
      <xdr:col>45</xdr:col>
      <xdr:colOff>284407</xdr:colOff>
      <xdr:row>95</xdr:row>
      <xdr:rowOff>136575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85496DF-71E0-454E-B080-74B7C7474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25346</xdr:colOff>
      <xdr:row>0</xdr:row>
      <xdr:rowOff>340113</xdr:rowOff>
    </xdr:from>
    <xdr:to>
      <xdr:col>2</xdr:col>
      <xdr:colOff>943429</xdr:colOff>
      <xdr:row>3</xdr:row>
      <xdr:rowOff>63409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E30466-8F02-4F5A-99A0-8842E6F372D7}"/>
            </a:ext>
          </a:extLst>
        </xdr:cNvPr>
        <xdr:cNvSpPr txBox="1"/>
      </xdr:nvSpPr>
      <xdr:spPr>
        <a:xfrm>
          <a:off x="25346" y="340113"/>
          <a:ext cx="4759833" cy="49164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/>
            <a:t>Remark</a:t>
          </a:r>
        </a:p>
        <a:p>
          <a:r>
            <a:rPr lang="en-US" sz="1200" b="1"/>
            <a:t>	LOW SEDIMENT</a:t>
          </a:r>
        </a:p>
      </xdr:txBody>
    </xdr:sp>
    <xdr:clientData/>
  </xdr:twoCellAnchor>
  <xdr:twoCellAnchor>
    <xdr:from>
      <xdr:col>11</xdr:col>
      <xdr:colOff>204108</xdr:colOff>
      <xdr:row>71</xdr:row>
      <xdr:rowOff>143328</xdr:rowOff>
    </xdr:from>
    <xdr:to>
      <xdr:col>22</xdr:col>
      <xdr:colOff>31751</xdr:colOff>
      <xdr:row>85</xdr:row>
      <xdr:rowOff>83457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21AB22-5F7D-4446-A95E-C80CAEAEB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208643</xdr:colOff>
      <xdr:row>86</xdr:row>
      <xdr:rowOff>54428</xdr:rowOff>
    </xdr:from>
    <xdr:to>
      <xdr:col>22</xdr:col>
      <xdr:colOff>36286</xdr:colOff>
      <xdr:row>100</xdr:row>
      <xdr:rowOff>3628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F0BEFC-689A-4357-BF34-BA7F50161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25346</xdr:colOff>
      <xdr:row>0</xdr:row>
      <xdr:rowOff>340113</xdr:rowOff>
    </xdr:from>
    <xdr:to>
      <xdr:col>19</xdr:col>
      <xdr:colOff>312964</xdr:colOff>
      <xdr:row>3</xdr:row>
      <xdr:rowOff>63409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3A9D78-E668-4494-B7F6-971753B40EFF}"/>
            </a:ext>
          </a:extLst>
        </xdr:cNvPr>
        <xdr:cNvSpPr txBox="1"/>
      </xdr:nvSpPr>
      <xdr:spPr>
        <a:xfrm>
          <a:off x="25346" y="340113"/>
          <a:ext cx="17722178" cy="48529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/>
            <a:t>Remark</a:t>
          </a:r>
        </a:p>
        <a:p>
          <a:r>
            <a:rPr lang="en-US" sz="1200" b="1"/>
            <a:t>	Request</a:t>
          </a:r>
          <a:r>
            <a:rPr lang="en-US" sz="1200" b="1" baseline="0"/>
            <a:t> by SCEP</a:t>
          </a:r>
          <a:endParaRPr lang="en-US" sz="12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84667</xdr:colOff>
      <xdr:row>4</xdr:row>
      <xdr:rowOff>169333</xdr:rowOff>
    </xdr:from>
    <xdr:to>
      <xdr:col>28</xdr:col>
      <xdr:colOff>119944</xdr:colOff>
      <xdr:row>16</xdr:row>
      <xdr:rowOff>94766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783A85-7997-D7BD-B0D1-5FC6418FD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40556" y="903111"/>
          <a:ext cx="3069166" cy="2126766"/>
        </a:xfrm>
        <a:prstGeom prst="rect">
          <a:avLst/>
        </a:prstGeom>
      </xdr:spPr>
    </xdr:pic>
    <xdr:clientData/>
  </xdr:twoCellAnchor>
  <xdr:twoCellAnchor editAs="oneCell">
    <xdr:from>
      <xdr:col>17</xdr:col>
      <xdr:colOff>55079</xdr:colOff>
      <xdr:row>3</xdr:row>
      <xdr:rowOff>90812</xdr:rowOff>
    </xdr:from>
    <xdr:to>
      <xdr:col>23</xdr:col>
      <xdr:colOff>584929</xdr:colOff>
      <xdr:row>16</xdr:row>
      <xdr:rowOff>127183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5BCD86-7423-7934-77D2-FEE07116A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01853" y="643877"/>
          <a:ext cx="4216947" cy="2432983"/>
        </a:xfrm>
        <a:prstGeom prst="rect">
          <a:avLst/>
        </a:prstGeom>
      </xdr:spPr>
    </xdr:pic>
    <xdr:clientData/>
  </xdr:twoCellAnchor>
  <xdr:twoCellAnchor editAs="oneCell">
    <xdr:from>
      <xdr:col>29</xdr:col>
      <xdr:colOff>600363</xdr:colOff>
      <xdr:row>4</xdr:row>
      <xdr:rowOff>57727</xdr:rowOff>
    </xdr:from>
    <xdr:to>
      <xdr:col>34</xdr:col>
      <xdr:colOff>510566</xdr:colOff>
      <xdr:row>18</xdr:row>
      <xdr:rowOff>182274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1C97E2-2DCF-52BC-1D1F-382563C6C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345727" y="796636"/>
          <a:ext cx="2969748" cy="2710729"/>
        </a:xfrm>
        <a:prstGeom prst="rect">
          <a:avLst/>
        </a:prstGeom>
      </xdr:spPr>
    </xdr:pic>
    <xdr:clientData/>
  </xdr:twoCellAnchor>
  <xdr:twoCellAnchor editAs="oneCell">
    <xdr:from>
      <xdr:col>35</xdr:col>
      <xdr:colOff>232834</xdr:colOff>
      <xdr:row>1</xdr:row>
      <xdr:rowOff>162920</xdr:rowOff>
    </xdr:from>
    <xdr:to>
      <xdr:col>43</xdr:col>
      <xdr:colOff>536221</xdr:colOff>
      <xdr:row>21</xdr:row>
      <xdr:rowOff>120586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FD2E6A-FF1C-0FE3-DFED-825B65C7C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49652" y="347647"/>
          <a:ext cx="5198660" cy="3652212"/>
        </a:xfrm>
        <a:prstGeom prst="rect">
          <a:avLst/>
        </a:prstGeom>
      </xdr:spPr>
    </xdr:pic>
    <xdr:clientData/>
  </xdr:twoCellAnchor>
  <xdr:twoCellAnchor editAs="oneCell">
    <xdr:from>
      <xdr:col>44</xdr:col>
      <xdr:colOff>123152</xdr:colOff>
      <xdr:row>3</xdr:row>
      <xdr:rowOff>129566</xdr:rowOff>
    </xdr:from>
    <xdr:to>
      <xdr:col>60</xdr:col>
      <xdr:colOff>589990</xdr:colOff>
      <xdr:row>22</xdr:row>
      <xdr:rowOff>69274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1094BBD-2E5F-055D-D5EF-6762E6FA8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47152" y="683748"/>
          <a:ext cx="10257383" cy="3449526"/>
        </a:xfrm>
        <a:prstGeom prst="rect">
          <a:avLst/>
        </a:prstGeom>
      </xdr:spPr>
    </xdr:pic>
    <xdr:clientData/>
  </xdr:twoCellAnchor>
  <xdr:twoCellAnchor editAs="oneCell">
    <xdr:from>
      <xdr:col>17</xdr:col>
      <xdr:colOff>325631</xdr:colOff>
      <xdr:row>18</xdr:row>
      <xdr:rowOff>159528</xdr:rowOff>
    </xdr:from>
    <xdr:to>
      <xdr:col>29</xdr:col>
      <xdr:colOff>22841</xdr:colOff>
      <xdr:row>38</xdr:row>
      <xdr:rowOff>20983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B9C0BDB-8BB0-2650-ECA3-DCF91A2B9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72405" y="3477915"/>
          <a:ext cx="7071404" cy="354855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14</xdr:col>
      <xdr:colOff>12700</xdr:colOff>
      <xdr:row>45</xdr:row>
      <xdr:rowOff>6351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3D7C59F-38D7-4CB9-82D7-88B8D0C4F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598714</xdr:colOff>
      <xdr:row>4</xdr:row>
      <xdr:rowOff>0</xdr:rowOff>
    </xdr:from>
    <xdr:to>
      <xdr:col>14</xdr:col>
      <xdr:colOff>18143</xdr:colOff>
      <xdr:row>24</xdr:row>
      <xdr:rowOff>104952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809296-F3F8-4D45-9DB8-63D01C788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48</xdr:row>
      <xdr:rowOff>0</xdr:rowOff>
    </xdr:from>
    <xdr:to>
      <xdr:col>14</xdr:col>
      <xdr:colOff>27214</xdr:colOff>
      <xdr:row>68</xdr:row>
      <xdr:rowOff>104952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D0E08B-BC4B-4984-8DD8-B0A2712E1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24947</xdr:colOff>
      <xdr:row>4</xdr:row>
      <xdr:rowOff>296333</xdr:rowOff>
    </xdr:from>
    <xdr:to>
      <xdr:col>12</xdr:col>
      <xdr:colOff>0</xdr:colOff>
      <xdr:row>4</xdr:row>
      <xdr:rowOff>671285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A3934C-C97B-472C-A60B-635BA88DCA57}"/>
            </a:ext>
          </a:extLst>
        </xdr:cNvPr>
        <xdr:cNvSpPr txBox="1"/>
      </xdr:nvSpPr>
      <xdr:spPr>
        <a:xfrm>
          <a:off x="1310822" y="1715558"/>
          <a:ext cx="8309428" cy="374952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alpha val="84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600">
              <a:effectLst/>
            </a:rPr>
            <a:t>LIMS: -</a:t>
          </a:r>
          <a:endParaRPr lang="th-TH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523874</xdr:colOff>
      <xdr:row>5</xdr:row>
      <xdr:rowOff>495299</xdr:rowOff>
    </xdr:from>
    <xdr:to>
      <xdr:col>41</xdr:col>
      <xdr:colOff>435428</xdr:colOff>
      <xdr:row>27</xdr:row>
      <xdr:rowOff>21770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444870-E141-CBE6-13EC-F06E6255C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614517</xdr:colOff>
      <xdr:row>27</xdr:row>
      <xdr:rowOff>141514</xdr:rowOff>
    </xdr:from>
    <xdr:to>
      <xdr:col>37</xdr:col>
      <xdr:colOff>553064</xdr:colOff>
      <xdr:row>46</xdr:row>
      <xdr:rowOff>43543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801D5B-9699-80D2-CE0F-023BC5372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525096</xdr:colOff>
      <xdr:row>49</xdr:row>
      <xdr:rowOff>158750</xdr:rowOff>
    </xdr:from>
    <xdr:to>
      <xdr:col>38</xdr:col>
      <xdr:colOff>579525</xdr:colOff>
      <xdr:row>69</xdr:row>
      <xdr:rowOff>72990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F4D20C-5FF1-461C-8C91-EF567836B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0.01111</cdr:y>
    </cdr:from>
    <cdr:to>
      <cdr:x>1</cdr:x>
      <cdr:y>0.08816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7C48F3C9-B619-17F2-00B2-DF7EA73D2C5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1073440" cy="352285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SR Feed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21</xdr:row>
      <xdr:rowOff>69850</xdr:rowOff>
    </xdr:from>
    <xdr:to>
      <xdr:col>8</xdr:col>
      <xdr:colOff>203200</xdr:colOff>
      <xdr:row>24</xdr:row>
      <xdr:rowOff>120650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279CE6-D0C3-4795-A437-193826570E5C}"/>
            </a:ext>
          </a:extLst>
        </xdr:cNvPr>
        <xdr:cNvSpPr txBox="1"/>
      </xdr:nvSpPr>
      <xdr:spPr>
        <a:xfrm>
          <a:off x="1657350" y="3937000"/>
          <a:ext cx="3422650" cy="603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kern="1200"/>
            <a:t>Day No.1:</a:t>
          </a:r>
          <a:r>
            <a:rPr lang="en-US" sz="1000" kern="1200" baseline="0"/>
            <a:t> Loss of LTO and HPS product during a troble shooting on HPS-2. Data cannot be compared to LICENSOR data</a:t>
          </a:r>
          <a:endParaRPr lang="en-US" sz="1000" kern="1200"/>
        </a:p>
      </xdr:txBody>
    </xdr:sp>
    <xdr:clientData/>
  </xdr:twoCellAnchor>
  <xdr:twoCellAnchor>
    <xdr:from>
      <xdr:col>29</xdr:col>
      <xdr:colOff>512721</xdr:colOff>
      <xdr:row>2</xdr:row>
      <xdr:rowOff>158750</xdr:rowOff>
    </xdr:from>
    <xdr:to>
      <xdr:col>44</xdr:col>
      <xdr:colOff>354677</xdr:colOff>
      <xdr:row>32</xdr:row>
      <xdr:rowOff>95250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3568D73E-D4C6-6F4D-09DF-4A7B23A73A86}"/>
            </a:ext>
          </a:extLst>
        </xdr:cNvPr>
        <xdr:cNvGrpSpPr/>
      </xdr:nvGrpSpPr>
      <xdr:grpSpPr>
        <a:xfrm>
          <a:off x="17905371" y="539750"/>
          <a:ext cx="8700206" cy="5651500"/>
          <a:chOff x="265071" y="423718"/>
          <a:chExt cx="9384274" cy="5339773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6FD57A37-CB21-4EFF-8D53-3305C1F6AFBF}"/>
              </a:ext>
            </a:extLst>
          </xdr:cNvPr>
          <xdr:cNvGraphicFramePr>
            <a:graphicFrameLocks/>
          </xdr:cNvGraphicFramePr>
        </xdr:nvGraphicFramePr>
        <xdr:xfrm>
          <a:off x="265071" y="423718"/>
          <a:ext cx="9384274" cy="53397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7" name="Rectangle: Diagonal Corners Snipped 16">
            <a:extLst>
              <a:ext uri="{FF2B5EF4-FFF2-40B4-BE49-F238E27FC236}">
                <a16:creationId xmlns:a16="http://schemas.microsoft.com/office/drawing/2014/main" id="{C9B414D0-DFA9-53C8-FEB7-784219ADF272}"/>
              </a:ext>
            </a:extLst>
          </xdr:cNvPr>
          <xdr:cNvSpPr/>
        </xdr:nvSpPr>
        <xdr:spPr>
          <a:xfrm>
            <a:off x="1518955" y="980886"/>
            <a:ext cx="1162050" cy="251340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20" name="Rectangle: Diagonal Corners Snipped 19">
            <a:extLst>
              <a:ext uri="{FF2B5EF4-FFF2-40B4-BE49-F238E27FC236}">
                <a16:creationId xmlns:a16="http://schemas.microsoft.com/office/drawing/2014/main" id="{5F5B807A-A6B1-4E39-D8C0-F86FECEE643A}"/>
              </a:ext>
            </a:extLst>
          </xdr:cNvPr>
          <xdr:cNvSpPr/>
        </xdr:nvSpPr>
        <xdr:spPr>
          <a:xfrm>
            <a:off x="3482686" y="987513"/>
            <a:ext cx="1169881" cy="251340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21" name="Rectangle: Diagonal Corners Snipped 20">
            <a:extLst>
              <a:ext uri="{FF2B5EF4-FFF2-40B4-BE49-F238E27FC236}">
                <a16:creationId xmlns:a16="http://schemas.microsoft.com/office/drawing/2014/main" id="{EB6A6B09-6C53-F48B-8557-72E4F82ED08F}"/>
              </a:ext>
            </a:extLst>
          </xdr:cNvPr>
          <xdr:cNvSpPr/>
        </xdr:nvSpPr>
        <xdr:spPr>
          <a:xfrm>
            <a:off x="5891570" y="987513"/>
            <a:ext cx="1177712" cy="251340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  <xdr:twoCellAnchor>
    <xdr:from>
      <xdr:col>0</xdr:col>
      <xdr:colOff>361950</xdr:colOff>
      <xdr:row>2</xdr:row>
      <xdr:rowOff>136525</xdr:rowOff>
    </xdr:from>
    <xdr:to>
      <xdr:col>14</xdr:col>
      <xdr:colOff>540456</xdr:colOff>
      <xdr:row>32</xdr:row>
      <xdr:rowOff>73025</xdr:rowOff>
    </xdr:to>
    <xdr:grpSp>
      <xdr:nvGrpSpPr>
        <xdr:cNvPr id="92" name="Group 91">
          <a:extLst>
            <a:ext uri="{FF2B5EF4-FFF2-40B4-BE49-F238E27FC236}">
              <a16:creationId xmlns:a16="http://schemas.microsoft.com/office/drawing/2014/main" id="{6ADBCC14-2BB8-3C38-AB55-CF188800AA1E}"/>
            </a:ext>
          </a:extLst>
        </xdr:cNvPr>
        <xdr:cNvGrpSpPr/>
      </xdr:nvGrpSpPr>
      <xdr:grpSpPr>
        <a:xfrm>
          <a:off x="361950" y="517525"/>
          <a:ext cx="8712906" cy="5651500"/>
          <a:chOff x="9809018" y="439374"/>
          <a:chExt cx="9395243" cy="5346982"/>
        </a:xfrm>
      </xdr:grpSpPr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A052BE36-26EA-428A-8DCE-1A37687702BC}"/>
              </a:ext>
            </a:extLst>
          </xdr:cNvPr>
          <xdr:cNvGraphicFramePr>
            <a:graphicFrameLocks/>
          </xdr:cNvGraphicFramePr>
        </xdr:nvGraphicFramePr>
        <xdr:xfrm>
          <a:off x="9809018" y="439374"/>
          <a:ext cx="9395243" cy="53469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2" name="Rectangle: Diagonal Corners Snipped 21">
            <a:extLst>
              <a:ext uri="{FF2B5EF4-FFF2-40B4-BE49-F238E27FC236}">
                <a16:creationId xmlns:a16="http://schemas.microsoft.com/office/drawing/2014/main" id="{D13471DA-B7DD-5AEA-C7B2-EE23195C714C}"/>
              </a:ext>
            </a:extLst>
          </xdr:cNvPr>
          <xdr:cNvSpPr/>
        </xdr:nvSpPr>
        <xdr:spPr>
          <a:xfrm>
            <a:off x="11272555" y="980886"/>
            <a:ext cx="1162050" cy="251340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23" name="Rectangle: Diagonal Corners Snipped 22">
            <a:extLst>
              <a:ext uri="{FF2B5EF4-FFF2-40B4-BE49-F238E27FC236}">
                <a16:creationId xmlns:a16="http://schemas.microsoft.com/office/drawing/2014/main" id="{8CEA2591-F9BF-2CF6-F84E-FB9B16F5E819}"/>
              </a:ext>
            </a:extLst>
          </xdr:cNvPr>
          <xdr:cNvSpPr/>
        </xdr:nvSpPr>
        <xdr:spPr>
          <a:xfrm>
            <a:off x="13236286" y="987513"/>
            <a:ext cx="1169881" cy="251340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24" name="Rectangle: Diagonal Corners Snipped 23">
            <a:extLst>
              <a:ext uri="{FF2B5EF4-FFF2-40B4-BE49-F238E27FC236}">
                <a16:creationId xmlns:a16="http://schemas.microsoft.com/office/drawing/2014/main" id="{9B0D10C4-5537-773E-F5A0-A5087EAA2F3B}"/>
              </a:ext>
            </a:extLst>
          </xdr:cNvPr>
          <xdr:cNvSpPr/>
        </xdr:nvSpPr>
        <xdr:spPr>
          <a:xfrm>
            <a:off x="15645170" y="987513"/>
            <a:ext cx="1177712" cy="251340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  <xdr:twoCellAnchor>
    <xdr:from>
      <xdr:col>14</xdr:col>
      <xdr:colOff>591458</xdr:colOff>
      <xdr:row>2</xdr:row>
      <xdr:rowOff>161472</xdr:rowOff>
    </xdr:from>
    <xdr:to>
      <xdr:col>29</xdr:col>
      <xdr:colOff>427064</xdr:colOff>
      <xdr:row>32</xdr:row>
      <xdr:rowOff>85272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1ABE31F6-416E-D0F3-4F92-82429B4A3CBD}"/>
            </a:ext>
          </a:extLst>
        </xdr:cNvPr>
        <xdr:cNvGrpSpPr/>
      </xdr:nvGrpSpPr>
      <xdr:grpSpPr>
        <a:xfrm>
          <a:off x="9125858" y="542472"/>
          <a:ext cx="8693856" cy="5638800"/>
          <a:chOff x="19355955" y="385618"/>
          <a:chExt cx="9395242" cy="5337464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BA1FA1FE-899F-9B6A-97A6-70ED11AC160A}"/>
              </a:ext>
            </a:extLst>
          </xdr:cNvPr>
          <xdr:cNvGraphicFramePr>
            <a:graphicFrameLocks/>
          </xdr:cNvGraphicFramePr>
        </xdr:nvGraphicFramePr>
        <xdr:xfrm>
          <a:off x="19355955" y="385618"/>
          <a:ext cx="9395242" cy="53374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25" name="Rectangle: Diagonal Corners Snipped 24">
            <a:extLst>
              <a:ext uri="{FF2B5EF4-FFF2-40B4-BE49-F238E27FC236}">
                <a16:creationId xmlns:a16="http://schemas.microsoft.com/office/drawing/2014/main" id="{E934A4E5-2CBE-910A-0260-A28580ED0DFB}"/>
              </a:ext>
            </a:extLst>
          </xdr:cNvPr>
          <xdr:cNvSpPr/>
        </xdr:nvSpPr>
        <xdr:spPr>
          <a:xfrm>
            <a:off x="20887609" y="939322"/>
            <a:ext cx="1162050" cy="251340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26" name="Rectangle: Diagonal Corners Snipped 25">
            <a:extLst>
              <a:ext uri="{FF2B5EF4-FFF2-40B4-BE49-F238E27FC236}">
                <a16:creationId xmlns:a16="http://schemas.microsoft.com/office/drawing/2014/main" id="{7670594E-9577-5F6B-8725-4F4A5D63EEDD}"/>
              </a:ext>
            </a:extLst>
          </xdr:cNvPr>
          <xdr:cNvSpPr/>
        </xdr:nvSpPr>
        <xdr:spPr>
          <a:xfrm>
            <a:off x="22851340" y="945949"/>
            <a:ext cx="1169881" cy="251340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27" name="Rectangle: Diagonal Corners Snipped 26">
            <a:extLst>
              <a:ext uri="{FF2B5EF4-FFF2-40B4-BE49-F238E27FC236}">
                <a16:creationId xmlns:a16="http://schemas.microsoft.com/office/drawing/2014/main" id="{127C5A35-A158-BDC8-A249-59E43C4AF6B8}"/>
              </a:ext>
            </a:extLst>
          </xdr:cNvPr>
          <xdr:cNvSpPr/>
        </xdr:nvSpPr>
        <xdr:spPr>
          <a:xfrm>
            <a:off x="25260224" y="945949"/>
            <a:ext cx="1177712" cy="251340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  <xdr:twoCellAnchor>
    <xdr:from>
      <xdr:col>44</xdr:col>
      <xdr:colOff>419100</xdr:colOff>
      <xdr:row>2</xdr:row>
      <xdr:rowOff>155575</xdr:rowOff>
    </xdr:from>
    <xdr:to>
      <xdr:col>59</xdr:col>
      <xdr:colOff>254706</xdr:colOff>
      <xdr:row>32</xdr:row>
      <xdr:rowOff>92075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88106341-091F-6AA9-848D-ADA76759D336}"/>
            </a:ext>
          </a:extLst>
        </xdr:cNvPr>
        <xdr:cNvGrpSpPr/>
      </xdr:nvGrpSpPr>
      <xdr:grpSpPr>
        <a:xfrm>
          <a:off x="26670000" y="536575"/>
          <a:ext cx="8693856" cy="5651500"/>
          <a:chOff x="28852091" y="439593"/>
          <a:chExt cx="9395242" cy="5339773"/>
        </a:xfrm>
      </xdr:grpSpPr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AE591E6E-F69D-460B-ECBB-A7B74784A152}"/>
              </a:ext>
            </a:extLst>
          </xdr:cNvPr>
          <xdr:cNvGraphicFramePr>
            <a:graphicFrameLocks/>
          </xdr:cNvGraphicFramePr>
        </xdr:nvGraphicFramePr>
        <xdr:xfrm>
          <a:off x="28852091" y="439593"/>
          <a:ext cx="9395242" cy="53397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28" name="Rectangle: Diagonal Corners Snipped 27">
            <a:extLst>
              <a:ext uri="{FF2B5EF4-FFF2-40B4-BE49-F238E27FC236}">
                <a16:creationId xmlns:a16="http://schemas.microsoft.com/office/drawing/2014/main" id="{B9198345-425F-66DC-D1DB-DAAB06B2FCF5}"/>
              </a:ext>
            </a:extLst>
          </xdr:cNvPr>
          <xdr:cNvSpPr/>
        </xdr:nvSpPr>
        <xdr:spPr>
          <a:xfrm>
            <a:off x="30350263" y="980886"/>
            <a:ext cx="1162050" cy="251340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29" name="Rectangle: Diagonal Corners Snipped 28">
            <a:extLst>
              <a:ext uri="{FF2B5EF4-FFF2-40B4-BE49-F238E27FC236}">
                <a16:creationId xmlns:a16="http://schemas.microsoft.com/office/drawing/2014/main" id="{19FF290E-B8B9-DF5D-61EA-24C8323888B2}"/>
              </a:ext>
            </a:extLst>
          </xdr:cNvPr>
          <xdr:cNvSpPr/>
        </xdr:nvSpPr>
        <xdr:spPr>
          <a:xfrm>
            <a:off x="32313994" y="987513"/>
            <a:ext cx="1169881" cy="251340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30" name="Rectangle: Diagonal Corners Snipped 29">
            <a:extLst>
              <a:ext uri="{FF2B5EF4-FFF2-40B4-BE49-F238E27FC236}">
                <a16:creationId xmlns:a16="http://schemas.microsoft.com/office/drawing/2014/main" id="{C3DD1DDF-D922-89EF-3078-2344B9943AD6}"/>
              </a:ext>
            </a:extLst>
          </xdr:cNvPr>
          <xdr:cNvSpPr/>
        </xdr:nvSpPr>
        <xdr:spPr>
          <a:xfrm>
            <a:off x="34722878" y="987513"/>
            <a:ext cx="1177712" cy="251340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  <xdr:twoCellAnchor>
    <xdr:from>
      <xdr:col>44</xdr:col>
      <xdr:colOff>425450</xdr:colOff>
      <xdr:row>32</xdr:row>
      <xdr:rowOff>158750</xdr:rowOff>
    </xdr:from>
    <xdr:to>
      <xdr:col>59</xdr:col>
      <xdr:colOff>261056</xdr:colOff>
      <xdr:row>62</xdr:row>
      <xdr:rowOff>82550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3546E08E-8610-F24F-14B2-E047E1679EDE}"/>
            </a:ext>
          </a:extLst>
        </xdr:cNvPr>
        <xdr:cNvGrpSpPr/>
      </xdr:nvGrpSpPr>
      <xdr:grpSpPr>
        <a:xfrm>
          <a:off x="26676350" y="6254750"/>
          <a:ext cx="8693856" cy="5638800"/>
          <a:chOff x="28858441" y="5865091"/>
          <a:chExt cx="9395242" cy="5327073"/>
        </a:xfrm>
      </xdr:grpSpPr>
      <xdr:graphicFrame macro="">
        <xdr:nvGraphicFramePr>
          <xdr:cNvPr id="16" name="Chart 15">
            <a:extLst>
              <a:ext uri="{FF2B5EF4-FFF2-40B4-BE49-F238E27FC236}">
                <a16:creationId xmlns:a16="http://schemas.microsoft.com/office/drawing/2014/main" id="{12D6A2B7-8038-0E32-A2F7-69C1B09B89A0}"/>
              </a:ext>
            </a:extLst>
          </xdr:cNvPr>
          <xdr:cNvGraphicFramePr>
            <a:graphicFrameLocks/>
          </xdr:cNvGraphicFramePr>
        </xdr:nvGraphicFramePr>
        <xdr:xfrm>
          <a:off x="28858441" y="5865091"/>
          <a:ext cx="9395242" cy="53270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31" name="Rectangle: Diagonal Corners Snipped 30">
            <a:extLst>
              <a:ext uri="{FF2B5EF4-FFF2-40B4-BE49-F238E27FC236}">
                <a16:creationId xmlns:a16="http://schemas.microsoft.com/office/drawing/2014/main" id="{A1D9052A-06BE-8E9D-B5FD-797134DA1168}"/>
              </a:ext>
            </a:extLst>
          </xdr:cNvPr>
          <xdr:cNvSpPr/>
        </xdr:nvSpPr>
        <xdr:spPr>
          <a:xfrm>
            <a:off x="30336407" y="6425722"/>
            <a:ext cx="1162050" cy="251340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32" name="Rectangle: Diagonal Corners Snipped 31">
            <a:extLst>
              <a:ext uri="{FF2B5EF4-FFF2-40B4-BE49-F238E27FC236}">
                <a16:creationId xmlns:a16="http://schemas.microsoft.com/office/drawing/2014/main" id="{DD21EA3E-D82B-2743-61E3-2A42CD75F860}"/>
              </a:ext>
            </a:extLst>
          </xdr:cNvPr>
          <xdr:cNvSpPr/>
        </xdr:nvSpPr>
        <xdr:spPr>
          <a:xfrm>
            <a:off x="32300138" y="6432349"/>
            <a:ext cx="1169881" cy="251340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33" name="Rectangle: Diagonal Corners Snipped 32">
            <a:extLst>
              <a:ext uri="{FF2B5EF4-FFF2-40B4-BE49-F238E27FC236}">
                <a16:creationId xmlns:a16="http://schemas.microsoft.com/office/drawing/2014/main" id="{5EA008F0-2629-AE2F-306A-FA928AA80167}"/>
              </a:ext>
            </a:extLst>
          </xdr:cNvPr>
          <xdr:cNvSpPr/>
        </xdr:nvSpPr>
        <xdr:spPr>
          <a:xfrm>
            <a:off x="34709022" y="6432349"/>
            <a:ext cx="1177712" cy="251340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  <xdr:twoCellAnchor>
    <xdr:from>
      <xdr:col>44</xdr:col>
      <xdr:colOff>412750</xdr:colOff>
      <xdr:row>62</xdr:row>
      <xdr:rowOff>161925</xdr:rowOff>
    </xdr:from>
    <xdr:to>
      <xdr:col>59</xdr:col>
      <xdr:colOff>242006</xdr:colOff>
      <xdr:row>92</xdr:row>
      <xdr:rowOff>85725</xdr:rowOff>
    </xdr:to>
    <xdr:grpSp>
      <xdr:nvGrpSpPr>
        <xdr:cNvPr id="107" name="Group 106">
          <a:extLst>
            <a:ext uri="{FF2B5EF4-FFF2-40B4-BE49-F238E27FC236}">
              <a16:creationId xmlns:a16="http://schemas.microsoft.com/office/drawing/2014/main" id="{485B1666-B41E-B1CF-75B1-C8306A00856F}"/>
            </a:ext>
          </a:extLst>
        </xdr:cNvPr>
        <xdr:cNvGrpSpPr/>
      </xdr:nvGrpSpPr>
      <xdr:grpSpPr>
        <a:xfrm>
          <a:off x="26663650" y="11972925"/>
          <a:ext cx="8687506" cy="5638800"/>
          <a:chOff x="28983940" y="11500485"/>
          <a:chExt cx="9430456" cy="5410200"/>
        </a:xfrm>
      </xdr:grpSpPr>
      <xdr:graphicFrame macro="">
        <xdr:nvGraphicFramePr>
          <xdr:cNvPr id="18" name="Chart 17">
            <a:extLst>
              <a:ext uri="{FF2B5EF4-FFF2-40B4-BE49-F238E27FC236}">
                <a16:creationId xmlns:a16="http://schemas.microsoft.com/office/drawing/2014/main" id="{0B0EB143-BD48-A380-48BA-3222F3BC0868}"/>
              </a:ext>
            </a:extLst>
          </xdr:cNvPr>
          <xdr:cNvGraphicFramePr>
            <a:graphicFrameLocks/>
          </xdr:cNvGraphicFramePr>
        </xdr:nvGraphicFramePr>
        <xdr:xfrm>
          <a:off x="28983940" y="11500485"/>
          <a:ext cx="9430456" cy="5410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4" name="Rectangle: Diagonal Corners Snipped 33">
            <a:extLst>
              <a:ext uri="{FF2B5EF4-FFF2-40B4-BE49-F238E27FC236}">
                <a16:creationId xmlns:a16="http://schemas.microsoft.com/office/drawing/2014/main" id="{24D7EC73-DF7E-8E68-9AC4-5DF68134BAAF}"/>
              </a:ext>
            </a:extLst>
          </xdr:cNvPr>
          <xdr:cNvSpPr/>
        </xdr:nvSpPr>
        <xdr:spPr>
          <a:xfrm>
            <a:off x="30450013" y="12050667"/>
            <a:ext cx="1164821" cy="256882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35" name="Rectangle: Diagonal Corners Snipped 34">
            <a:extLst>
              <a:ext uri="{FF2B5EF4-FFF2-40B4-BE49-F238E27FC236}">
                <a16:creationId xmlns:a16="http://schemas.microsoft.com/office/drawing/2014/main" id="{6A2BFC92-26A0-6F19-BA78-784C14BF21BA}"/>
              </a:ext>
            </a:extLst>
          </xdr:cNvPr>
          <xdr:cNvSpPr/>
        </xdr:nvSpPr>
        <xdr:spPr>
          <a:xfrm>
            <a:off x="32422057" y="12057294"/>
            <a:ext cx="1175422" cy="256882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36" name="Rectangle: Diagonal Corners Snipped 35">
            <a:extLst>
              <a:ext uri="{FF2B5EF4-FFF2-40B4-BE49-F238E27FC236}">
                <a16:creationId xmlns:a16="http://schemas.microsoft.com/office/drawing/2014/main" id="{6EBE1B81-4EA7-DC60-DE0C-C2DEFDD70029}"/>
              </a:ext>
            </a:extLst>
          </xdr:cNvPr>
          <xdr:cNvSpPr/>
        </xdr:nvSpPr>
        <xdr:spPr>
          <a:xfrm>
            <a:off x="34842024" y="12057294"/>
            <a:ext cx="1180483" cy="256882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  <xdr:twoCellAnchor>
    <xdr:from>
      <xdr:col>44</xdr:col>
      <xdr:colOff>419100</xdr:colOff>
      <xdr:row>92</xdr:row>
      <xdr:rowOff>155575</xdr:rowOff>
    </xdr:from>
    <xdr:to>
      <xdr:col>59</xdr:col>
      <xdr:colOff>261056</xdr:colOff>
      <xdr:row>122</xdr:row>
      <xdr:rowOff>92075</xdr:rowOff>
    </xdr:to>
    <xdr:grpSp>
      <xdr:nvGrpSpPr>
        <xdr:cNvPr id="106" name="Group 105">
          <a:extLst>
            <a:ext uri="{FF2B5EF4-FFF2-40B4-BE49-F238E27FC236}">
              <a16:creationId xmlns:a16="http://schemas.microsoft.com/office/drawing/2014/main" id="{9E16B78D-2E99-0E29-1695-D200E7A11480}"/>
            </a:ext>
          </a:extLst>
        </xdr:cNvPr>
        <xdr:cNvGrpSpPr/>
      </xdr:nvGrpSpPr>
      <xdr:grpSpPr>
        <a:xfrm>
          <a:off x="26670000" y="17681575"/>
          <a:ext cx="8700206" cy="5651500"/>
          <a:chOff x="28875990" y="17011015"/>
          <a:chExt cx="9443156" cy="5430520"/>
        </a:xfrm>
      </xdr:grpSpPr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992CD6DA-0CBB-BD65-AB2D-6FADC71D909E}"/>
              </a:ext>
            </a:extLst>
          </xdr:cNvPr>
          <xdr:cNvGraphicFramePr>
            <a:graphicFrameLocks/>
          </xdr:cNvGraphicFramePr>
        </xdr:nvGraphicFramePr>
        <xdr:xfrm>
          <a:off x="28875990" y="17011015"/>
          <a:ext cx="9443156" cy="54305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37" name="Rectangle: Diagonal Corners Snipped 36">
            <a:extLst>
              <a:ext uri="{FF2B5EF4-FFF2-40B4-BE49-F238E27FC236}">
                <a16:creationId xmlns:a16="http://schemas.microsoft.com/office/drawing/2014/main" id="{15D3FA4D-4F92-22BD-1214-4C413B4BE2C1}"/>
              </a:ext>
            </a:extLst>
          </xdr:cNvPr>
          <xdr:cNvSpPr/>
        </xdr:nvSpPr>
        <xdr:spPr>
          <a:xfrm>
            <a:off x="30422302" y="17581401"/>
            <a:ext cx="1164821" cy="254111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38" name="Rectangle: Diagonal Corners Snipped 37">
            <a:extLst>
              <a:ext uri="{FF2B5EF4-FFF2-40B4-BE49-F238E27FC236}">
                <a16:creationId xmlns:a16="http://schemas.microsoft.com/office/drawing/2014/main" id="{1854C0BB-A985-A50D-9841-5604FA51B3B1}"/>
              </a:ext>
            </a:extLst>
          </xdr:cNvPr>
          <xdr:cNvSpPr/>
        </xdr:nvSpPr>
        <xdr:spPr>
          <a:xfrm>
            <a:off x="32394346" y="17588028"/>
            <a:ext cx="1175422" cy="254111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39" name="Rectangle: Diagonal Corners Snipped 38">
            <a:extLst>
              <a:ext uri="{FF2B5EF4-FFF2-40B4-BE49-F238E27FC236}">
                <a16:creationId xmlns:a16="http://schemas.microsoft.com/office/drawing/2014/main" id="{8E4D4E5A-8E81-5FF1-6CB8-3F5B56509E6B}"/>
              </a:ext>
            </a:extLst>
          </xdr:cNvPr>
          <xdr:cNvSpPr/>
        </xdr:nvSpPr>
        <xdr:spPr>
          <a:xfrm>
            <a:off x="34811542" y="17588028"/>
            <a:ext cx="1183254" cy="254111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  <xdr:twoCellAnchor>
    <xdr:from>
      <xdr:col>29</xdr:col>
      <xdr:colOff>508002</xdr:colOff>
      <xdr:row>92</xdr:row>
      <xdr:rowOff>155597</xdr:rowOff>
    </xdr:from>
    <xdr:to>
      <xdr:col>44</xdr:col>
      <xdr:colOff>356309</xdr:colOff>
      <xdr:row>122</xdr:row>
      <xdr:rowOff>84484</xdr:rowOff>
    </xdr:to>
    <xdr:grpSp>
      <xdr:nvGrpSpPr>
        <xdr:cNvPr id="103" name="Group 102">
          <a:extLst>
            <a:ext uri="{FF2B5EF4-FFF2-40B4-BE49-F238E27FC236}">
              <a16:creationId xmlns:a16="http://schemas.microsoft.com/office/drawing/2014/main" id="{CCF757AF-6F6C-72A9-87DC-AB508E27283C}"/>
            </a:ext>
          </a:extLst>
        </xdr:cNvPr>
        <xdr:cNvGrpSpPr/>
      </xdr:nvGrpSpPr>
      <xdr:grpSpPr>
        <a:xfrm>
          <a:off x="17900652" y="17681597"/>
          <a:ext cx="8706557" cy="5643887"/>
          <a:chOff x="19228955" y="16668461"/>
          <a:chExt cx="9407942" cy="5332153"/>
        </a:xfrm>
      </xdr:grpSpPr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17D46ACB-BC3F-AF7B-0909-8283CB91BDF9}"/>
              </a:ext>
            </a:extLst>
          </xdr:cNvPr>
          <xdr:cNvGraphicFramePr>
            <a:graphicFrameLocks/>
          </xdr:cNvGraphicFramePr>
        </xdr:nvGraphicFramePr>
        <xdr:xfrm>
          <a:off x="19228955" y="16668461"/>
          <a:ext cx="9407942" cy="53321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40" name="Rectangle: Diagonal Corners Snipped 39">
            <a:extLst>
              <a:ext uri="{FF2B5EF4-FFF2-40B4-BE49-F238E27FC236}">
                <a16:creationId xmlns:a16="http://schemas.microsoft.com/office/drawing/2014/main" id="{3D6D3C49-6567-6E1B-68B4-C6BDEDBFD9D7}"/>
              </a:ext>
            </a:extLst>
          </xdr:cNvPr>
          <xdr:cNvSpPr/>
        </xdr:nvSpPr>
        <xdr:spPr>
          <a:xfrm>
            <a:off x="20776765" y="17218411"/>
            <a:ext cx="1162050" cy="251340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41" name="Rectangle: Diagonal Corners Snipped 40">
            <a:extLst>
              <a:ext uri="{FF2B5EF4-FFF2-40B4-BE49-F238E27FC236}">
                <a16:creationId xmlns:a16="http://schemas.microsoft.com/office/drawing/2014/main" id="{8F1E9599-0158-E69A-7135-75E1DF392299}"/>
              </a:ext>
            </a:extLst>
          </xdr:cNvPr>
          <xdr:cNvSpPr/>
        </xdr:nvSpPr>
        <xdr:spPr>
          <a:xfrm>
            <a:off x="22740496" y="17225038"/>
            <a:ext cx="1169881" cy="251340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42" name="Rectangle: Diagonal Corners Snipped 41">
            <a:extLst>
              <a:ext uri="{FF2B5EF4-FFF2-40B4-BE49-F238E27FC236}">
                <a16:creationId xmlns:a16="http://schemas.microsoft.com/office/drawing/2014/main" id="{7CD50E13-46E3-CA66-95C0-B33A97008CCA}"/>
              </a:ext>
            </a:extLst>
          </xdr:cNvPr>
          <xdr:cNvSpPr/>
        </xdr:nvSpPr>
        <xdr:spPr>
          <a:xfrm>
            <a:off x="25149380" y="17225038"/>
            <a:ext cx="1177712" cy="251340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  <xdr:twoCellAnchor>
    <xdr:from>
      <xdr:col>29</xdr:col>
      <xdr:colOff>508000</xdr:colOff>
      <xdr:row>62</xdr:row>
      <xdr:rowOff>155575</xdr:rowOff>
    </xdr:from>
    <xdr:to>
      <xdr:col>44</xdr:col>
      <xdr:colOff>356306</xdr:colOff>
      <xdr:row>92</xdr:row>
      <xdr:rowOff>92075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A02FE198-B544-B751-1DF7-7F87153399ED}"/>
            </a:ext>
          </a:extLst>
        </xdr:cNvPr>
        <xdr:cNvGrpSpPr/>
      </xdr:nvGrpSpPr>
      <xdr:grpSpPr>
        <a:xfrm>
          <a:off x="17900650" y="11966575"/>
          <a:ext cx="8706556" cy="5651500"/>
          <a:chOff x="9821718" y="16668461"/>
          <a:chExt cx="9407943" cy="5339773"/>
        </a:xfrm>
      </xdr:grpSpPr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063EB83C-5F76-5CAF-D9AE-A27274EA19D9}"/>
              </a:ext>
            </a:extLst>
          </xdr:cNvPr>
          <xdr:cNvGraphicFramePr>
            <a:graphicFrameLocks/>
          </xdr:cNvGraphicFramePr>
        </xdr:nvGraphicFramePr>
        <xdr:xfrm>
          <a:off x="9821718" y="16668461"/>
          <a:ext cx="9407943" cy="53397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43" name="Rectangle: Diagonal Corners Snipped 42">
            <a:extLst>
              <a:ext uri="{FF2B5EF4-FFF2-40B4-BE49-F238E27FC236}">
                <a16:creationId xmlns:a16="http://schemas.microsoft.com/office/drawing/2014/main" id="{BA7C2C5E-4F0E-8293-3061-4135BC402DE6}"/>
              </a:ext>
            </a:extLst>
          </xdr:cNvPr>
          <xdr:cNvSpPr/>
        </xdr:nvSpPr>
        <xdr:spPr>
          <a:xfrm>
            <a:off x="11314108" y="17232265"/>
            <a:ext cx="1162050" cy="251340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44" name="Rectangle: Diagonal Corners Snipped 43">
            <a:extLst>
              <a:ext uri="{FF2B5EF4-FFF2-40B4-BE49-F238E27FC236}">
                <a16:creationId xmlns:a16="http://schemas.microsoft.com/office/drawing/2014/main" id="{676283C4-0C8B-092C-B821-5D1312E8F225}"/>
              </a:ext>
            </a:extLst>
          </xdr:cNvPr>
          <xdr:cNvSpPr/>
        </xdr:nvSpPr>
        <xdr:spPr>
          <a:xfrm>
            <a:off x="13277839" y="17238892"/>
            <a:ext cx="1169881" cy="251340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45" name="Rectangle: Diagonal Corners Snipped 44">
            <a:extLst>
              <a:ext uri="{FF2B5EF4-FFF2-40B4-BE49-F238E27FC236}">
                <a16:creationId xmlns:a16="http://schemas.microsoft.com/office/drawing/2014/main" id="{7091164E-CCF2-5F68-8D8C-49A9BDF82D59}"/>
              </a:ext>
            </a:extLst>
          </xdr:cNvPr>
          <xdr:cNvSpPr/>
        </xdr:nvSpPr>
        <xdr:spPr>
          <a:xfrm>
            <a:off x="15686723" y="17238892"/>
            <a:ext cx="1177712" cy="251340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  <xdr:twoCellAnchor>
    <xdr:from>
      <xdr:col>0</xdr:col>
      <xdr:colOff>344055</xdr:colOff>
      <xdr:row>92</xdr:row>
      <xdr:rowOff>131330</xdr:rowOff>
    </xdr:from>
    <xdr:to>
      <xdr:col>14</xdr:col>
      <xdr:colOff>528911</xdr:colOff>
      <xdr:row>122</xdr:row>
      <xdr:rowOff>67830</xdr:rowOff>
    </xdr:to>
    <xdr:grpSp>
      <xdr:nvGrpSpPr>
        <xdr:cNvPr id="101" name="Group 100">
          <a:extLst>
            <a:ext uri="{FF2B5EF4-FFF2-40B4-BE49-F238E27FC236}">
              <a16:creationId xmlns:a16="http://schemas.microsoft.com/office/drawing/2014/main" id="{87EB52CB-37AE-A25C-56DC-2A35A8AF5D04}"/>
            </a:ext>
          </a:extLst>
        </xdr:cNvPr>
        <xdr:cNvGrpSpPr/>
      </xdr:nvGrpSpPr>
      <xdr:grpSpPr>
        <a:xfrm>
          <a:off x="344055" y="17657330"/>
          <a:ext cx="8719256" cy="5651500"/>
          <a:chOff x="342900" y="16649411"/>
          <a:chExt cx="9384274" cy="5339773"/>
        </a:xfrm>
      </xdr:grpSpPr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C34FA357-807F-A0C2-9DFD-43B5FD9633A8}"/>
              </a:ext>
            </a:extLst>
          </xdr:cNvPr>
          <xdr:cNvGraphicFramePr>
            <a:graphicFrameLocks/>
          </xdr:cNvGraphicFramePr>
        </xdr:nvGraphicFramePr>
        <xdr:xfrm>
          <a:off x="342900" y="16649411"/>
          <a:ext cx="9384274" cy="53397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46" name="Rectangle: Diagonal Corners Snipped 45">
            <a:extLst>
              <a:ext uri="{FF2B5EF4-FFF2-40B4-BE49-F238E27FC236}">
                <a16:creationId xmlns:a16="http://schemas.microsoft.com/office/drawing/2014/main" id="{F98099E5-132D-E6AF-5DF9-384E1CD4677B}"/>
              </a:ext>
            </a:extLst>
          </xdr:cNvPr>
          <xdr:cNvSpPr/>
        </xdr:nvSpPr>
        <xdr:spPr>
          <a:xfrm>
            <a:off x="1851451" y="17218410"/>
            <a:ext cx="1162050" cy="251340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47" name="Rectangle: Diagonal Corners Snipped 46">
            <a:extLst>
              <a:ext uri="{FF2B5EF4-FFF2-40B4-BE49-F238E27FC236}">
                <a16:creationId xmlns:a16="http://schemas.microsoft.com/office/drawing/2014/main" id="{68E89E90-65F7-82BC-267B-9D1C668FB693}"/>
              </a:ext>
            </a:extLst>
          </xdr:cNvPr>
          <xdr:cNvSpPr/>
        </xdr:nvSpPr>
        <xdr:spPr>
          <a:xfrm>
            <a:off x="3815182" y="17225037"/>
            <a:ext cx="1169881" cy="251340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48" name="Rectangle: Diagonal Corners Snipped 47">
            <a:extLst>
              <a:ext uri="{FF2B5EF4-FFF2-40B4-BE49-F238E27FC236}">
                <a16:creationId xmlns:a16="http://schemas.microsoft.com/office/drawing/2014/main" id="{93C60B68-E393-0B42-147B-576A70CC03DD}"/>
              </a:ext>
            </a:extLst>
          </xdr:cNvPr>
          <xdr:cNvSpPr/>
        </xdr:nvSpPr>
        <xdr:spPr>
          <a:xfrm>
            <a:off x="6224066" y="17225037"/>
            <a:ext cx="1177712" cy="251340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  <xdr:twoCellAnchor>
    <xdr:from>
      <xdr:col>0</xdr:col>
      <xdr:colOff>317500</xdr:colOff>
      <xdr:row>62</xdr:row>
      <xdr:rowOff>94961</xdr:rowOff>
    </xdr:from>
    <xdr:to>
      <xdr:col>14</xdr:col>
      <xdr:colOff>508706</xdr:colOff>
      <xdr:row>92</xdr:row>
      <xdr:rowOff>31461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F5A83221-831D-F7D8-C5BD-A71AC539795A}"/>
            </a:ext>
          </a:extLst>
        </xdr:cNvPr>
        <xdr:cNvGrpSpPr/>
      </xdr:nvGrpSpPr>
      <xdr:grpSpPr>
        <a:xfrm>
          <a:off x="317500" y="11905961"/>
          <a:ext cx="8725606" cy="5651500"/>
          <a:chOff x="317500" y="11261725"/>
          <a:chExt cx="9390624" cy="5339772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986925AA-182D-23FD-C58E-FAD1F603EF22}"/>
              </a:ext>
            </a:extLst>
          </xdr:cNvPr>
          <xdr:cNvGraphicFramePr>
            <a:graphicFrameLocks/>
          </xdr:cNvGraphicFramePr>
        </xdr:nvGraphicFramePr>
        <xdr:xfrm>
          <a:off x="317500" y="11261725"/>
          <a:ext cx="9390624" cy="53397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52" name="Rectangle: Diagonal Corners Snipped 51">
            <a:extLst>
              <a:ext uri="{FF2B5EF4-FFF2-40B4-BE49-F238E27FC236}">
                <a16:creationId xmlns:a16="http://schemas.microsoft.com/office/drawing/2014/main" id="{9E8462EE-60EF-CDEF-C1E2-B23A7B13B38E}"/>
              </a:ext>
            </a:extLst>
          </xdr:cNvPr>
          <xdr:cNvSpPr/>
        </xdr:nvSpPr>
        <xdr:spPr>
          <a:xfrm>
            <a:off x="1643633" y="11815137"/>
            <a:ext cx="1162050" cy="251340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53" name="Rectangle: Diagonal Corners Snipped 52">
            <a:extLst>
              <a:ext uri="{FF2B5EF4-FFF2-40B4-BE49-F238E27FC236}">
                <a16:creationId xmlns:a16="http://schemas.microsoft.com/office/drawing/2014/main" id="{FC73BD28-5884-451A-6A75-1B92FA8445B1}"/>
              </a:ext>
            </a:extLst>
          </xdr:cNvPr>
          <xdr:cNvSpPr/>
        </xdr:nvSpPr>
        <xdr:spPr>
          <a:xfrm>
            <a:off x="3607364" y="11821764"/>
            <a:ext cx="1169881" cy="251340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54" name="Rectangle: Diagonal Corners Snipped 53">
            <a:extLst>
              <a:ext uri="{FF2B5EF4-FFF2-40B4-BE49-F238E27FC236}">
                <a16:creationId xmlns:a16="http://schemas.microsoft.com/office/drawing/2014/main" id="{BDBDC0A8-344A-C312-84C8-3579FFF0CA36}"/>
              </a:ext>
            </a:extLst>
          </xdr:cNvPr>
          <xdr:cNvSpPr/>
        </xdr:nvSpPr>
        <xdr:spPr>
          <a:xfrm>
            <a:off x="6016248" y="11863328"/>
            <a:ext cx="1177712" cy="251340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  <xdr:twoCellAnchor>
    <xdr:from>
      <xdr:col>29</xdr:col>
      <xdr:colOff>523875</xdr:colOff>
      <xdr:row>32</xdr:row>
      <xdr:rowOff>149225</xdr:rowOff>
    </xdr:from>
    <xdr:to>
      <xdr:col>44</xdr:col>
      <xdr:colOff>359481</xdr:colOff>
      <xdr:row>62</xdr:row>
      <xdr:rowOff>85725</xdr:rowOff>
    </xdr:to>
    <xdr:grpSp>
      <xdr:nvGrpSpPr>
        <xdr:cNvPr id="98" name="Group 97">
          <a:extLst>
            <a:ext uri="{FF2B5EF4-FFF2-40B4-BE49-F238E27FC236}">
              <a16:creationId xmlns:a16="http://schemas.microsoft.com/office/drawing/2014/main" id="{9255C13A-C253-2D08-A329-E8E57FF12B0D}"/>
            </a:ext>
          </a:extLst>
        </xdr:cNvPr>
        <xdr:cNvGrpSpPr/>
      </xdr:nvGrpSpPr>
      <xdr:grpSpPr>
        <a:xfrm>
          <a:off x="17916525" y="6245225"/>
          <a:ext cx="8693856" cy="5651500"/>
          <a:chOff x="295275" y="5836516"/>
          <a:chExt cx="9377924" cy="5339773"/>
        </a:xfrm>
      </xdr:grpSpPr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E972FEB1-79F1-0AE7-F6EA-83B78D234915}"/>
              </a:ext>
            </a:extLst>
          </xdr:cNvPr>
          <xdr:cNvGraphicFramePr>
            <a:graphicFrameLocks/>
          </xdr:cNvGraphicFramePr>
        </xdr:nvGraphicFramePr>
        <xdr:xfrm>
          <a:off x="295275" y="5836516"/>
          <a:ext cx="9377924" cy="53397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55" name="Rectangle: Diagonal Corners Snipped 54">
            <a:extLst>
              <a:ext uri="{FF2B5EF4-FFF2-40B4-BE49-F238E27FC236}">
                <a16:creationId xmlns:a16="http://schemas.microsoft.com/office/drawing/2014/main" id="{A2DE147F-3C19-3832-4A7A-7AE78C739D4A}"/>
              </a:ext>
            </a:extLst>
          </xdr:cNvPr>
          <xdr:cNvSpPr/>
        </xdr:nvSpPr>
        <xdr:spPr>
          <a:xfrm>
            <a:off x="1699052" y="6384156"/>
            <a:ext cx="1162050" cy="251340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56" name="Rectangle: Diagonal Corners Snipped 55">
            <a:extLst>
              <a:ext uri="{FF2B5EF4-FFF2-40B4-BE49-F238E27FC236}">
                <a16:creationId xmlns:a16="http://schemas.microsoft.com/office/drawing/2014/main" id="{1AE22150-94F4-6E3F-802F-8588E0CAB7CF}"/>
              </a:ext>
            </a:extLst>
          </xdr:cNvPr>
          <xdr:cNvSpPr/>
        </xdr:nvSpPr>
        <xdr:spPr>
          <a:xfrm>
            <a:off x="3662783" y="6390783"/>
            <a:ext cx="1169881" cy="251340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57" name="Rectangle: Diagonal Corners Snipped 56">
            <a:extLst>
              <a:ext uri="{FF2B5EF4-FFF2-40B4-BE49-F238E27FC236}">
                <a16:creationId xmlns:a16="http://schemas.microsoft.com/office/drawing/2014/main" id="{76261F81-88B2-3F3E-7FB0-73E382C90322}"/>
              </a:ext>
            </a:extLst>
          </xdr:cNvPr>
          <xdr:cNvSpPr/>
        </xdr:nvSpPr>
        <xdr:spPr>
          <a:xfrm>
            <a:off x="6071667" y="6390783"/>
            <a:ext cx="1177712" cy="251340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  <xdr:twoCellAnchor>
    <xdr:from>
      <xdr:col>0</xdr:col>
      <xdr:colOff>374650</xdr:colOff>
      <xdr:row>32</xdr:row>
      <xdr:rowOff>123825</xdr:rowOff>
    </xdr:from>
    <xdr:to>
      <xdr:col>14</xdr:col>
      <xdr:colOff>553156</xdr:colOff>
      <xdr:row>62</xdr:row>
      <xdr:rowOff>60325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46AFB60B-DECE-E729-5DF6-8B7E54F14DD4}"/>
            </a:ext>
          </a:extLst>
        </xdr:cNvPr>
        <xdr:cNvGrpSpPr/>
      </xdr:nvGrpSpPr>
      <xdr:grpSpPr>
        <a:xfrm>
          <a:off x="374650" y="6219825"/>
          <a:ext cx="8712906" cy="5651500"/>
          <a:chOff x="9783618" y="5868266"/>
          <a:chExt cx="9395243" cy="5339773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2EE89F57-F50F-B38C-3DE5-34ADF41D80B7}"/>
              </a:ext>
            </a:extLst>
          </xdr:cNvPr>
          <xdr:cNvGraphicFramePr>
            <a:graphicFrameLocks/>
          </xdr:cNvGraphicFramePr>
        </xdr:nvGraphicFramePr>
        <xdr:xfrm>
          <a:off x="9783618" y="5868266"/>
          <a:ext cx="9395243" cy="53397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">
        <xdr:nvSpPr>
          <xdr:cNvPr id="58" name="Rectangle: Diagonal Corners Snipped 57">
            <a:extLst>
              <a:ext uri="{FF2B5EF4-FFF2-40B4-BE49-F238E27FC236}">
                <a16:creationId xmlns:a16="http://schemas.microsoft.com/office/drawing/2014/main" id="{9E111A97-AF9F-41E4-B145-7B0C3F611175}"/>
              </a:ext>
            </a:extLst>
          </xdr:cNvPr>
          <xdr:cNvSpPr/>
        </xdr:nvSpPr>
        <xdr:spPr>
          <a:xfrm>
            <a:off x="11258688" y="6439574"/>
            <a:ext cx="1162050" cy="251340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59" name="Rectangle: Diagonal Corners Snipped 58">
            <a:extLst>
              <a:ext uri="{FF2B5EF4-FFF2-40B4-BE49-F238E27FC236}">
                <a16:creationId xmlns:a16="http://schemas.microsoft.com/office/drawing/2014/main" id="{FDBC9EF5-02A7-4C51-A6FC-E8DD0BB33ECA}"/>
              </a:ext>
            </a:extLst>
          </xdr:cNvPr>
          <xdr:cNvSpPr/>
        </xdr:nvSpPr>
        <xdr:spPr>
          <a:xfrm>
            <a:off x="13222419" y="6446201"/>
            <a:ext cx="1169881" cy="251340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60" name="Rectangle: Diagonal Corners Snipped 59">
            <a:extLst>
              <a:ext uri="{FF2B5EF4-FFF2-40B4-BE49-F238E27FC236}">
                <a16:creationId xmlns:a16="http://schemas.microsoft.com/office/drawing/2014/main" id="{DCF5B74E-1CAE-4356-A827-FCD268D3695C}"/>
              </a:ext>
            </a:extLst>
          </xdr:cNvPr>
          <xdr:cNvSpPr/>
        </xdr:nvSpPr>
        <xdr:spPr>
          <a:xfrm>
            <a:off x="15631303" y="6446201"/>
            <a:ext cx="1177712" cy="251340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  <xdr:twoCellAnchor>
    <xdr:from>
      <xdr:col>14</xdr:col>
      <xdr:colOff>581025</xdr:colOff>
      <xdr:row>62</xdr:row>
      <xdr:rowOff>130175</xdr:rowOff>
    </xdr:from>
    <xdr:to>
      <xdr:col>29</xdr:col>
      <xdr:colOff>416631</xdr:colOff>
      <xdr:row>92</xdr:row>
      <xdr:rowOff>66675</xdr:rowOff>
    </xdr:to>
    <xdr:grpSp>
      <xdr:nvGrpSpPr>
        <xdr:cNvPr id="100" name="Group 99">
          <a:extLst>
            <a:ext uri="{FF2B5EF4-FFF2-40B4-BE49-F238E27FC236}">
              <a16:creationId xmlns:a16="http://schemas.microsoft.com/office/drawing/2014/main" id="{478460C9-A352-F1F4-7FCB-EBF7A2B18B3C}"/>
            </a:ext>
          </a:extLst>
        </xdr:cNvPr>
        <xdr:cNvGrpSpPr/>
      </xdr:nvGrpSpPr>
      <xdr:grpSpPr>
        <a:xfrm>
          <a:off x="9115425" y="11941175"/>
          <a:ext cx="8693856" cy="5651500"/>
          <a:chOff x="9780443" y="11296939"/>
          <a:chExt cx="9395243" cy="5339772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B6F2A77F-5273-2F23-C0EE-D8AAE903E25B}"/>
              </a:ext>
            </a:extLst>
          </xdr:cNvPr>
          <xdr:cNvGraphicFramePr>
            <a:graphicFrameLocks/>
          </xdr:cNvGraphicFramePr>
        </xdr:nvGraphicFramePr>
        <xdr:xfrm>
          <a:off x="9780443" y="11296939"/>
          <a:ext cx="9395243" cy="53397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64" name="Rectangle: Diagonal Corners Snipped 63">
            <a:extLst>
              <a:ext uri="{FF2B5EF4-FFF2-40B4-BE49-F238E27FC236}">
                <a16:creationId xmlns:a16="http://schemas.microsoft.com/office/drawing/2014/main" id="{4B0B0DBB-EA2D-4340-B544-A253B1F24C74}"/>
              </a:ext>
            </a:extLst>
          </xdr:cNvPr>
          <xdr:cNvSpPr/>
        </xdr:nvSpPr>
        <xdr:spPr>
          <a:xfrm>
            <a:off x="11230979" y="11842847"/>
            <a:ext cx="1162050" cy="251340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65" name="Rectangle: Diagonal Corners Snipped 64">
            <a:extLst>
              <a:ext uri="{FF2B5EF4-FFF2-40B4-BE49-F238E27FC236}">
                <a16:creationId xmlns:a16="http://schemas.microsoft.com/office/drawing/2014/main" id="{3AB5657C-D6D3-4053-8E12-F8ABDCC465BD}"/>
              </a:ext>
            </a:extLst>
          </xdr:cNvPr>
          <xdr:cNvSpPr/>
        </xdr:nvSpPr>
        <xdr:spPr>
          <a:xfrm>
            <a:off x="13194710" y="11849474"/>
            <a:ext cx="1169881" cy="251340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66" name="Rectangle: Diagonal Corners Snipped 65">
            <a:extLst>
              <a:ext uri="{FF2B5EF4-FFF2-40B4-BE49-F238E27FC236}">
                <a16:creationId xmlns:a16="http://schemas.microsoft.com/office/drawing/2014/main" id="{43B96707-4EA7-4A33-B3E1-D1CB08815984}"/>
              </a:ext>
            </a:extLst>
          </xdr:cNvPr>
          <xdr:cNvSpPr/>
        </xdr:nvSpPr>
        <xdr:spPr>
          <a:xfrm>
            <a:off x="15603594" y="11849474"/>
            <a:ext cx="1177712" cy="251340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  <xdr:twoCellAnchor>
    <xdr:from>
      <xdr:col>14</xdr:col>
      <xdr:colOff>587665</xdr:colOff>
      <xdr:row>92</xdr:row>
      <xdr:rowOff>142875</xdr:rowOff>
    </xdr:from>
    <xdr:to>
      <xdr:col>29</xdr:col>
      <xdr:colOff>416921</xdr:colOff>
      <xdr:row>122</xdr:row>
      <xdr:rowOff>66675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9D3ADA96-7DEE-767F-43D9-C68CC9A2B549}"/>
            </a:ext>
          </a:extLst>
        </xdr:cNvPr>
        <xdr:cNvGrpSpPr/>
      </xdr:nvGrpSpPr>
      <xdr:grpSpPr>
        <a:xfrm>
          <a:off x="9122065" y="17668875"/>
          <a:ext cx="8687506" cy="5638800"/>
          <a:chOff x="19062700" y="12011025"/>
          <a:chExt cx="9259006" cy="5638800"/>
        </a:xfrm>
      </xdr:grpSpPr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02C83B72-F1B5-9ECC-8C97-E7698FFDDB4F}"/>
              </a:ext>
            </a:extLst>
          </xdr:cNvPr>
          <xdr:cNvGraphicFramePr>
            <a:graphicFrameLocks/>
          </xdr:cNvGraphicFramePr>
        </xdr:nvGraphicFramePr>
        <xdr:xfrm>
          <a:off x="19062700" y="12011025"/>
          <a:ext cx="9259006" cy="563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sp macro="" textlink="">
        <xdr:nvSpPr>
          <xdr:cNvPr id="67" name="Rectangle: Diagonal Corners Snipped 66">
            <a:extLst>
              <a:ext uri="{FF2B5EF4-FFF2-40B4-BE49-F238E27FC236}">
                <a16:creationId xmlns:a16="http://schemas.microsoft.com/office/drawing/2014/main" id="{45ACFAD0-2F22-40C4-AD97-CB12C5F2483B}"/>
              </a:ext>
            </a:extLst>
          </xdr:cNvPr>
          <xdr:cNvSpPr/>
        </xdr:nvSpPr>
        <xdr:spPr>
          <a:xfrm>
            <a:off x="20617432" y="12559821"/>
            <a:ext cx="1144732" cy="261731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68" name="Rectangle: Diagonal Corners Snipped 67">
            <a:extLst>
              <a:ext uri="{FF2B5EF4-FFF2-40B4-BE49-F238E27FC236}">
                <a16:creationId xmlns:a16="http://schemas.microsoft.com/office/drawing/2014/main" id="{4C46004C-F5BA-4CFB-AB9B-326A832706CE}"/>
              </a:ext>
            </a:extLst>
          </xdr:cNvPr>
          <xdr:cNvSpPr/>
        </xdr:nvSpPr>
        <xdr:spPr>
          <a:xfrm>
            <a:off x="22555186" y="12566448"/>
            <a:ext cx="1152563" cy="261731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69" name="Rectangle: Diagonal Corners Snipped 68">
            <a:extLst>
              <a:ext uri="{FF2B5EF4-FFF2-40B4-BE49-F238E27FC236}">
                <a16:creationId xmlns:a16="http://schemas.microsoft.com/office/drawing/2014/main" id="{EB722FF0-BA23-4F9F-ACE4-BA38439B3F8E}"/>
              </a:ext>
            </a:extLst>
          </xdr:cNvPr>
          <xdr:cNvSpPr/>
        </xdr:nvSpPr>
        <xdr:spPr>
          <a:xfrm>
            <a:off x="24929434" y="12566448"/>
            <a:ext cx="1169052" cy="261731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  <xdr:twoCellAnchor>
    <xdr:from>
      <xdr:col>14</xdr:col>
      <xdr:colOff>596900</xdr:colOff>
      <xdr:row>32</xdr:row>
      <xdr:rowOff>133350</xdr:rowOff>
    </xdr:from>
    <xdr:to>
      <xdr:col>29</xdr:col>
      <xdr:colOff>432506</xdr:colOff>
      <xdr:row>62</xdr:row>
      <xdr:rowOff>69850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85D46E84-EEB7-F263-D9F7-C5C625BC4FC8}"/>
            </a:ext>
          </a:extLst>
        </xdr:cNvPr>
        <xdr:cNvGrpSpPr/>
      </xdr:nvGrpSpPr>
      <xdr:grpSpPr>
        <a:xfrm>
          <a:off x="9121775" y="6229350"/>
          <a:ext cx="8703381" cy="5651500"/>
          <a:chOff x="19317855" y="5839691"/>
          <a:chExt cx="9395242" cy="533977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7A097AD9-90A6-4604-A4E7-2179322BE9CD}"/>
              </a:ext>
            </a:extLst>
          </xdr:cNvPr>
          <xdr:cNvGraphicFramePr>
            <a:graphicFrameLocks/>
          </xdr:cNvGraphicFramePr>
        </xdr:nvGraphicFramePr>
        <xdr:xfrm>
          <a:off x="19317855" y="5839691"/>
          <a:ext cx="9395242" cy="53397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sp macro="" textlink="">
        <xdr:nvSpPr>
          <xdr:cNvPr id="70" name="Rectangle: Diagonal Corners Snipped 69">
            <a:extLst>
              <a:ext uri="{FF2B5EF4-FFF2-40B4-BE49-F238E27FC236}">
                <a16:creationId xmlns:a16="http://schemas.microsoft.com/office/drawing/2014/main" id="{C11BF229-00DC-42FE-AA7B-BDF64AFCA435}"/>
              </a:ext>
            </a:extLst>
          </xdr:cNvPr>
          <xdr:cNvSpPr/>
        </xdr:nvSpPr>
        <xdr:spPr>
          <a:xfrm>
            <a:off x="20818323" y="6384157"/>
            <a:ext cx="1162050" cy="251340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71" name="Rectangle: Diagonal Corners Snipped 70">
            <a:extLst>
              <a:ext uri="{FF2B5EF4-FFF2-40B4-BE49-F238E27FC236}">
                <a16:creationId xmlns:a16="http://schemas.microsoft.com/office/drawing/2014/main" id="{CB222F38-CF5D-43B9-BAC8-B245D7302634}"/>
              </a:ext>
            </a:extLst>
          </xdr:cNvPr>
          <xdr:cNvSpPr/>
        </xdr:nvSpPr>
        <xdr:spPr>
          <a:xfrm>
            <a:off x="22782054" y="6390784"/>
            <a:ext cx="1169881" cy="251340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72" name="Rectangle: Diagonal Corners Snipped 71">
            <a:extLst>
              <a:ext uri="{FF2B5EF4-FFF2-40B4-BE49-F238E27FC236}">
                <a16:creationId xmlns:a16="http://schemas.microsoft.com/office/drawing/2014/main" id="{49F2DD50-D5A6-46D6-9B90-AC6F8B634033}"/>
              </a:ext>
            </a:extLst>
          </xdr:cNvPr>
          <xdr:cNvSpPr/>
        </xdr:nvSpPr>
        <xdr:spPr>
          <a:xfrm>
            <a:off x="25190938" y="6390784"/>
            <a:ext cx="1177712" cy="251340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  <xdr:twoCellAnchor>
    <xdr:from>
      <xdr:col>0</xdr:col>
      <xdr:colOff>342900</xdr:colOff>
      <xdr:row>122</xdr:row>
      <xdr:rowOff>79375</xdr:rowOff>
    </xdr:from>
    <xdr:to>
      <xdr:col>14</xdr:col>
      <xdr:colOff>527756</xdr:colOff>
      <xdr:row>152</xdr:row>
      <xdr:rowOff>15875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541CE0FF-0E35-F87F-FB7C-27D7582580F9}"/>
            </a:ext>
          </a:extLst>
        </xdr:cNvPr>
        <xdr:cNvGrpSpPr/>
      </xdr:nvGrpSpPr>
      <xdr:grpSpPr>
        <a:xfrm>
          <a:off x="342900" y="23320375"/>
          <a:ext cx="8719256" cy="5651500"/>
          <a:chOff x="342900" y="22052684"/>
          <a:chExt cx="9384274" cy="5339773"/>
        </a:xfrm>
      </xdr:grpSpPr>
      <xdr:graphicFrame macro="">
        <xdr:nvGraphicFramePr>
          <xdr:cNvPr id="76" name="Chart 75">
            <a:extLst>
              <a:ext uri="{FF2B5EF4-FFF2-40B4-BE49-F238E27FC236}">
                <a16:creationId xmlns:a16="http://schemas.microsoft.com/office/drawing/2014/main" id="{C1E387A8-E62B-73AB-D937-72524540701C}"/>
              </a:ext>
            </a:extLst>
          </xdr:cNvPr>
          <xdr:cNvGraphicFramePr>
            <a:graphicFrameLocks/>
          </xdr:cNvGraphicFramePr>
        </xdr:nvGraphicFramePr>
        <xdr:xfrm>
          <a:off x="342900" y="22052684"/>
          <a:ext cx="9384274" cy="53397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sp macro="" textlink="">
        <xdr:nvSpPr>
          <xdr:cNvPr id="79" name="Rectangle: Diagonal Corners Snipped 78">
            <a:extLst>
              <a:ext uri="{FF2B5EF4-FFF2-40B4-BE49-F238E27FC236}">
                <a16:creationId xmlns:a16="http://schemas.microsoft.com/office/drawing/2014/main" id="{DC37E716-4D6B-4290-BD4C-CA600D23BF26}"/>
              </a:ext>
            </a:extLst>
          </xdr:cNvPr>
          <xdr:cNvSpPr/>
        </xdr:nvSpPr>
        <xdr:spPr>
          <a:xfrm>
            <a:off x="1811619" y="22587046"/>
            <a:ext cx="1162050" cy="251340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80" name="Rectangle: Diagonal Corners Snipped 79">
            <a:extLst>
              <a:ext uri="{FF2B5EF4-FFF2-40B4-BE49-F238E27FC236}">
                <a16:creationId xmlns:a16="http://schemas.microsoft.com/office/drawing/2014/main" id="{DF1DC0F3-3E85-4839-A2DF-3FCCA631283E}"/>
              </a:ext>
            </a:extLst>
          </xdr:cNvPr>
          <xdr:cNvSpPr/>
        </xdr:nvSpPr>
        <xdr:spPr>
          <a:xfrm>
            <a:off x="3775350" y="22593673"/>
            <a:ext cx="1169881" cy="261731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81" name="Rectangle: Diagonal Corners Snipped 80">
            <a:extLst>
              <a:ext uri="{FF2B5EF4-FFF2-40B4-BE49-F238E27FC236}">
                <a16:creationId xmlns:a16="http://schemas.microsoft.com/office/drawing/2014/main" id="{B4963C03-3713-476A-ADD9-88E861EA7BFB}"/>
              </a:ext>
            </a:extLst>
          </xdr:cNvPr>
          <xdr:cNvSpPr/>
        </xdr:nvSpPr>
        <xdr:spPr>
          <a:xfrm>
            <a:off x="6184234" y="22593673"/>
            <a:ext cx="1177712" cy="261731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  <xdr:twoCellAnchor>
    <xdr:from>
      <xdr:col>14</xdr:col>
      <xdr:colOff>615043</xdr:colOff>
      <xdr:row>122</xdr:row>
      <xdr:rowOff>79375</xdr:rowOff>
    </xdr:from>
    <xdr:to>
      <xdr:col>29</xdr:col>
      <xdr:colOff>451557</xdr:colOff>
      <xdr:row>152</xdr:row>
      <xdr:rowOff>15875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01D41372-2EBF-585D-DAE8-20A92733292F}"/>
            </a:ext>
          </a:extLst>
        </xdr:cNvPr>
        <xdr:cNvGrpSpPr/>
      </xdr:nvGrpSpPr>
      <xdr:grpSpPr>
        <a:xfrm>
          <a:off x="9120868" y="23320375"/>
          <a:ext cx="8723339" cy="5651500"/>
          <a:chOff x="9814461" y="22052684"/>
          <a:chExt cx="9396151" cy="5339773"/>
        </a:xfrm>
      </xdr:grpSpPr>
      <xdr:graphicFrame macro="">
        <xdr:nvGraphicFramePr>
          <xdr:cNvPr id="77" name="Chart 76">
            <a:extLst>
              <a:ext uri="{FF2B5EF4-FFF2-40B4-BE49-F238E27FC236}">
                <a16:creationId xmlns:a16="http://schemas.microsoft.com/office/drawing/2014/main" id="{46C63749-04A1-8DAF-E15D-FD7D19F2700A}"/>
              </a:ext>
            </a:extLst>
          </xdr:cNvPr>
          <xdr:cNvGraphicFramePr>
            <a:graphicFrameLocks/>
          </xdr:cNvGraphicFramePr>
        </xdr:nvGraphicFramePr>
        <xdr:xfrm>
          <a:off x="9814461" y="22052684"/>
          <a:ext cx="9396151" cy="53397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xdr:sp macro="" textlink="">
        <xdr:nvSpPr>
          <xdr:cNvPr id="84" name="Rectangle: Diagonal Corners Snipped 83">
            <a:extLst>
              <a:ext uri="{FF2B5EF4-FFF2-40B4-BE49-F238E27FC236}">
                <a16:creationId xmlns:a16="http://schemas.microsoft.com/office/drawing/2014/main" id="{1834691C-B211-4ED6-9132-9F7FBBCB2B87}"/>
              </a:ext>
            </a:extLst>
          </xdr:cNvPr>
          <xdr:cNvSpPr/>
        </xdr:nvSpPr>
        <xdr:spPr>
          <a:xfrm>
            <a:off x="11343546" y="22606096"/>
            <a:ext cx="1170710" cy="251340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85" name="Rectangle: Diagonal Corners Snipped 84">
            <a:extLst>
              <a:ext uri="{FF2B5EF4-FFF2-40B4-BE49-F238E27FC236}">
                <a16:creationId xmlns:a16="http://schemas.microsoft.com/office/drawing/2014/main" id="{8001A33B-7439-4FF2-8FE6-DD5F06C697A2}"/>
              </a:ext>
            </a:extLst>
          </xdr:cNvPr>
          <xdr:cNvSpPr/>
        </xdr:nvSpPr>
        <xdr:spPr>
          <a:xfrm>
            <a:off x="13315937" y="22612723"/>
            <a:ext cx="1169880" cy="261731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86" name="Rectangle: Diagonal Corners Snipped 85">
            <a:extLst>
              <a:ext uri="{FF2B5EF4-FFF2-40B4-BE49-F238E27FC236}">
                <a16:creationId xmlns:a16="http://schemas.microsoft.com/office/drawing/2014/main" id="{0F7D8135-DE3D-4BEB-83C8-75DAC7743E04}"/>
              </a:ext>
            </a:extLst>
          </xdr:cNvPr>
          <xdr:cNvSpPr/>
        </xdr:nvSpPr>
        <xdr:spPr>
          <a:xfrm>
            <a:off x="15724820" y="22612723"/>
            <a:ext cx="1177712" cy="261731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  <xdr:twoCellAnchor>
    <xdr:from>
      <xdr:col>29</xdr:col>
      <xdr:colOff>484414</xdr:colOff>
      <xdr:row>122</xdr:row>
      <xdr:rowOff>79374</xdr:rowOff>
    </xdr:from>
    <xdr:to>
      <xdr:col>44</xdr:col>
      <xdr:colOff>320928</xdr:colOff>
      <xdr:row>152</xdr:row>
      <xdr:rowOff>15874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CE55D917-B21A-2C7E-A33B-318ED43122CA}"/>
            </a:ext>
          </a:extLst>
        </xdr:cNvPr>
        <xdr:cNvGrpSpPr/>
      </xdr:nvGrpSpPr>
      <xdr:grpSpPr>
        <a:xfrm>
          <a:off x="17877064" y="23320374"/>
          <a:ext cx="8694764" cy="5651500"/>
          <a:chOff x="19001014" y="23320374"/>
          <a:chExt cx="9266264" cy="5651500"/>
        </a:xfrm>
      </xdr:grpSpPr>
      <xdr:graphicFrame macro="">
        <xdr:nvGraphicFramePr>
          <xdr:cNvPr id="78" name="Chart 77">
            <a:extLst>
              <a:ext uri="{FF2B5EF4-FFF2-40B4-BE49-F238E27FC236}">
                <a16:creationId xmlns:a16="http://schemas.microsoft.com/office/drawing/2014/main" id="{D85477C8-C598-AF4E-18A6-8E8DEC77300C}"/>
              </a:ext>
            </a:extLst>
          </xdr:cNvPr>
          <xdr:cNvGraphicFramePr>
            <a:graphicFrameLocks/>
          </xdr:cNvGraphicFramePr>
        </xdr:nvGraphicFramePr>
        <xdr:xfrm>
          <a:off x="19001014" y="23320374"/>
          <a:ext cx="9266264" cy="5651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  <xdr:sp macro="" textlink="">
        <xdr:nvSpPr>
          <xdr:cNvPr id="87" name="Rectangle: Diagonal Corners Snipped 86">
            <a:extLst>
              <a:ext uri="{FF2B5EF4-FFF2-40B4-BE49-F238E27FC236}">
                <a16:creationId xmlns:a16="http://schemas.microsoft.com/office/drawing/2014/main" id="{BF78464F-0470-0CEC-96AF-0578B2E86D5F}"/>
              </a:ext>
            </a:extLst>
          </xdr:cNvPr>
          <xdr:cNvSpPr/>
        </xdr:nvSpPr>
        <xdr:spPr>
          <a:xfrm>
            <a:off x="20501401" y="23904960"/>
            <a:ext cx="1153391" cy="261731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88" name="Rectangle: Diagonal Corners Snipped 87">
            <a:extLst>
              <a:ext uri="{FF2B5EF4-FFF2-40B4-BE49-F238E27FC236}">
                <a16:creationId xmlns:a16="http://schemas.microsoft.com/office/drawing/2014/main" id="{516D421C-9F59-364B-7A7C-C71ED6289824}"/>
              </a:ext>
            </a:extLst>
          </xdr:cNvPr>
          <xdr:cNvSpPr/>
        </xdr:nvSpPr>
        <xdr:spPr>
          <a:xfrm>
            <a:off x="22447814" y="23911587"/>
            <a:ext cx="1152562" cy="272122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89" name="Rectangle: Diagonal Corners Snipped 88">
            <a:extLst>
              <a:ext uri="{FF2B5EF4-FFF2-40B4-BE49-F238E27FC236}">
                <a16:creationId xmlns:a16="http://schemas.microsoft.com/office/drawing/2014/main" id="{B7F910BC-BDEA-8FC3-FAA1-D7F41EE70368}"/>
              </a:ext>
            </a:extLst>
          </xdr:cNvPr>
          <xdr:cNvSpPr/>
        </xdr:nvSpPr>
        <xdr:spPr>
          <a:xfrm>
            <a:off x="24822061" y="23911587"/>
            <a:ext cx="1160394" cy="272122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  <xdr:twoCellAnchor>
    <xdr:from>
      <xdr:col>44</xdr:col>
      <xdr:colOff>415834</xdr:colOff>
      <xdr:row>122</xdr:row>
      <xdr:rowOff>140334</xdr:rowOff>
    </xdr:from>
    <xdr:to>
      <xdr:col>59</xdr:col>
      <xdr:colOff>259968</xdr:colOff>
      <xdr:row>152</xdr:row>
      <xdr:rowOff>76834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7E2823C5-2357-ACEA-08AE-D9C128EF912E}"/>
            </a:ext>
          </a:extLst>
        </xdr:cNvPr>
        <xdr:cNvGrpSpPr/>
      </xdr:nvGrpSpPr>
      <xdr:grpSpPr>
        <a:xfrm>
          <a:off x="26666734" y="23381334"/>
          <a:ext cx="8702384" cy="5651500"/>
          <a:chOff x="19001014" y="23320374"/>
          <a:chExt cx="9266264" cy="5651500"/>
        </a:xfrm>
      </xdr:grpSpPr>
      <xdr:graphicFrame macro="">
        <xdr:nvGraphicFramePr>
          <xdr:cNvPr id="51" name="Chart 50">
            <a:extLst>
              <a:ext uri="{FF2B5EF4-FFF2-40B4-BE49-F238E27FC236}">
                <a16:creationId xmlns:a16="http://schemas.microsoft.com/office/drawing/2014/main" id="{2139030F-B0BA-0172-E05E-AEB92D239377}"/>
              </a:ext>
            </a:extLst>
          </xdr:cNvPr>
          <xdr:cNvGraphicFramePr>
            <a:graphicFrameLocks/>
          </xdr:cNvGraphicFramePr>
        </xdr:nvGraphicFramePr>
        <xdr:xfrm>
          <a:off x="19001014" y="23320374"/>
          <a:ext cx="9266264" cy="5651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sp macro="" textlink="">
        <xdr:nvSpPr>
          <xdr:cNvPr id="61" name="Rectangle: Diagonal Corners Snipped 60">
            <a:extLst>
              <a:ext uri="{FF2B5EF4-FFF2-40B4-BE49-F238E27FC236}">
                <a16:creationId xmlns:a16="http://schemas.microsoft.com/office/drawing/2014/main" id="{7C4B3872-A578-ADFE-A39A-96997A8A39FA}"/>
              </a:ext>
            </a:extLst>
          </xdr:cNvPr>
          <xdr:cNvSpPr/>
        </xdr:nvSpPr>
        <xdr:spPr>
          <a:xfrm>
            <a:off x="20501401" y="23904960"/>
            <a:ext cx="1153391" cy="261731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Aging</a:t>
            </a:r>
          </a:p>
        </xdr:txBody>
      </xdr:sp>
      <xdr:sp macro="" textlink="">
        <xdr:nvSpPr>
          <xdr:cNvPr id="62" name="Rectangle: Diagonal Corners Snipped 61">
            <a:extLst>
              <a:ext uri="{FF2B5EF4-FFF2-40B4-BE49-F238E27FC236}">
                <a16:creationId xmlns:a16="http://schemas.microsoft.com/office/drawing/2014/main" id="{1D4554A2-0597-52B5-6B14-AFE8B98DE4AE}"/>
              </a:ext>
            </a:extLst>
          </xdr:cNvPr>
          <xdr:cNvSpPr/>
        </xdr:nvSpPr>
        <xdr:spPr>
          <a:xfrm>
            <a:off x="22447814" y="23911587"/>
            <a:ext cx="1152562" cy="272122"/>
          </a:xfrm>
          <a:prstGeom prst="snip2Diag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Low Sediment</a:t>
            </a:r>
          </a:p>
        </xdr:txBody>
      </xdr:sp>
      <xdr:sp macro="" textlink="">
        <xdr:nvSpPr>
          <xdr:cNvPr id="63" name="Rectangle: Diagonal Corners Snipped 62">
            <a:extLst>
              <a:ext uri="{FF2B5EF4-FFF2-40B4-BE49-F238E27FC236}">
                <a16:creationId xmlns:a16="http://schemas.microsoft.com/office/drawing/2014/main" id="{552842DD-13C0-1016-64A8-16F425B7A289}"/>
              </a:ext>
            </a:extLst>
          </xdr:cNvPr>
          <xdr:cNvSpPr/>
        </xdr:nvSpPr>
        <xdr:spPr>
          <a:xfrm>
            <a:off x="24822061" y="23911587"/>
            <a:ext cx="1160394" cy="272122"/>
          </a:xfrm>
          <a:prstGeom prst="snip2Diag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latin typeface="+mj-lt"/>
              </a:rPr>
              <a:t>High Sediment</a:t>
            </a: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327120</xdr:colOff>
      <xdr:row>1</xdr:row>
      <xdr:rowOff>57947</xdr:rowOff>
    </xdr:from>
    <xdr:to>
      <xdr:col>21</xdr:col>
      <xdr:colOff>151189</xdr:colOff>
      <xdr:row>47</xdr:row>
      <xdr:rowOff>136070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42356-F1CB-479B-8766-ADE9D16AA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31</xdr:col>
      <xdr:colOff>538238</xdr:colOff>
      <xdr:row>6</xdr:row>
      <xdr:rowOff>51404</xdr:rowOff>
    </xdr:from>
    <xdr:to>
      <xdr:col>48</xdr:col>
      <xdr:colOff>193786</xdr:colOff>
      <xdr:row>42</xdr:row>
      <xdr:rowOff>78618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935215-E969-4A54-A8EA-1744F371A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54548" y="1139975"/>
          <a:ext cx="10193524" cy="6558643"/>
        </a:xfrm>
        <a:prstGeom prst="rect">
          <a:avLst/>
        </a:prstGeom>
      </xdr:spPr>
    </xdr:pic>
    <xdr:clientData/>
  </xdr:twoCellAnchor>
  <xdr:twoCellAnchor>
    <xdr:from>
      <xdr:col>32</xdr:col>
      <xdr:colOff>136070</xdr:colOff>
      <xdr:row>4</xdr:row>
      <xdr:rowOff>114905</xdr:rowOff>
    </xdr:from>
    <xdr:to>
      <xdr:col>33</xdr:col>
      <xdr:colOff>253999</xdr:colOff>
      <xdr:row>7</xdr:row>
      <xdr:rowOff>6048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F41DA6-FF19-42B4-A3BF-A8143D97FEF9}"/>
            </a:ext>
          </a:extLst>
        </xdr:cNvPr>
        <xdr:cNvSpPr txBox="1"/>
      </xdr:nvSpPr>
      <xdr:spPr>
        <a:xfrm>
          <a:off x="19972260" y="840619"/>
          <a:ext cx="737810" cy="435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kern="1200"/>
            <a:t>Easy</a:t>
          </a:r>
        </a:p>
      </xdr:txBody>
    </xdr:sp>
    <xdr:clientData/>
  </xdr:twoCellAnchor>
  <xdr:twoCellAnchor>
    <xdr:from>
      <xdr:col>32</xdr:col>
      <xdr:colOff>90713</xdr:colOff>
      <xdr:row>38</xdr:row>
      <xdr:rowOff>21165</xdr:rowOff>
    </xdr:from>
    <xdr:to>
      <xdr:col>33</xdr:col>
      <xdr:colOff>208642</xdr:colOff>
      <xdr:row>40</xdr:row>
      <xdr:rowOff>93737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744B26C-778E-4D93-A5BB-51F14156B96E}"/>
            </a:ext>
          </a:extLst>
        </xdr:cNvPr>
        <xdr:cNvSpPr txBox="1"/>
      </xdr:nvSpPr>
      <xdr:spPr>
        <a:xfrm>
          <a:off x="19926903" y="6915451"/>
          <a:ext cx="737810" cy="435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kern="1200"/>
            <a:t>Hard</a:t>
          </a:r>
        </a:p>
      </xdr:txBody>
    </xdr:sp>
    <xdr:clientData/>
  </xdr:twoCellAnchor>
  <xdr:twoCellAnchor editAs="oneCell">
    <xdr:from>
      <xdr:col>49</xdr:col>
      <xdr:colOff>393096</xdr:colOff>
      <xdr:row>6</xdr:row>
      <xdr:rowOff>166309</xdr:rowOff>
    </xdr:from>
    <xdr:to>
      <xdr:col>61</xdr:col>
      <xdr:colOff>94525</xdr:colOff>
      <xdr:row>43</xdr:row>
      <xdr:rowOff>39308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515590-BF95-49E3-B58C-15AE547D2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767263" y="1254880"/>
          <a:ext cx="7136190" cy="6585857"/>
        </a:xfrm>
        <a:prstGeom prst="rect">
          <a:avLst/>
        </a:prstGeom>
      </xdr:spPr>
    </xdr:pic>
    <xdr:clientData/>
  </xdr:twoCellAnchor>
  <xdr:twoCellAnchor editAs="oneCell">
    <xdr:from>
      <xdr:col>59</xdr:col>
      <xdr:colOff>511023</xdr:colOff>
      <xdr:row>6</xdr:row>
      <xdr:rowOff>175380</xdr:rowOff>
    </xdr:from>
    <xdr:to>
      <xdr:col>64</xdr:col>
      <xdr:colOff>39310</xdr:colOff>
      <xdr:row>20</xdr:row>
      <xdr:rowOff>92181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3D945B-17AF-45E6-827A-0D9394719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083999" y="1263951"/>
          <a:ext cx="2627692" cy="2449181"/>
        </a:xfrm>
        <a:prstGeom prst="rect">
          <a:avLst/>
        </a:prstGeom>
      </xdr:spPr>
    </xdr:pic>
    <xdr:clientData/>
  </xdr:twoCellAnchor>
  <xdr:twoCellAnchor>
    <xdr:from>
      <xdr:col>0</xdr:col>
      <xdr:colOff>393096</xdr:colOff>
      <xdr:row>3</xdr:row>
      <xdr:rowOff>151190</xdr:rowOff>
    </xdr:from>
    <xdr:to>
      <xdr:col>18</xdr:col>
      <xdr:colOff>314214</xdr:colOff>
      <xdr:row>10</xdr:row>
      <xdr:rowOff>121655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7878B910-6E72-4DDC-9268-2F0421B41FB5}"/>
            </a:ext>
          </a:extLst>
        </xdr:cNvPr>
        <xdr:cNvGrpSpPr/>
      </xdr:nvGrpSpPr>
      <xdr:grpSpPr>
        <a:xfrm>
          <a:off x="393096" y="734353"/>
          <a:ext cx="10418057" cy="1331180"/>
          <a:chOff x="0" y="-12120"/>
          <a:chExt cx="6624199" cy="1019925"/>
        </a:xfrm>
      </xdr:grpSpPr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C3EF4C8F-1E9E-ABB4-9E5D-9DBC42154E32}"/>
              </a:ext>
            </a:extLst>
          </xdr:cNvPr>
          <xdr:cNvCxnSpPr/>
        </xdr:nvCxnSpPr>
        <xdr:spPr>
          <a:xfrm>
            <a:off x="4829070" y="161283"/>
            <a:ext cx="1795129" cy="2785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389830CD-AFEF-86DD-8C31-2125B8F19B83}"/>
              </a:ext>
            </a:extLst>
          </xdr:cNvPr>
          <xdr:cNvGrpSpPr/>
        </xdr:nvGrpSpPr>
        <xdr:grpSpPr>
          <a:xfrm>
            <a:off x="0" y="-12120"/>
            <a:ext cx="6624197" cy="1019925"/>
            <a:chOff x="0" y="-14161"/>
            <a:chExt cx="8574500" cy="1191664"/>
          </a:xfrm>
        </xdr:grpSpPr>
        <xdr:sp macro="" textlink="">
          <xdr:nvSpPr>
            <xdr:cNvPr id="12" name="TextBox 141">
              <a:extLst>
                <a:ext uri="{FF2B5EF4-FFF2-40B4-BE49-F238E27FC236}">
                  <a16:creationId xmlns:a16="http://schemas.microsoft.com/office/drawing/2014/main" id="{5431969D-CC85-2930-3038-DF162DEE5478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13" name="TextBox 142">
              <a:extLst>
                <a:ext uri="{FF2B5EF4-FFF2-40B4-BE49-F238E27FC236}">
                  <a16:creationId xmlns:a16="http://schemas.microsoft.com/office/drawing/2014/main" id="{8B663DE0-E90A-F403-C199-68B2B3BFEB84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14" name="TextBox 143">
              <a:extLst>
                <a:ext uri="{FF2B5EF4-FFF2-40B4-BE49-F238E27FC236}">
                  <a16:creationId xmlns:a16="http://schemas.microsoft.com/office/drawing/2014/main" id="{56680B2C-ECC6-6E6B-5987-C941FB664C34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5" name="TextBox 144">
              <a:extLst>
                <a:ext uri="{FF2B5EF4-FFF2-40B4-BE49-F238E27FC236}">
                  <a16:creationId xmlns:a16="http://schemas.microsoft.com/office/drawing/2014/main" id="{E45639F4-E1C7-5F74-B1B0-1208FCDA2016}"/>
                </a:ext>
              </a:extLst>
            </xdr:cNvPr>
            <xdr:cNvSpPr txBox="1"/>
          </xdr:nvSpPr>
          <xdr:spPr>
            <a:xfrm>
              <a:off x="559" y="86703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xdr:txBody>
        </xdr:sp>
        <xdr:cxnSp macro="">
          <xdr:nvCxnSpPr>
            <xdr:cNvPr id="16" name="Straight Arrow Connector 15">
              <a:extLst>
                <a:ext uri="{FF2B5EF4-FFF2-40B4-BE49-F238E27FC236}">
                  <a16:creationId xmlns:a16="http://schemas.microsoft.com/office/drawing/2014/main" id="{54E53896-05C1-A38E-98C6-F9B61C60700B}"/>
                </a:ext>
              </a:extLst>
            </xdr:cNvPr>
            <xdr:cNvCxnSpPr/>
          </xdr:nvCxnSpPr>
          <xdr:spPr>
            <a:xfrm>
              <a:off x="1074638" y="163478"/>
              <a:ext cx="2019871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Straight Arrow Connector 16">
              <a:extLst>
                <a:ext uri="{FF2B5EF4-FFF2-40B4-BE49-F238E27FC236}">
                  <a16:creationId xmlns:a16="http://schemas.microsoft.com/office/drawing/2014/main" id="{5D822CDB-DC95-17E0-03D6-0BEA429B2597}"/>
                </a:ext>
              </a:extLst>
            </xdr:cNvPr>
            <xdr:cNvCxnSpPr/>
          </xdr:nvCxnSpPr>
          <xdr:spPr>
            <a:xfrm>
              <a:off x="1067923" y="383561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Straight Arrow Connector 17">
              <a:extLst>
                <a:ext uri="{FF2B5EF4-FFF2-40B4-BE49-F238E27FC236}">
                  <a16:creationId xmlns:a16="http://schemas.microsoft.com/office/drawing/2014/main" id="{16C75027-E1E8-4474-E6FE-D020F29B18AF}"/>
                </a:ext>
              </a:extLst>
            </xdr:cNvPr>
            <xdr:cNvCxnSpPr/>
          </xdr:nvCxnSpPr>
          <xdr:spPr>
            <a:xfrm>
              <a:off x="1078306" y="672170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AEE01179-9A8F-3321-2E5A-832557812FDF}"/>
                </a:ext>
              </a:extLst>
            </xdr:cNvPr>
            <xdr:cNvCxnSpPr/>
          </xdr:nvCxnSpPr>
          <xdr:spPr>
            <a:xfrm>
              <a:off x="1082466" y="1027510"/>
              <a:ext cx="2019871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" name="TextBox 149">
              <a:extLst>
                <a:ext uri="{FF2B5EF4-FFF2-40B4-BE49-F238E27FC236}">
                  <a16:creationId xmlns:a16="http://schemas.microsoft.com/office/drawing/2014/main" id="{47AA4DA2-CD4A-C163-014C-BFBFE728EFF2}"/>
                </a:ext>
              </a:extLst>
            </xdr:cNvPr>
            <xdr:cNvSpPr txBox="1"/>
          </xdr:nvSpPr>
          <xdr:spPr>
            <a:xfrm>
              <a:off x="1740258" y="-14161"/>
              <a:ext cx="656298" cy="2355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21" name="TextBox 150">
              <a:extLst>
                <a:ext uri="{FF2B5EF4-FFF2-40B4-BE49-F238E27FC236}">
                  <a16:creationId xmlns:a16="http://schemas.microsoft.com/office/drawing/2014/main" id="{98355D18-B38A-3B92-6A01-DAD66107D022}"/>
                </a:ext>
              </a:extLst>
            </xdr:cNvPr>
            <xdr:cNvSpPr txBox="1"/>
          </xdr:nvSpPr>
          <xdr:spPr>
            <a:xfrm>
              <a:off x="1755308" y="275563"/>
              <a:ext cx="657417" cy="2250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22" name="TextBox 151">
              <a:extLst>
                <a:ext uri="{FF2B5EF4-FFF2-40B4-BE49-F238E27FC236}">
                  <a16:creationId xmlns:a16="http://schemas.microsoft.com/office/drawing/2014/main" id="{6CC5C383-97C3-D20B-0CC0-4E414B035D35}"/>
                </a:ext>
              </a:extLst>
            </xdr:cNvPr>
            <xdr:cNvSpPr txBox="1"/>
          </xdr:nvSpPr>
          <xdr:spPr>
            <a:xfrm>
              <a:off x="1752865" y="550316"/>
              <a:ext cx="659283" cy="24377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23" name="TextBox 152">
              <a:extLst>
                <a:ext uri="{FF2B5EF4-FFF2-40B4-BE49-F238E27FC236}">
                  <a16:creationId xmlns:a16="http://schemas.microsoft.com/office/drawing/2014/main" id="{F51FB92A-581F-1609-7820-5BAA163322CB}"/>
                </a:ext>
              </a:extLst>
            </xdr:cNvPr>
            <xdr:cNvSpPr txBox="1"/>
          </xdr:nvSpPr>
          <xdr:spPr>
            <a:xfrm>
              <a:off x="1627946" y="871026"/>
              <a:ext cx="1064877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9F7A9128-8C03-B977-92E1-B3C2C6015FF7}"/>
                </a:ext>
              </a:extLst>
            </xdr:cNvPr>
            <xdr:cNvCxnSpPr/>
          </xdr:nvCxnSpPr>
          <xdr:spPr>
            <a:xfrm>
              <a:off x="3374196" y="179495"/>
              <a:ext cx="2700277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0A7AE2D7-6D85-71EB-E91C-416B836D9829}"/>
                </a:ext>
              </a:extLst>
            </xdr:cNvPr>
            <xdr:cNvCxnSpPr/>
          </xdr:nvCxnSpPr>
          <xdr:spPr>
            <a:xfrm>
              <a:off x="3366331" y="353787"/>
              <a:ext cx="2707244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58B0E409-1802-2C82-DF8A-78876252B658}"/>
                </a:ext>
              </a:extLst>
            </xdr:cNvPr>
            <xdr:cNvCxnSpPr/>
          </xdr:nvCxnSpPr>
          <xdr:spPr>
            <a:xfrm flipV="1">
              <a:off x="6239077" y="388108"/>
              <a:ext cx="2326927" cy="7439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C47521EB-0DC1-12C4-9C1E-D806E4E6E2D3}"/>
                </a:ext>
              </a:extLst>
            </xdr:cNvPr>
            <xdr:cNvCxnSpPr/>
          </xdr:nvCxnSpPr>
          <xdr:spPr>
            <a:xfrm>
              <a:off x="3350601" y="644272"/>
              <a:ext cx="2730077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Straight Arrow Connector 27">
              <a:extLst>
                <a:ext uri="{FF2B5EF4-FFF2-40B4-BE49-F238E27FC236}">
                  <a16:creationId xmlns:a16="http://schemas.microsoft.com/office/drawing/2014/main" id="{7AED2FD3-5D1B-EC24-92C8-17B3759B7F33}"/>
                </a:ext>
              </a:extLst>
            </xdr:cNvPr>
            <xdr:cNvCxnSpPr/>
          </xdr:nvCxnSpPr>
          <xdr:spPr>
            <a:xfrm>
              <a:off x="6241560" y="677556"/>
              <a:ext cx="2332938" cy="495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Straight Arrow Connector 28">
              <a:extLst>
                <a:ext uri="{FF2B5EF4-FFF2-40B4-BE49-F238E27FC236}">
                  <a16:creationId xmlns:a16="http://schemas.microsoft.com/office/drawing/2014/main" id="{416DEFA3-5CBF-4642-32A4-01C2E0B88E86}"/>
                </a:ext>
              </a:extLst>
            </xdr:cNvPr>
            <xdr:cNvCxnSpPr/>
          </xdr:nvCxnSpPr>
          <xdr:spPr>
            <a:xfrm>
              <a:off x="3366331" y="1012220"/>
              <a:ext cx="2727007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" name="Straight Arrow Connector 29">
              <a:extLst>
                <a:ext uri="{FF2B5EF4-FFF2-40B4-BE49-F238E27FC236}">
                  <a16:creationId xmlns:a16="http://schemas.microsoft.com/office/drawing/2014/main" id="{38468CC7-B48B-7840-A568-EE8892C55DA6}"/>
                </a:ext>
              </a:extLst>
            </xdr:cNvPr>
            <xdr:cNvCxnSpPr/>
          </xdr:nvCxnSpPr>
          <xdr:spPr>
            <a:xfrm>
              <a:off x="6259247" y="1047205"/>
              <a:ext cx="2315253" cy="4965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" name="TextBox 160">
              <a:extLst>
                <a:ext uri="{FF2B5EF4-FFF2-40B4-BE49-F238E27FC236}">
                  <a16:creationId xmlns:a16="http://schemas.microsoft.com/office/drawing/2014/main" id="{4D5109E9-750E-10E7-018C-EDA9C1F484AE}"/>
                </a:ext>
              </a:extLst>
            </xdr:cNvPr>
            <xdr:cNvSpPr txBox="1"/>
          </xdr:nvSpPr>
          <xdr:spPr>
            <a:xfrm>
              <a:off x="3837482" y="10082"/>
              <a:ext cx="1482209" cy="27544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32" name="TextBox 161">
              <a:extLst>
                <a:ext uri="{FF2B5EF4-FFF2-40B4-BE49-F238E27FC236}">
                  <a16:creationId xmlns:a16="http://schemas.microsoft.com/office/drawing/2014/main" id="{3354A757-FE1D-979C-3468-97F76C108AD0}"/>
                </a:ext>
              </a:extLst>
            </xdr:cNvPr>
            <xdr:cNvSpPr txBox="1"/>
          </xdr:nvSpPr>
          <xdr:spPr>
            <a:xfrm>
              <a:off x="6622030" y="30798"/>
              <a:ext cx="1437748" cy="24657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33" name="TextBox 162">
              <a:extLst>
                <a:ext uri="{FF2B5EF4-FFF2-40B4-BE49-F238E27FC236}">
                  <a16:creationId xmlns:a16="http://schemas.microsoft.com/office/drawing/2014/main" id="{4C5C51A8-46EC-9C14-1C9D-6A5860629590}"/>
                </a:ext>
              </a:extLst>
            </xdr:cNvPr>
            <xdr:cNvSpPr txBox="1"/>
          </xdr:nvSpPr>
          <xdr:spPr>
            <a:xfrm>
              <a:off x="4142282" y="297230"/>
              <a:ext cx="659284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34" name="TextBox 163">
              <a:extLst>
                <a:ext uri="{FF2B5EF4-FFF2-40B4-BE49-F238E27FC236}">
                  <a16:creationId xmlns:a16="http://schemas.microsoft.com/office/drawing/2014/main" id="{99B35F77-5B20-FCB3-BF73-58FA2FC6CDD2}"/>
                </a:ext>
              </a:extLst>
            </xdr:cNvPr>
            <xdr:cNvSpPr txBox="1"/>
          </xdr:nvSpPr>
          <xdr:spPr>
            <a:xfrm>
              <a:off x="6906809" y="308599"/>
              <a:ext cx="659283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35" name="TextBox 164">
              <a:extLst>
                <a:ext uri="{FF2B5EF4-FFF2-40B4-BE49-F238E27FC236}">
                  <a16:creationId xmlns:a16="http://schemas.microsoft.com/office/drawing/2014/main" id="{463508AA-C7DD-5213-D619-1BBA8A946AD5}"/>
                </a:ext>
              </a:extLst>
            </xdr:cNvPr>
            <xdr:cNvSpPr txBox="1"/>
          </xdr:nvSpPr>
          <xdr:spPr>
            <a:xfrm>
              <a:off x="4127991" y="565519"/>
              <a:ext cx="659284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6" name="TextBox 165">
              <a:extLst>
                <a:ext uri="{FF2B5EF4-FFF2-40B4-BE49-F238E27FC236}">
                  <a16:creationId xmlns:a16="http://schemas.microsoft.com/office/drawing/2014/main" id="{28AB6F3C-72A8-4BFB-A21D-B6E991B497F3}"/>
                </a:ext>
              </a:extLst>
            </xdr:cNvPr>
            <xdr:cNvSpPr txBox="1"/>
          </xdr:nvSpPr>
          <xdr:spPr>
            <a:xfrm>
              <a:off x="6908649" y="580167"/>
              <a:ext cx="659283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7" name="TextBox 166">
              <a:extLst>
                <a:ext uri="{FF2B5EF4-FFF2-40B4-BE49-F238E27FC236}">
                  <a16:creationId xmlns:a16="http://schemas.microsoft.com/office/drawing/2014/main" id="{87F1C711-E09B-241C-542D-A93B5343ECBD}"/>
                </a:ext>
              </a:extLst>
            </xdr:cNvPr>
            <xdr:cNvSpPr txBox="1"/>
          </xdr:nvSpPr>
          <xdr:spPr>
            <a:xfrm>
              <a:off x="3983366" y="924842"/>
              <a:ext cx="1069571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38" name="TextBox 167">
              <a:extLst>
                <a:ext uri="{FF2B5EF4-FFF2-40B4-BE49-F238E27FC236}">
                  <a16:creationId xmlns:a16="http://schemas.microsoft.com/office/drawing/2014/main" id="{E6E9EB8E-4741-71AC-085E-7F7D5B8CB85B}"/>
                </a:ext>
              </a:extLst>
            </xdr:cNvPr>
            <xdr:cNvSpPr txBox="1"/>
          </xdr:nvSpPr>
          <xdr:spPr>
            <a:xfrm>
              <a:off x="6722571" y="901514"/>
              <a:ext cx="1169906" cy="26554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  <xdr:twoCellAnchor>
    <xdr:from>
      <xdr:col>1</xdr:col>
      <xdr:colOff>-1</xdr:colOff>
      <xdr:row>62</xdr:row>
      <xdr:rowOff>0</xdr:rowOff>
    </xdr:from>
    <xdr:to>
      <xdr:col>24</xdr:col>
      <xdr:colOff>244372</xdr:colOff>
      <xdr:row>108</xdr:row>
      <xdr:rowOff>78123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2DFD5DA-5993-C9C9-A22E-5B088646DD07}"/>
            </a:ext>
          </a:extLst>
        </xdr:cNvPr>
        <xdr:cNvGrpSpPr/>
      </xdr:nvGrpSpPr>
      <xdr:grpSpPr>
        <a:xfrm>
          <a:off x="583162" y="12052041"/>
          <a:ext cx="13657128" cy="9019960"/>
          <a:chOff x="620888" y="11373556"/>
          <a:chExt cx="14524817" cy="8516567"/>
        </a:xfrm>
      </xdr:grpSpPr>
      <xdr:graphicFrame macro="">
        <xdr:nvGraphicFramePr>
          <xdr:cNvPr id="39" name="Chart 38">
            <a:extLst>
              <a:ext uri="{FF2B5EF4-FFF2-40B4-BE49-F238E27FC236}">
                <a16:creationId xmlns:a16="http://schemas.microsoft.com/office/drawing/2014/main" id="{802B1AD8-8971-4D5F-BB12-A8EE29382C9D}"/>
              </a:ext>
            </a:extLst>
          </xdr:cNvPr>
          <xdr:cNvGraphicFramePr>
            <a:graphicFrameLocks/>
          </xdr:cNvGraphicFramePr>
        </xdr:nvGraphicFramePr>
        <xdr:xfrm>
          <a:off x="620888" y="11373556"/>
          <a:ext cx="14524817" cy="851656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8D31C9F-D8B1-41F0-9EFE-74D22AA033C0}"/>
              </a:ext>
            </a:extLst>
          </xdr:cNvPr>
          <xdr:cNvGrpSpPr/>
        </xdr:nvGrpSpPr>
        <xdr:grpSpPr>
          <a:xfrm>
            <a:off x="682735" y="11835749"/>
            <a:ext cx="12257154" cy="1245831"/>
            <a:chOff x="0" y="-12120"/>
            <a:chExt cx="6624199" cy="1019925"/>
          </a:xfrm>
        </xdr:grpSpPr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62483F41-DB84-2031-79EB-C996BAC0411D}"/>
                </a:ext>
              </a:extLst>
            </xdr:cNvPr>
            <xdr:cNvCxnSpPr/>
          </xdr:nvCxnSpPr>
          <xdr:spPr>
            <a:xfrm>
              <a:off x="4829070" y="161283"/>
              <a:ext cx="1795129" cy="2785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42" name="Group 41">
              <a:extLst>
                <a:ext uri="{FF2B5EF4-FFF2-40B4-BE49-F238E27FC236}">
                  <a16:creationId xmlns:a16="http://schemas.microsoft.com/office/drawing/2014/main" id="{8FBE5A40-F683-FA46-1AAC-7026F25B7A5B}"/>
                </a:ext>
              </a:extLst>
            </xdr:cNvPr>
            <xdr:cNvGrpSpPr/>
          </xdr:nvGrpSpPr>
          <xdr:grpSpPr>
            <a:xfrm>
              <a:off x="0" y="-12120"/>
              <a:ext cx="6624197" cy="1019925"/>
              <a:chOff x="0" y="-14161"/>
              <a:chExt cx="8574500" cy="1191664"/>
            </a:xfrm>
          </xdr:grpSpPr>
          <xdr:sp macro="" textlink="">
            <xdr:nvSpPr>
              <xdr:cNvPr id="43" name="TextBox 141">
                <a:extLst>
                  <a:ext uri="{FF2B5EF4-FFF2-40B4-BE49-F238E27FC236}">
                    <a16:creationId xmlns:a16="http://schemas.microsoft.com/office/drawing/2014/main" id="{6F621249-4F8E-6B73-2BA1-7F9890B994EC}"/>
                  </a:ext>
                </a:extLst>
              </xdr:cNvPr>
              <xdr:cNvSpPr txBox="1"/>
            </xdr:nvSpPr>
            <xdr:spPr>
              <a:xfrm>
                <a:off x="12088" y="28221"/>
                <a:ext cx="883021" cy="20071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SR Feed</a:t>
                </a:r>
              </a:p>
            </xdr:txBody>
          </xdr:sp>
          <xdr:sp macro="" textlink="">
            <xdr:nvSpPr>
              <xdr:cNvPr id="44" name="TextBox 142">
                <a:extLst>
                  <a:ext uri="{FF2B5EF4-FFF2-40B4-BE49-F238E27FC236}">
                    <a16:creationId xmlns:a16="http://schemas.microsoft.com/office/drawing/2014/main" id="{CC2D7D7C-B831-BBFC-D05B-FFF8CD1AC7CD}"/>
                  </a:ext>
                </a:extLst>
              </xdr:cNvPr>
              <xdr:cNvSpPr txBox="1"/>
            </xdr:nvSpPr>
            <xdr:spPr>
              <a:xfrm>
                <a:off x="0" y="275562"/>
                <a:ext cx="883021" cy="20071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SR Split</a:t>
                </a:r>
              </a:p>
            </xdr:txBody>
          </xdr:sp>
          <xdr:sp macro="" textlink="">
            <xdr:nvSpPr>
              <xdr:cNvPr id="45" name="TextBox 143">
                <a:extLst>
                  <a:ext uri="{FF2B5EF4-FFF2-40B4-BE49-F238E27FC236}">
                    <a16:creationId xmlns:a16="http://schemas.microsoft.com/office/drawing/2014/main" id="{A845F995-C4A3-6BEC-27DD-6E749E42F684}"/>
                  </a:ext>
                </a:extLst>
              </xdr:cNvPr>
              <xdr:cNvSpPr txBox="1"/>
            </xdr:nvSpPr>
            <xdr:spPr>
              <a:xfrm>
                <a:off x="7271" y="538185"/>
                <a:ext cx="1148121" cy="26641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LCF LHSV</a:t>
                </a:r>
              </a:p>
            </xdr:txBody>
          </xdr:sp>
          <xdr:sp macro="" textlink="">
            <xdr:nvSpPr>
              <xdr:cNvPr id="46" name="TextBox 144">
                <a:extLst>
                  <a:ext uri="{FF2B5EF4-FFF2-40B4-BE49-F238E27FC236}">
                    <a16:creationId xmlns:a16="http://schemas.microsoft.com/office/drawing/2014/main" id="{9F8F2F41-7126-A8EE-A33F-70E718F0DF8C}"/>
                  </a:ext>
                </a:extLst>
              </xdr:cNvPr>
              <xdr:cNvSpPr txBox="1"/>
            </xdr:nvSpPr>
            <xdr:spPr>
              <a:xfrm>
                <a:off x="559" y="867035"/>
                <a:ext cx="1148121" cy="26641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Temperature</a:t>
                </a:r>
                <a:br>
                  <a:rPr lang="en-US" sz="1100" b="1"/>
                </a:br>
                <a:r>
                  <a:rPr lang="en-US" sz="1100" b="1"/>
                  <a:t>(Rx1/2/3)</a:t>
                </a:r>
              </a:p>
            </xdr:txBody>
          </xdr:sp>
          <xdr:cxnSp macro="">
            <xdr:nvCxnSpPr>
              <xdr:cNvPr id="47" name="Straight Arrow Connector 46">
                <a:extLst>
                  <a:ext uri="{FF2B5EF4-FFF2-40B4-BE49-F238E27FC236}">
                    <a16:creationId xmlns:a16="http://schemas.microsoft.com/office/drawing/2014/main" id="{40FA49F4-F3FD-2DCA-B85A-9E87A86130B7}"/>
                  </a:ext>
                </a:extLst>
              </xdr:cNvPr>
              <xdr:cNvCxnSpPr/>
            </xdr:nvCxnSpPr>
            <xdr:spPr>
              <a:xfrm>
                <a:off x="1074638" y="163478"/>
                <a:ext cx="2019871" cy="0"/>
              </a:xfrm>
              <a:prstGeom prst="straightConnector1">
                <a:avLst/>
              </a:prstGeom>
              <a:ln>
                <a:solidFill>
                  <a:schemeClr val="tx1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8" name="Straight Arrow Connector 47">
                <a:extLst>
                  <a:ext uri="{FF2B5EF4-FFF2-40B4-BE49-F238E27FC236}">
                    <a16:creationId xmlns:a16="http://schemas.microsoft.com/office/drawing/2014/main" id="{A227840C-EE42-E449-649C-526D43A43CD8}"/>
                  </a:ext>
                </a:extLst>
              </xdr:cNvPr>
              <xdr:cNvCxnSpPr/>
            </xdr:nvCxnSpPr>
            <xdr:spPr>
              <a:xfrm>
                <a:off x="1067923" y="383561"/>
                <a:ext cx="2019871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9" name="Straight Arrow Connector 48">
                <a:extLst>
                  <a:ext uri="{FF2B5EF4-FFF2-40B4-BE49-F238E27FC236}">
                    <a16:creationId xmlns:a16="http://schemas.microsoft.com/office/drawing/2014/main" id="{192C8605-1719-7BF2-9532-684B308018AE}"/>
                  </a:ext>
                </a:extLst>
              </xdr:cNvPr>
              <xdr:cNvCxnSpPr/>
            </xdr:nvCxnSpPr>
            <xdr:spPr>
              <a:xfrm>
                <a:off x="1078306" y="672170"/>
                <a:ext cx="2019871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0" name="Straight Arrow Connector 49">
                <a:extLst>
                  <a:ext uri="{FF2B5EF4-FFF2-40B4-BE49-F238E27FC236}">
                    <a16:creationId xmlns:a16="http://schemas.microsoft.com/office/drawing/2014/main" id="{0378B7AF-81D0-20CB-4471-8FEC2DB98704}"/>
                  </a:ext>
                </a:extLst>
              </xdr:cNvPr>
              <xdr:cNvCxnSpPr/>
            </xdr:nvCxnSpPr>
            <xdr:spPr>
              <a:xfrm>
                <a:off x="1082466" y="1027510"/>
                <a:ext cx="2019871" cy="0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1" name="TextBox 149">
                <a:extLst>
                  <a:ext uri="{FF2B5EF4-FFF2-40B4-BE49-F238E27FC236}">
                    <a16:creationId xmlns:a16="http://schemas.microsoft.com/office/drawing/2014/main" id="{37B7535B-4938-6818-8461-75B4B9D2A049}"/>
                  </a:ext>
                </a:extLst>
              </xdr:cNvPr>
              <xdr:cNvSpPr txBox="1"/>
            </xdr:nvSpPr>
            <xdr:spPr>
              <a:xfrm>
                <a:off x="1740258" y="-14161"/>
                <a:ext cx="656298" cy="235567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ME SR</a:t>
                </a:r>
              </a:p>
            </xdr:txBody>
          </xdr:sp>
          <xdr:sp macro="" textlink="">
            <xdr:nvSpPr>
              <xdr:cNvPr id="52" name="TextBox 150">
                <a:extLst>
                  <a:ext uri="{FF2B5EF4-FFF2-40B4-BE49-F238E27FC236}">
                    <a16:creationId xmlns:a16="http://schemas.microsoft.com/office/drawing/2014/main" id="{A3E97DFA-870C-4002-CCD0-DD840ADDB423}"/>
                  </a:ext>
                </a:extLst>
              </xdr:cNvPr>
              <xdr:cNvSpPr txBox="1"/>
            </xdr:nvSpPr>
            <xdr:spPr>
              <a:xfrm>
                <a:off x="1755308" y="275563"/>
                <a:ext cx="657417" cy="225005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70/30</a:t>
                </a:r>
              </a:p>
            </xdr:txBody>
          </xdr:sp>
          <xdr:sp macro="" textlink="">
            <xdr:nvSpPr>
              <xdr:cNvPr id="53" name="TextBox 151">
                <a:extLst>
                  <a:ext uri="{FF2B5EF4-FFF2-40B4-BE49-F238E27FC236}">
                    <a16:creationId xmlns:a16="http://schemas.microsoft.com/office/drawing/2014/main" id="{557DC9EC-9C33-6214-7E3C-5005F1AEB585}"/>
                  </a:ext>
                </a:extLst>
              </xdr:cNvPr>
              <xdr:cNvSpPr txBox="1"/>
            </xdr:nvSpPr>
            <xdr:spPr>
              <a:xfrm>
                <a:off x="1752865" y="550316"/>
                <a:ext cx="659283" cy="243776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0.378</a:t>
                </a:r>
              </a:p>
            </xdr:txBody>
          </xdr:sp>
          <xdr:sp macro="" textlink="">
            <xdr:nvSpPr>
              <xdr:cNvPr id="54" name="TextBox 152">
                <a:extLst>
                  <a:ext uri="{FF2B5EF4-FFF2-40B4-BE49-F238E27FC236}">
                    <a16:creationId xmlns:a16="http://schemas.microsoft.com/office/drawing/2014/main" id="{CA41197F-3E63-9E12-D3A0-A74619F30CA2}"/>
                  </a:ext>
                </a:extLst>
              </xdr:cNvPr>
              <xdr:cNvSpPr txBox="1"/>
            </xdr:nvSpPr>
            <xdr:spPr>
              <a:xfrm>
                <a:off x="1627946" y="871026"/>
                <a:ext cx="1064877" cy="25266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399/405/407</a:t>
                </a:r>
              </a:p>
            </xdr:txBody>
          </xdr:sp>
          <xdr:cxnSp macro="">
            <xdr:nvCxnSpPr>
              <xdr:cNvPr id="55" name="Straight Arrow Connector 54">
                <a:extLst>
                  <a:ext uri="{FF2B5EF4-FFF2-40B4-BE49-F238E27FC236}">
                    <a16:creationId xmlns:a16="http://schemas.microsoft.com/office/drawing/2014/main" id="{68B83D51-122B-3117-4F07-79CFEE69C1D8}"/>
                  </a:ext>
                </a:extLst>
              </xdr:cNvPr>
              <xdr:cNvCxnSpPr/>
            </xdr:nvCxnSpPr>
            <xdr:spPr>
              <a:xfrm>
                <a:off x="3374196" y="179495"/>
                <a:ext cx="2700277" cy="0"/>
              </a:xfrm>
              <a:prstGeom prst="straightConnector1">
                <a:avLst/>
              </a:prstGeom>
              <a:ln>
                <a:solidFill>
                  <a:schemeClr val="tx1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6" name="Straight Arrow Connector 55">
                <a:extLst>
                  <a:ext uri="{FF2B5EF4-FFF2-40B4-BE49-F238E27FC236}">
                    <a16:creationId xmlns:a16="http://schemas.microsoft.com/office/drawing/2014/main" id="{291921C7-96E5-01EB-FE84-A955D7EC0466}"/>
                  </a:ext>
                </a:extLst>
              </xdr:cNvPr>
              <xdr:cNvCxnSpPr/>
            </xdr:nvCxnSpPr>
            <xdr:spPr>
              <a:xfrm>
                <a:off x="3366331" y="353787"/>
                <a:ext cx="2707244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7" name="Straight Arrow Connector 56">
                <a:extLst>
                  <a:ext uri="{FF2B5EF4-FFF2-40B4-BE49-F238E27FC236}">
                    <a16:creationId xmlns:a16="http://schemas.microsoft.com/office/drawing/2014/main" id="{1690AF48-8489-1097-3CEA-AE9D8610A1E3}"/>
                  </a:ext>
                </a:extLst>
              </xdr:cNvPr>
              <xdr:cNvCxnSpPr/>
            </xdr:nvCxnSpPr>
            <xdr:spPr>
              <a:xfrm flipV="1">
                <a:off x="6239077" y="388108"/>
                <a:ext cx="2326927" cy="7439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8" name="Straight Arrow Connector 57">
                <a:extLst>
                  <a:ext uri="{FF2B5EF4-FFF2-40B4-BE49-F238E27FC236}">
                    <a16:creationId xmlns:a16="http://schemas.microsoft.com/office/drawing/2014/main" id="{74276240-838E-1789-54BE-D64D786433E2}"/>
                  </a:ext>
                </a:extLst>
              </xdr:cNvPr>
              <xdr:cNvCxnSpPr/>
            </xdr:nvCxnSpPr>
            <xdr:spPr>
              <a:xfrm>
                <a:off x="3350601" y="644272"/>
                <a:ext cx="2730077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9" name="Straight Arrow Connector 58">
                <a:extLst>
                  <a:ext uri="{FF2B5EF4-FFF2-40B4-BE49-F238E27FC236}">
                    <a16:creationId xmlns:a16="http://schemas.microsoft.com/office/drawing/2014/main" id="{46513225-6E3D-2C98-B0A9-BAB7AD75264C}"/>
                  </a:ext>
                </a:extLst>
              </xdr:cNvPr>
              <xdr:cNvCxnSpPr/>
            </xdr:nvCxnSpPr>
            <xdr:spPr>
              <a:xfrm>
                <a:off x="6241560" y="677556"/>
                <a:ext cx="2332938" cy="495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60" name="Straight Arrow Connector 59">
                <a:extLst>
                  <a:ext uri="{FF2B5EF4-FFF2-40B4-BE49-F238E27FC236}">
                    <a16:creationId xmlns:a16="http://schemas.microsoft.com/office/drawing/2014/main" id="{F7B23087-373C-7000-04E2-5A2B1C051E3C}"/>
                  </a:ext>
                </a:extLst>
              </xdr:cNvPr>
              <xdr:cNvCxnSpPr/>
            </xdr:nvCxnSpPr>
            <xdr:spPr>
              <a:xfrm>
                <a:off x="3366331" y="1012220"/>
                <a:ext cx="2727007" cy="0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61" name="Straight Arrow Connector 60">
                <a:extLst>
                  <a:ext uri="{FF2B5EF4-FFF2-40B4-BE49-F238E27FC236}">
                    <a16:creationId xmlns:a16="http://schemas.microsoft.com/office/drawing/2014/main" id="{D51D492E-6B35-D6F9-3A8B-9DEBCB623561}"/>
                  </a:ext>
                </a:extLst>
              </xdr:cNvPr>
              <xdr:cNvCxnSpPr/>
            </xdr:nvCxnSpPr>
            <xdr:spPr>
              <a:xfrm>
                <a:off x="6259247" y="1047205"/>
                <a:ext cx="2315253" cy="4965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62" name="TextBox 160">
                <a:extLst>
                  <a:ext uri="{FF2B5EF4-FFF2-40B4-BE49-F238E27FC236}">
                    <a16:creationId xmlns:a16="http://schemas.microsoft.com/office/drawing/2014/main" id="{72A3103D-CC94-DB0A-881F-28A430AEF87A}"/>
                  </a:ext>
                </a:extLst>
              </xdr:cNvPr>
              <xdr:cNvSpPr txBox="1"/>
            </xdr:nvSpPr>
            <xdr:spPr>
              <a:xfrm>
                <a:off x="3837482" y="10082"/>
                <a:ext cx="1482209" cy="275443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Low Sedimentation</a:t>
                </a:r>
              </a:p>
            </xdr:txBody>
          </xdr:sp>
          <xdr:sp macro="" textlink="">
            <xdr:nvSpPr>
              <xdr:cNvPr id="63" name="TextBox 161">
                <a:extLst>
                  <a:ext uri="{FF2B5EF4-FFF2-40B4-BE49-F238E27FC236}">
                    <a16:creationId xmlns:a16="http://schemas.microsoft.com/office/drawing/2014/main" id="{0C237C96-DB1C-235F-D970-5B4C72EE17C4}"/>
                  </a:ext>
                </a:extLst>
              </xdr:cNvPr>
              <xdr:cNvSpPr txBox="1"/>
            </xdr:nvSpPr>
            <xdr:spPr>
              <a:xfrm>
                <a:off x="6622030" y="30798"/>
                <a:ext cx="1437748" cy="246579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HighSedimentation</a:t>
                </a:r>
              </a:p>
            </xdr:txBody>
          </xdr:sp>
          <xdr:sp macro="" textlink="">
            <xdr:nvSpPr>
              <xdr:cNvPr id="64" name="TextBox 162">
                <a:extLst>
                  <a:ext uri="{FF2B5EF4-FFF2-40B4-BE49-F238E27FC236}">
                    <a16:creationId xmlns:a16="http://schemas.microsoft.com/office/drawing/2014/main" id="{5D2D618F-370C-497E-9544-90D3500BFBE0}"/>
                  </a:ext>
                </a:extLst>
              </xdr:cNvPr>
              <xdr:cNvSpPr txBox="1"/>
            </xdr:nvSpPr>
            <xdr:spPr>
              <a:xfrm>
                <a:off x="4142282" y="297230"/>
                <a:ext cx="659284" cy="24741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100/0</a:t>
                </a:r>
              </a:p>
            </xdr:txBody>
          </xdr:sp>
          <xdr:sp macro="" textlink="">
            <xdr:nvSpPr>
              <xdr:cNvPr id="65" name="TextBox 163">
                <a:extLst>
                  <a:ext uri="{FF2B5EF4-FFF2-40B4-BE49-F238E27FC236}">
                    <a16:creationId xmlns:a16="http://schemas.microsoft.com/office/drawing/2014/main" id="{18122793-95AE-7325-3675-7688E4653F6B}"/>
                  </a:ext>
                </a:extLst>
              </xdr:cNvPr>
              <xdr:cNvSpPr txBox="1"/>
            </xdr:nvSpPr>
            <xdr:spPr>
              <a:xfrm>
                <a:off x="6906809" y="308599"/>
                <a:ext cx="659283" cy="24741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100/0</a:t>
                </a:r>
              </a:p>
            </xdr:txBody>
          </xdr:sp>
          <xdr:sp macro="" textlink="">
            <xdr:nvSpPr>
              <xdr:cNvPr id="66" name="TextBox 164">
                <a:extLst>
                  <a:ext uri="{FF2B5EF4-FFF2-40B4-BE49-F238E27FC236}">
                    <a16:creationId xmlns:a16="http://schemas.microsoft.com/office/drawing/2014/main" id="{76481DCA-F863-735B-135E-037B294963EC}"/>
                  </a:ext>
                </a:extLst>
              </xdr:cNvPr>
              <xdr:cNvSpPr txBox="1"/>
            </xdr:nvSpPr>
            <xdr:spPr>
              <a:xfrm>
                <a:off x="4127991" y="565519"/>
                <a:ext cx="659284" cy="242964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0.21</a:t>
                </a:r>
              </a:p>
            </xdr:txBody>
          </xdr:sp>
          <xdr:sp macro="" textlink="">
            <xdr:nvSpPr>
              <xdr:cNvPr id="67" name="TextBox 165">
                <a:extLst>
                  <a:ext uri="{FF2B5EF4-FFF2-40B4-BE49-F238E27FC236}">
                    <a16:creationId xmlns:a16="http://schemas.microsoft.com/office/drawing/2014/main" id="{DBB84897-03EB-3451-CF06-D604D29B9402}"/>
                  </a:ext>
                </a:extLst>
              </xdr:cNvPr>
              <xdr:cNvSpPr txBox="1"/>
            </xdr:nvSpPr>
            <xdr:spPr>
              <a:xfrm>
                <a:off x="6908649" y="580167"/>
                <a:ext cx="659283" cy="242964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0.21</a:t>
                </a:r>
              </a:p>
            </xdr:txBody>
          </xdr:sp>
          <xdr:sp macro="" textlink="">
            <xdr:nvSpPr>
              <xdr:cNvPr id="68" name="TextBox 166">
                <a:extLst>
                  <a:ext uri="{FF2B5EF4-FFF2-40B4-BE49-F238E27FC236}">
                    <a16:creationId xmlns:a16="http://schemas.microsoft.com/office/drawing/2014/main" id="{4557FAD8-5D1F-DDCE-7AEB-2751943426B6}"/>
                  </a:ext>
                </a:extLst>
              </xdr:cNvPr>
              <xdr:cNvSpPr txBox="1"/>
            </xdr:nvSpPr>
            <xdr:spPr>
              <a:xfrm>
                <a:off x="3983366" y="924842"/>
                <a:ext cx="1069571" cy="25266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415/419/419</a:t>
                </a:r>
              </a:p>
            </xdr:txBody>
          </xdr:sp>
          <xdr:sp macro="" textlink="">
            <xdr:nvSpPr>
              <xdr:cNvPr id="69" name="TextBox 167">
                <a:extLst>
                  <a:ext uri="{FF2B5EF4-FFF2-40B4-BE49-F238E27FC236}">
                    <a16:creationId xmlns:a16="http://schemas.microsoft.com/office/drawing/2014/main" id="{0D788325-4F4E-1029-82A9-8A34DD4F61F0}"/>
                  </a:ext>
                </a:extLst>
              </xdr:cNvPr>
              <xdr:cNvSpPr txBox="1"/>
            </xdr:nvSpPr>
            <xdr:spPr>
              <a:xfrm>
                <a:off x="6722571" y="901514"/>
                <a:ext cx="1169906" cy="265545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420/421/423</a:t>
                </a:r>
              </a:p>
            </xdr:txBody>
          </xdr:sp>
        </xdr:grpSp>
      </xdr:grpSp>
    </xdr:grp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0.00112</cdr:y>
    </cdr:from>
    <cdr:to>
      <cdr:x>1</cdr:x>
      <cdr:y>0.04827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91B2A98C-87B5-DAC0-77C1-172A7D1CB4FB}"/>
            </a:ext>
          </a:extLst>
        </cdr:cNvPr>
        <cdr:cNvSpPr txBox="1"/>
      </cdr:nvSpPr>
      <cdr:spPr>
        <a:xfrm xmlns:a="http://schemas.openxmlformats.org/drawingml/2006/main">
          <a:off x="0" y="9803"/>
          <a:ext cx="12783435" cy="411039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Catalytic 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0.00112</cdr:y>
    </cdr:from>
    <cdr:to>
      <cdr:x>1</cdr:x>
      <cdr:y>0.04827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91B2A98C-87B5-DAC0-77C1-172A7D1CB4FB}"/>
            </a:ext>
          </a:extLst>
        </cdr:cNvPr>
        <cdr:cNvSpPr txBox="1"/>
      </cdr:nvSpPr>
      <cdr:spPr>
        <a:xfrm xmlns:a="http://schemas.openxmlformats.org/drawingml/2006/main">
          <a:off x="0" y="9803"/>
          <a:ext cx="12783435" cy="411039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Catalytic 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265814</xdr:colOff>
      <xdr:row>2</xdr:row>
      <xdr:rowOff>2116</xdr:rowOff>
    </xdr:from>
    <xdr:to>
      <xdr:col>20</xdr:col>
      <xdr:colOff>280582</xdr:colOff>
      <xdr:row>42</xdr:row>
      <xdr:rowOff>118139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BCD68C-8930-4823-923A-EC2CC0CE0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323490</xdr:colOff>
      <xdr:row>4</xdr:row>
      <xdr:rowOff>83869</xdr:rowOff>
    </xdr:from>
    <xdr:to>
      <xdr:col>18</xdr:col>
      <xdr:colOff>432738</xdr:colOff>
      <xdr:row>11</xdr:row>
      <xdr:rowOff>120357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1595391-CD8E-4AD7-9B26-587DB7020486}"/>
            </a:ext>
          </a:extLst>
        </xdr:cNvPr>
        <xdr:cNvGrpSpPr/>
      </xdr:nvGrpSpPr>
      <xdr:grpSpPr>
        <a:xfrm>
          <a:off x="323490" y="809583"/>
          <a:ext cx="10722819" cy="1306488"/>
          <a:chOff x="0" y="-12120"/>
          <a:chExt cx="6624199" cy="1019925"/>
        </a:xfrm>
      </xdr:grpSpPr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1B5390E4-EA97-AE53-8D62-008576BEF3DC}"/>
              </a:ext>
            </a:extLst>
          </xdr:cNvPr>
          <xdr:cNvCxnSpPr/>
        </xdr:nvCxnSpPr>
        <xdr:spPr>
          <a:xfrm>
            <a:off x="4829070" y="161283"/>
            <a:ext cx="1795129" cy="2785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CBB4DF75-6BD7-F36B-4AB2-9D15F98A6E23}"/>
              </a:ext>
            </a:extLst>
          </xdr:cNvPr>
          <xdr:cNvGrpSpPr/>
        </xdr:nvGrpSpPr>
        <xdr:grpSpPr>
          <a:xfrm>
            <a:off x="0" y="-12120"/>
            <a:ext cx="6624197" cy="1019925"/>
            <a:chOff x="0" y="-14161"/>
            <a:chExt cx="8574500" cy="1191664"/>
          </a:xfrm>
        </xdr:grpSpPr>
        <xdr:sp macro="" textlink="">
          <xdr:nvSpPr>
            <xdr:cNvPr id="6" name="TextBox 141">
              <a:extLst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7" name="TextBox 142">
              <a:extLst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8" name="TextBox 143">
              <a:extLst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9" name="TextBox 144">
              <a:extLst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xdr:cNvPr>
            <xdr:cNvSpPr txBox="1"/>
          </xdr:nvSpPr>
          <xdr:spPr>
            <a:xfrm>
              <a:off x="559" y="86703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xdr:txBody>
        </xdr:sp>
        <xdr:cxnSp macro="">
          <xdr:nvCxnSpPr>
            <xdr:cNvPr id="10" name="Straight Arrow Connector 9">
              <a:extLst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xdr:cNvPr>
            <xdr:cNvCxnSpPr/>
          </xdr:nvCxnSpPr>
          <xdr:spPr>
            <a:xfrm>
              <a:off x="1074638" y="163478"/>
              <a:ext cx="2019871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Straight Arrow Connector 10">
              <a:extLst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xdr:cNvPr>
            <xdr:cNvCxnSpPr/>
          </xdr:nvCxnSpPr>
          <xdr:spPr>
            <a:xfrm>
              <a:off x="1067923" y="383561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Straight Arrow Connector 11">
              <a:extLst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xdr:cNvPr>
            <xdr:cNvCxnSpPr/>
          </xdr:nvCxnSpPr>
          <xdr:spPr>
            <a:xfrm>
              <a:off x="1078306" y="672170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Straight Arrow Connector 12">
              <a:extLst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xdr:cNvPr>
            <xdr:cNvCxnSpPr/>
          </xdr:nvCxnSpPr>
          <xdr:spPr>
            <a:xfrm>
              <a:off x="1082466" y="1027510"/>
              <a:ext cx="2019871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" name="TextBox 149">
              <a:extLst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xdr:cNvPr>
            <xdr:cNvSpPr txBox="1"/>
          </xdr:nvSpPr>
          <xdr:spPr>
            <a:xfrm>
              <a:off x="1740258" y="-14161"/>
              <a:ext cx="656298" cy="2355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5" name="TextBox 150">
              <a:extLst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xdr:cNvPr>
            <xdr:cNvSpPr txBox="1"/>
          </xdr:nvSpPr>
          <xdr:spPr>
            <a:xfrm>
              <a:off x="1755308" y="275563"/>
              <a:ext cx="657417" cy="2250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6" name="TextBox 151">
              <a:extLst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xdr:cNvPr>
            <xdr:cNvSpPr txBox="1"/>
          </xdr:nvSpPr>
          <xdr:spPr>
            <a:xfrm>
              <a:off x="1752865" y="550316"/>
              <a:ext cx="659283" cy="24377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17" name="TextBox 152">
              <a:extLst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xdr:cNvPr>
            <xdr:cNvSpPr txBox="1"/>
          </xdr:nvSpPr>
          <xdr:spPr>
            <a:xfrm>
              <a:off x="1627946" y="871026"/>
              <a:ext cx="1064877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18" name="Straight Arrow Connector 17">
              <a:extLst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xdr:cNvPr>
            <xdr:cNvCxnSpPr/>
          </xdr:nvCxnSpPr>
          <xdr:spPr>
            <a:xfrm>
              <a:off x="3374196" y="179495"/>
              <a:ext cx="2700277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xdr:cNvPr>
            <xdr:cNvCxnSpPr/>
          </xdr:nvCxnSpPr>
          <xdr:spPr>
            <a:xfrm>
              <a:off x="3366331" y="353787"/>
              <a:ext cx="2707244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xdr:cNvPr>
            <xdr:cNvCxnSpPr/>
          </xdr:nvCxnSpPr>
          <xdr:spPr>
            <a:xfrm flipV="1">
              <a:off x="6239077" y="388108"/>
              <a:ext cx="2326927" cy="7439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xdr:cNvPr>
            <xdr:cNvCxnSpPr/>
          </xdr:nvCxnSpPr>
          <xdr:spPr>
            <a:xfrm>
              <a:off x="3350601" y="644272"/>
              <a:ext cx="2730077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xdr:cNvPr>
            <xdr:cNvCxnSpPr/>
          </xdr:nvCxnSpPr>
          <xdr:spPr>
            <a:xfrm>
              <a:off x="6241560" y="677556"/>
              <a:ext cx="2332938" cy="495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xdr:cNvPr>
            <xdr:cNvCxnSpPr/>
          </xdr:nvCxnSpPr>
          <xdr:spPr>
            <a:xfrm>
              <a:off x="3366331" y="1012220"/>
              <a:ext cx="2727007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xdr:cNvPr>
            <xdr:cNvCxnSpPr/>
          </xdr:nvCxnSpPr>
          <xdr:spPr>
            <a:xfrm>
              <a:off x="6259247" y="1047205"/>
              <a:ext cx="2315253" cy="4965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" name="TextBox 160">
              <a:extLst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xdr:cNvPr>
            <xdr:cNvSpPr txBox="1"/>
          </xdr:nvSpPr>
          <xdr:spPr>
            <a:xfrm>
              <a:off x="3837482" y="10082"/>
              <a:ext cx="1482209" cy="27544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26" name="TextBox 161">
              <a:extLst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xdr:cNvPr>
            <xdr:cNvSpPr txBox="1"/>
          </xdr:nvSpPr>
          <xdr:spPr>
            <a:xfrm>
              <a:off x="6622030" y="30798"/>
              <a:ext cx="1437748" cy="24657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 Sedimentation</a:t>
              </a:r>
            </a:p>
          </xdr:txBody>
        </xdr:sp>
        <xdr:sp macro="" textlink="">
          <xdr:nvSpPr>
            <xdr:cNvPr id="27" name="TextBox 162">
              <a:extLst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xdr:cNvPr>
            <xdr:cNvSpPr txBox="1"/>
          </xdr:nvSpPr>
          <xdr:spPr>
            <a:xfrm>
              <a:off x="4142282" y="297230"/>
              <a:ext cx="659284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28" name="TextBox 163">
              <a:extLst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xdr:cNvPr>
            <xdr:cNvSpPr txBox="1"/>
          </xdr:nvSpPr>
          <xdr:spPr>
            <a:xfrm>
              <a:off x="6906809" y="308599"/>
              <a:ext cx="659283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29" name="TextBox 164">
              <a:extLst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xdr:cNvPr>
            <xdr:cNvSpPr txBox="1"/>
          </xdr:nvSpPr>
          <xdr:spPr>
            <a:xfrm>
              <a:off x="4127991" y="565519"/>
              <a:ext cx="659284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0" name="TextBox 165">
              <a:extLst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xdr:cNvPr>
            <xdr:cNvSpPr txBox="1"/>
          </xdr:nvSpPr>
          <xdr:spPr>
            <a:xfrm>
              <a:off x="6908649" y="580167"/>
              <a:ext cx="659283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1" name="TextBox 166">
              <a:extLst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xdr:cNvPr>
            <xdr:cNvSpPr txBox="1"/>
          </xdr:nvSpPr>
          <xdr:spPr>
            <a:xfrm>
              <a:off x="3983366" y="924842"/>
              <a:ext cx="1069571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32" name="TextBox 167">
              <a:extLst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xdr:cNvPr>
            <xdr:cNvSpPr txBox="1"/>
          </xdr:nvSpPr>
          <xdr:spPr>
            <a:xfrm>
              <a:off x="6722571" y="901514"/>
              <a:ext cx="1169906" cy="26554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  <xdr:twoCellAnchor>
    <xdr:from>
      <xdr:col>22</xdr:col>
      <xdr:colOff>0</xdr:colOff>
      <xdr:row>2</xdr:row>
      <xdr:rowOff>0</xdr:rowOff>
    </xdr:from>
    <xdr:to>
      <xdr:col>42</xdr:col>
      <xdr:colOff>14768</xdr:colOff>
      <xdr:row>42</xdr:row>
      <xdr:rowOff>116023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21E1238B-D606-47E1-9F69-E975930D2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236280</xdr:colOff>
      <xdr:row>2</xdr:row>
      <xdr:rowOff>29534</xdr:rowOff>
    </xdr:from>
    <xdr:to>
      <xdr:col>63</xdr:col>
      <xdr:colOff>251048</xdr:colOff>
      <xdr:row>42</xdr:row>
      <xdr:rowOff>145557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FD8E0A07-A6E4-4278-ACF8-A286187F2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64</xdr:col>
      <xdr:colOff>413487</xdr:colOff>
      <xdr:row>2</xdr:row>
      <xdr:rowOff>29535</xdr:rowOff>
    </xdr:from>
    <xdr:to>
      <xdr:col>84</xdr:col>
      <xdr:colOff>428255</xdr:colOff>
      <xdr:row>42</xdr:row>
      <xdr:rowOff>145558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66E62E0-4F1E-4A32-B60B-EC0708937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0.05548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777" y="50768"/>
          <a:ext cx="12131766" cy="35447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Conversion(Ni</a:t>
          </a:r>
          <a:r>
            <a:rPr lang="en-US" sz="2400" b="1" baseline="0">
              <a:effectLst/>
            </a:rPr>
            <a:t> &amp; V)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0.05548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777" y="50768"/>
          <a:ext cx="12131766" cy="35447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on Catalyst vs</a:t>
          </a:r>
          <a:r>
            <a:rPr lang="en-US" sz="2400" b="1" baseline="0">
              <a:effectLst/>
            </a:rPr>
            <a:t> </a:t>
          </a:r>
          <a:r>
            <a:rPr lang="en-US" sz="2400" b="1">
              <a:effectLst/>
            </a:rPr>
            <a:t>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  <cdr:relSizeAnchor xmlns:cdr="http://schemas.openxmlformats.org/drawingml/2006/chartDrawing">
    <cdr:from>
      <cdr:x>0.02961</cdr:x>
      <cdr:y>0.06276</cdr:y>
    </cdr:from>
    <cdr:to>
      <cdr:x>0.8852</cdr:x>
      <cdr:y>0.22115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11595391-CD8E-4AD7-9B26-587DB7020486}"/>
            </a:ext>
          </a:extLst>
        </cdr:cNvPr>
        <cdr:cNvGrpSpPr/>
      </cdr:nvGrpSpPr>
      <cdr:grpSpPr>
        <a:xfrm xmlns:a="http://schemas.openxmlformats.org/drawingml/2006/main">
          <a:off x="367531" y="462740"/>
          <a:ext cx="10619914" cy="1167836"/>
          <a:chOff x="0" y="19099"/>
          <a:chExt cx="5113392" cy="911509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1B5390E4-EA97-AE53-8D62-008576BEF3DC}"/>
              </a:ext>
            </a:extLst>
          </cdr:cNvPr>
          <cdr:cNvCxnSpPr/>
        </cdr:nvCxnSpPr>
        <cdr:spPr>
          <a:xfrm xmlns:a="http://schemas.openxmlformats.org/drawingml/2006/main" flipV="1">
            <a:off x="3288004" y="139322"/>
            <a:ext cx="1807971" cy="10564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CBB4DF75-6BD7-F36B-4AB2-9D15F98A6E23}"/>
              </a:ext>
            </a:extLst>
          </cdr:cNvPr>
          <cdr:cNvGrpSpPr/>
        </cdr:nvGrpSpPr>
        <cdr:grpSpPr>
          <a:xfrm xmlns:a="http://schemas.openxmlformats.org/drawingml/2006/main">
            <a:off x="0" y="19099"/>
            <a:ext cx="5113392" cy="911509"/>
            <a:chOff x="0" y="28325"/>
            <a:chExt cx="11099002" cy="1351791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cdr:cNvPr>
            <cdr:cNvSpPr txBox="1"/>
          </cdr:nvSpPr>
          <cdr:spPr>
            <a:xfrm xmlns:a="http://schemas.openxmlformats.org/drawingml/2006/main">
              <a:off x="15647" y="49518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cdr:cNvPr>
            <cdr:cNvSpPr txBox="1"/>
          </cdr:nvSpPr>
          <cdr:spPr>
            <a:xfrm xmlns:a="http://schemas.openxmlformats.org/drawingml/2006/main">
              <a:off x="0" y="338507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cdr:cNvPr>
            <cdr:cNvSpPr txBox="1"/>
          </cdr:nvSpPr>
          <cdr:spPr>
            <a:xfrm xmlns:a="http://schemas.openxmlformats.org/drawingml/2006/main">
              <a:off x="9412" y="645352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cdr:cNvPr>
            <cdr:cNvSpPr txBox="1"/>
          </cdr:nvSpPr>
          <cdr:spPr>
            <a:xfrm xmlns:a="http://schemas.openxmlformats.org/drawingml/2006/main">
              <a:off x="724" y="1029574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35361" y="206619"/>
              <a:ext cx="2416691" cy="93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52073" y="472590"/>
              <a:ext cx="2387276" cy="20097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0109" y="794556"/>
              <a:ext cx="2411943" cy="3533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5494" y="1200514"/>
              <a:ext cx="2419261" cy="3055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cdr:cNvPr>
            <cdr:cNvSpPr txBox="1"/>
          </cdr:nvSpPr>
          <cdr:spPr>
            <a:xfrm xmlns:a="http://schemas.openxmlformats.org/drawingml/2006/main">
              <a:off x="1769927" y="41996"/>
              <a:ext cx="849525" cy="2752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cdr:cNvPr>
            <cdr:cNvSpPr txBox="1"/>
          </cdr:nvSpPr>
          <cdr:spPr>
            <a:xfrm xmlns:a="http://schemas.openxmlformats.org/drawingml/2006/main">
              <a:off x="1764002" y="366505"/>
              <a:ext cx="850974" cy="26289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cdr:cNvPr>
            <cdr:cNvSpPr txBox="1"/>
          </cdr:nvSpPr>
          <cdr:spPr>
            <a:xfrm xmlns:a="http://schemas.openxmlformats.org/drawingml/2006/main">
              <a:off x="1773543" y="659525"/>
              <a:ext cx="853389" cy="284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cdr:cNvPr>
            <cdr:cNvSpPr txBox="1"/>
          </cdr:nvSpPr>
          <cdr:spPr>
            <a:xfrm xmlns:a="http://schemas.openxmlformats.org/drawingml/2006/main">
              <a:off x="1611846" y="1062235"/>
              <a:ext cx="1378398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cdr:cNvPr>
            <cdr:cNvCxnSpPr/>
          </cdr:nvCxnSpPr>
          <cdr:spPr>
            <a:xfrm xmlns:a="http://schemas.openxmlformats.org/drawingml/2006/main">
              <a:off x="3570287" y="215212"/>
              <a:ext cx="3430937" cy="6902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cdr:cNvPr>
            <cdr:cNvCxnSpPr/>
          </cdr:nvCxnSpPr>
          <cdr:spPr>
            <a:xfrm xmlns:a="http://schemas.openxmlformats.org/drawingml/2006/main">
              <a:off x="3550140" y="452008"/>
              <a:ext cx="3451084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cdr:cNvPr>
            <cdr:cNvCxnSpPr/>
          </cdr:nvCxnSpPr>
          <cdr:spPr>
            <a:xfrm xmlns:a="http://schemas.openxmlformats.org/drawingml/2006/main">
              <a:off x="7136861" y="465484"/>
              <a:ext cx="3951145" cy="452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2227" y="774704"/>
              <a:ext cx="3448963" cy="859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cdr:cNvPr>
            <cdr:cNvCxnSpPr/>
          </cdr:nvCxnSpPr>
          <cdr:spPr>
            <a:xfrm xmlns:a="http://schemas.openxmlformats.org/drawingml/2006/main">
              <a:off x="7116616" y="763953"/>
              <a:ext cx="3982383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9885" y="1158520"/>
              <a:ext cx="342618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cdr:cNvPr>
            <cdr:cNvCxnSpPr/>
          </cdr:nvCxnSpPr>
          <cdr:spPr>
            <a:xfrm xmlns:a="http://schemas.openxmlformats.org/drawingml/2006/main">
              <a:off x="7136861" y="1184022"/>
              <a:ext cx="396214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cdr:cNvPr>
            <cdr:cNvSpPr txBox="1"/>
          </cdr:nvSpPr>
          <cdr:spPr>
            <a:xfrm xmlns:a="http://schemas.openxmlformats.org/drawingml/2006/main">
              <a:off x="4498876" y="28325"/>
              <a:ext cx="1918601" cy="321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cdr:cNvPr>
            <cdr:cNvSpPr txBox="1"/>
          </cdr:nvSpPr>
          <cdr:spPr>
            <a:xfrm xmlns:a="http://schemas.openxmlformats.org/drawingml/2006/main">
              <a:off x="8571686" y="52529"/>
              <a:ext cx="1861049" cy="28809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 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cdr:cNvPr>
            <cdr:cNvSpPr txBox="1"/>
          </cdr:nvSpPr>
          <cdr:spPr>
            <a:xfrm xmlns:a="http://schemas.openxmlformats.org/drawingml/2006/main">
              <a:off x="4853548" y="385927"/>
              <a:ext cx="853390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cdr:cNvPr>
            <cdr:cNvSpPr txBox="1"/>
          </cdr:nvSpPr>
          <cdr:spPr>
            <a:xfrm xmlns:a="http://schemas.openxmlformats.org/drawingml/2006/main">
              <a:off x="8940310" y="377107"/>
              <a:ext cx="853389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cdr:cNvPr>
            <cdr:cNvSpPr txBox="1"/>
          </cdr:nvSpPr>
          <cdr:spPr>
            <a:xfrm xmlns:a="http://schemas.openxmlformats.org/drawingml/2006/main">
              <a:off x="4864950" y="688341"/>
              <a:ext cx="853390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cdr:cNvPr>
            <cdr:cNvSpPr txBox="1"/>
          </cdr:nvSpPr>
          <cdr:spPr>
            <a:xfrm xmlns:a="http://schemas.openxmlformats.org/drawingml/2006/main">
              <a:off x="8942692" y="694402"/>
              <a:ext cx="853389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cdr:cNvPr>
            <cdr:cNvSpPr txBox="1"/>
          </cdr:nvSpPr>
          <cdr:spPr>
            <a:xfrm xmlns:a="http://schemas.openxmlformats.org/drawingml/2006/main">
              <a:off x="4648045" y="1027121"/>
              <a:ext cx="1384474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cdr:cNvPr>
            <cdr:cNvSpPr txBox="1"/>
          </cdr:nvSpPr>
          <cdr:spPr>
            <a:xfrm xmlns:a="http://schemas.openxmlformats.org/drawingml/2006/main">
              <a:off x="8701829" y="1069858"/>
              <a:ext cx="1514349" cy="31025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0.05548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777" y="50768"/>
          <a:ext cx="12131766" cy="35447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on Catalyst vs</a:t>
          </a:r>
          <a:r>
            <a:rPr lang="en-US" sz="2400" b="1" baseline="0">
              <a:effectLst/>
            </a:rPr>
            <a:t> </a:t>
          </a:r>
          <a:r>
            <a:rPr lang="en-US" sz="2400" b="1">
              <a:effectLst/>
            </a:rPr>
            <a:t>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  <cdr:relSizeAnchor xmlns:cdr="http://schemas.openxmlformats.org/drawingml/2006/chartDrawing">
    <cdr:from>
      <cdr:x>0.02961</cdr:x>
      <cdr:y>0.06276</cdr:y>
    </cdr:from>
    <cdr:to>
      <cdr:x>0.8852</cdr:x>
      <cdr:y>0.22115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11595391-CD8E-4AD7-9B26-587DB7020486}"/>
            </a:ext>
          </a:extLst>
        </cdr:cNvPr>
        <cdr:cNvGrpSpPr/>
      </cdr:nvGrpSpPr>
      <cdr:grpSpPr>
        <a:xfrm xmlns:a="http://schemas.openxmlformats.org/drawingml/2006/main">
          <a:off x="367531" y="462740"/>
          <a:ext cx="10619914" cy="1167836"/>
          <a:chOff x="0" y="19099"/>
          <a:chExt cx="5113392" cy="911509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1B5390E4-EA97-AE53-8D62-008576BEF3DC}"/>
              </a:ext>
            </a:extLst>
          </cdr:cNvPr>
          <cdr:cNvCxnSpPr/>
        </cdr:nvCxnSpPr>
        <cdr:spPr>
          <a:xfrm xmlns:a="http://schemas.openxmlformats.org/drawingml/2006/main" flipV="1">
            <a:off x="3288004" y="139322"/>
            <a:ext cx="1807971" cy="10564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CBB4DF75-6BD7-F36B-4AB2-9D15F98A6E23}"/>
              </a:ext>
            </a:extLst>
          </cdr:cNvPr>
          <cdr:cNvGrpSpPr/>
        </cdr:nvGrpSpPr>
        <cdr:grpSpPr>
          <a:xfrm xmlns:a="http://schemas.openxmlformats.org/drawingml/2006/main">
            <a:off x="0" y="19099"/>
            <a:ext cx="5113392" cy="911509"/>
            <a:chOff x="0" y="28325"/>
            <a:chExt cx="11099002" cy="1351791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cdr:cNvPr>
            <cdr:cNvSpPr txBox="1"/>
          </cdr:nvSpPr>
          <cdr:spPr>
            <a:xfrm xmlns:a="http://schemas.openxmlformats.org/drawingml/2006/main">
              <a:off x="15647" y="49518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cdr:cNvPr>
            <cdr:cNvSpPr txBox="1"/>
          </cdr:nvSpPr>
          <cdr:spPr>
            <a:xfrm xmlns:a="http://schemas.openxmlformats.org/drawingml/2006/main">
              <a:off x="0" y="338507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cdr:cNvPr>
            <cdr:cNvSpPr txBox="1"/>
          </cdr:nvSpPr>
          <cdr:spPr>
            <a:xfrm xmlns:a="http://schemas.openxmlformats.org/drawingml/2006/main">
              <a:off x="9412" y="645352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cdr:cNvPr>
            <cdr:cNvSpPr txBox="1"/>
          </cdr:nvSpPr>
          <cdr:spPr>
            <a:xfrm xmlns:a="http://schemas.openxmlformats.org/drawingml/2006/main">
              <a:off x="724" y="1029574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35361" y="206619"/>
              <a:ext cx="2416691" cy="93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52073" y="472590"/>
              <a:ext cx="2387276" cy="20097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0109" y="794556"/>
              <a:ext cx="2411943" cy="3533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5494" y="1200514"/>
              <a:ext cx="2419261" cy="3055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cdr:cNvPr>
            <cdr:cNvSpPr txBox="1"/>
          </cdr:nvSpPr>
          <cdr:spPr>
            <a:xfrm xmlns:a="http://schemas.openxmlformats.org/drawingml/2006/main">
              <a:off x="1769927" y="41996"/>
              <a:ext cx="849525" cy="2752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cdr:cNvPr>
            <cdr:cNvSpPr txBox="1"/>
          </cdr:nvSpPr>
          <cdr:spPr>
            <a:xfrm xmlns:a="http://schemas.openxmlformats.org/drawingml/2006/main">
              <a:off x="1764002" y="366505"/>
              <a:ext cx="850974" cy="26289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cdr:cNvPr>
            <cdr:cNvSpPr txBox="1"/>
          </cdr:nvSpPr>
          <cdr:spPr>
            <a:xfrm xmlns:a="http://schemas.openxmlformats.org/drawingml/2006/main">
              <a:off x="1773543" y="659525"/>
              <a:ext cx="853389" cy="284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cdr:cNvPr>
            <cdr:cNvSpPr txBox="1"/>
          </cdr:nvSpPr>
          <cdr:spPr>
            <a:xfrm xmlns:a="http://schemas.openxmlformats.org/drawingml/2006/main">
              <a:off x="1611846" y="1062235"/>
              <a:ext cx="1378398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cdr:cNvPr>
            <cdr:cNvCxnSpPr/>
          </cdr:nvCxnSpPr>
          <cdr:spPr>
            <a:xfrm xmlns:a="http://schemas.openxmlformats.org/drawingml/2006/main">
              <a:off x="3570287" y="215212"/>
              <a:ext cx="3430937" cy="6902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cdr:cNvPr>
            <cdr:cNvCxnSpPr/>
          </cdr:nvCxnSpPr>
          <cdr:spPr>
            <a:xfrm xmlns:a="http://schemas.openxmlformats.org/drawingml/2006/main">
              <a:off x="3550140" y="452008"/>
              <a:ext cx="3451084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cdr:cNvPr>
            <cdr:cNvCxnSpPr/>
          </cdr:nvCxnSpPr>
          <cdr:spPr>
            <a:xfrm xmlns:a="http://schemas.openxmlformats.org/drawingml/2006/main">
              <a:off x="7136861" y="465484"/>
              <a:ext cx="3951145" cy="452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2227" y="774704"/>
              <a:ext cx="3448963" cy="859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cdr:cNvPr>
            <cdr:cNvCxnSpPr/>
          </cdr:nvCxnSpPr>
          <cdr:spPr>
            <a:xfrm xmlns:a="http://schemas.openxmlformats.org/drawingml/2006/main">
              <a:off x="7116616" y="763953"/>
              <a:ext cx="3982383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9885" y="1158520"/>
              <a:ext cx="342618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cdr:cNvPr>
            <cdr:cNvCxnSpPr/>
          </cdr:nvCxnSpPr>
          <cdr:spPr>
            <a:xfrm xmlns:a="http://schemas.openxmlformats.org/drawingml/2006/main">
              <a:off x="7136861" y="1184022"/>
              <a:ext cx="396214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cdr:cNvPr>
            <cdr:cNvSpPr txBox="1"/>
          </cdr:nvSpPr>
          <cdr:spPr>
            <a:xfrm xmlns:a="http://schemas.openxmlformats.org/drawingml/2006/main">
              <a:off x="4498876" y="28325"/>
              <a:ext cx="1918601" cy="321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cdr:cNvPr>
            <cdr:cNvSpPr txBox="1"/>
          </cdr:nvSpPr>
          <cdr:spPr>
            <a:xfrm xmlns:a="http://schemas.openxmlformats.org/drawingml/2006/main">
              <a:off x="8571686" y="52529"/>
              <a:ext cx="1861049" cy="28809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 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cdr:cNvPr>
            <cdr:cNvSpPr txBox="1"/>
          </cdr:nvSpPr>
          <cdr:spPr>
            <a:xfrm xmlns:a="http://schemas.openxmlformats.org/drawingml/2006/main">
              <a:off x="4853548" y="385927"/>
              <a:ext cx="853390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cdr:cNvPr>
            <cdr:cNvSpPr txBox="1"/>
          </cdr:nvSpPr>
          <cdr:spPr>
            <a:xfrm xmlns:a="http://schemas.openxmlformats.org/drawingml/2006/main">
              <a:off x="8940310" y="377107"/>
              <a:ext cx="853389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cdr:cNvPr>
            <cdr:cNvSpPr txBox="1"/>
          </cdr:nvSpPr>
          <cdr:spPr>
            <a:xfrm xmlns:a="http://schemas.openxmlformats.org/drawingml/2006/main">
              <a:off x="4864950" y="688341"/>
              <a:ext cx="853390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cdr:cNvPr>
            <cdr:cNvSpPr txBox="1"/>
          </cdr:nvSpPr>
          <cdr:spPr>
            <a:xfrm xmlns:a="http://schemas.openxmlformats.org/drawingml/2006/main">
              <a:off x="8942692" y="694402"/>
              <a:ext cx="853389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cdr:cNvPr>
            <cdr:cNvSpPr txBox="1"/>
          </cdr:nvSpPr>
          <cdr:spPr>
            <a:xfrm xmlns:a="http://schemas.openxmlformats.org/drawingml/2006/main">
              <a:off x="4648045" y="1027121"/>
              <a:ext cx="1384474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cdr:cNvPr>
            <cdr:cNvSpPr txBox="1"/>
          </cdr:nvSpPr>
          <cdr:spPr>
            <a:xfrm xmlns:a="http://schemas.openxmlformats.org/drawingml/2006/main">
              <a:off x="8701829" y="1069858"/>
              <a:ext cx="1514349" cy="31025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0.05548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777" y="50768"/>
          <a:ext cx="12131766" cy="35447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on Catalyst vs</a:t>
          </a:r>
          <a:r>
            <a:rPr lang="en-US" sz="2400" b="1" baseline="0">
              <a:effectLst/>
            </a:rPr>
            <a:t> </a:t>
          </a:r>
          <a:r>
            <a:rPr lang="en-US" sz="2400" b="1">
              <a:effectLst/>
            </a:rPr>
            <a:t>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  <cdr:relSizeAnchor xmlns:cdr="http://schemas.openxmlformats.org/drawingml/2006/chartDrawing">
    <cdr:from>
      <cdr:x>0.02961</cdr:x>
      <cdr:y>0.06276</cdr:y>
    </cdr:from>
    <cdr:to>
      <cdr:x>0.95211</cdr:x>
      <cdr:y>0.22115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11595391-CD8E-4AD7-9B26-587DB7020486}"/>
            </a:ext>
          </a:extLst>
        </cdr:cNvPr>
        <cdr:cNvGrpSpPr/>
      </cdr:nvGrpSpPr>
      <cdr:grpSpPr>
        <a:xfrm xmlns:a="http://schemas.openxmlformats.org/drawingml/2006/main">
          <a:off x="354996" y="471849"/>
          <a:ext cx="11059902" cy="1190825"/>
          <a:chOff x="0" y="19099"/>
          <a:chExt cx="5307768" cy="911509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1B5390E4-EA97-AE53-8D62-008576BEF3DC}"/>
              </a:ext>
            </a:extLst>
          </cdr:cNvPr>
          <cdr:cNvCxnSpPr/>
        </cdr:nvCxnSpPr>
        <cdr:spPr>
          <a:xfrm xmlns:a="http://schemas.openxmlformats.org/drawingml/2006/main" flipV="1">
            <a:off x="3473929" y="125162"/>
            <a:ext cx="1807971" cy="10564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CBB4DF75-6BD7-F36B-4AB2-9D15F98A6E23}"/>
              </a:ext>
            </a:extLst>
          </cdr:cNvPr>
          <cdr:cNvGrpSpPr/>
        </cdr:nvGrpSpPr>
        <cdr:grpSpPr>
          <a:xfrm xmlns:a="http://schemas.openxmlformats.org/drawingml/2006/main">
            <a:off x="0" y="19099"/>
            <a:ext cx="5307768" cy="911509"/>
            <a:chOff x="0" y="28325"/>
            <a:chExt cx="11520909" cy="1351791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cdr:cNvPr>
            <cdr:cNvSpPr txBox="1"/>
          </cdr:nvSpPr>
          <cdr:spPr>
            <a:xfrm xmlns:a="http://schemas.openxmlformats.org/drawingml/2006/main">
              <a:off x="15647" y="49518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cdr:cNvPr>
            <cdr:cNvSpPr txBox="1"/>
          </cdr:nvSpPr>
          <cdr:spPr>
            <a:xfrm xmlns:a="http://schemas.openxmlformats.org/drawingml/2006/main">
              <a:off x="0" y="338507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cdr:cNvPr>
            <cdr:cNvSpPr txBox="1"/>
          </cdr:nvSpPr>
          <cdr:spPr>
            <a:xfrm xmlns:a="http://schemas.openxmlformats.org/drawingml/2006/main">
              <a:off x="9412" y="645352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cdr:cNvPr>
            <cdr:cNvSpPr txBox="1"/>
          </cdr:nvSpPr>
          <cdr:spPr>
            <a:xfrm xmlns:a="http://schemas.openxmlformats.org/drawingml/2006/main">
              <a:off x="724" y="1029574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35361" y="206619"/>
              <a:ext cx="2416691" cy="93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52073" y="472590"/>
              <a:ext cx="2387276" cy="20097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0109" y="794556"/>
              <a:ext cx="2411943" cy="3533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5494" y="1200514"/>
              <a:ext cx="2419261" cy="3055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cdr:cNvPr>
            <cdr:cNvSpPr txBox="1"/>
          </cdr:nvSpPr>
          <cdr:spPr>
            <a:xfrm xmlns:a="http://schemas.openxmlformats.org/drawingml/2006/main">
              <a:off x="1769927" y="41996"/>
              <a:ext cx="849525" cy="2752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cdr:cNvPr>
            <cdr:cNvSpPr txBox="1"/>
          </cdr:nvSpPr>
          <cdr:spPr>
            <a:xfrm xmlns:a="http://schemas.openxmlformats.org/drawingml/2006/main">
              <a:off x="1764002" y="366505"/>
              <a:ext cx="850974" cy="26289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cdr:cNvPr>
            <cdr:cNvSpPr txBox="1"/>
          </cdr:nvSpPr>
          <cdr:spPr>
            <a:xfrm xmlns:a="http://schemas.openxmlformats.org/drawingml/2006/main">
              <a:off x="1773543" y="659525"/>
              <a:ext cx="853389" cy="284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cdr:cNvPr>
            <cdr:cNvSpPr txBox="1"/>
          </cdr:nvSpPr>
          <cdr:spPr>
            <a:xfrm xmlns:a="http://schemas.openxmlformats.org/drawingml/2006/main">
              <a:off x="1611846" y="1062235"/>
              <a:ext cx="1378398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cdr:cNvPr>
            <cdr:cNvCxnSpPr/>
          </cdr:nvCxnSpPr>
          <cdr:spPr>
            <a:xfrm xmlns:a="http://schemas.openxmlformats.org/drawingml/2006/main">
              <a:off x="3570287" y="215212"/>
              <a:ext cx="3430937" cy="6902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cdr:cNvPr>
            <cdr:cNvCxnSpPr/>
          </cdr:nvCxnSpPr>
          <cdr:spPr>
            <a:xfrm xmlns:a="http://schemas.openxmlformats.org/drawingml/2006/main">
              <a:off x="3550140" y="452008"/>
              <a:ext cx="3451084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cdr:cNvPr>
            <cdr:cNvCxnSpPr/>
          </cdr:nvCxnSpPr>
          <cdr:spPr>
            <a:xfrm xmlns:a="http://schemas.openxmlformats.org/drawingml/2006/main">
              <a:off x="7540427" y="507484"/>
              <a:ext cx="3951145" cy="452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2227" y="774704"/>
              <a:ext cx="3448963" cy="859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cdr:cNvPr>
            <cdr:cNvCxnSpPr/>
          </cdr:nvCxnSpPr>
          <cdr:spPr>
            <a:xfrm xmlns:a="http://schemas.openxmlformats.org/drawingml/2006/main">
              <a:off x="7538526" y="763953"/>
              <a:ext cx="3982383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9885" y="1158520"/>
              <a:ext cx="342618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cdr:cNvPr>
            <cdr:cNvCxnSpPr/>
          </cdr:nvCxnSpPr>
          <cdr:spPr>
            <a:xfrm xmlns:a="http://schemas.openxmlformats.org/drawingml/2006/main">
              <a:off x="7540428" y="1163021"/>
              <a:ext cx="396214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cdr:cNvPr>
            <cdr:cNvSpPr txBox="1"/>
          </cdr:nvSpPr>
          <cdr:spPr>
            <a:xfrm xmlns:a="http://schemas.openxmlformats.org/drawingml/2006/main">
              <a:off x="4498876" y="28325"/>
              <a:ext cx="1918601" cy="321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cdr:cNvPr>
            <cdr:cNvSpPr txBox="1"/>
          </cdr:nvSpPr>
          <cdr:spPr>
            <a:xfrm xmlns:a="http://schemas.openxmlformats.org/drawingml/2006/main">
              <a:off x="8571686" y="52529"/>
              <a:ext cx="1861049" cy="28809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 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cdr:cNvPr>
            <cdr:cNvSpPr txBox="1"/>
          </cdr:nvSpPr>
          <cdr:spPr>
            <a:xfrm xmlns:a="http://schemas.openxmlformats.org/drawingml/2006/main">
              <a:off x="4853548" y="385927"/>
              <a:ext cx="853390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cdr:cNvPr>
            <cdr:cNvSpPr txBox="1"/>
          </cdr:nvSpPr>
          <cdr:spPr>
            <a:xfrm xmlns:a="http://schemas.openxmlformats.org/drawingml/2006/main">
              <a:off x="8940310" y="377107"/>
              <a:ext cx="853389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cdr:cNvPr>
            <cdr:cNvSpPr txBox="1"/>
          </cdr:nvSpPr>
          <cdr:spPr>
            <a:xfrm xmlns:a="http://schemas.openxmlformats.org/drawingml/2006/main">
              <a:off x="4864950" y="688341"/>
              <a:ext cx="853390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cdr:cNvPr>
            <cdr:cNvSpPr txBox="1"/>
          </cdr:nvSpPr>
          <cdr:spPr>
            <a:xfrm xmlns:a="http://schemas.openxmlformats.org/drawingml/2006/main">
              <a:off x="8942692" y="694402"/>
              <a:ext cx="853389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cdr:cNvPr>
            <cdr:cNvSpPr txBox="1"/>
          </cdr:nvSpPr>
          <cdr:spPr>
            <a:xfrm xmlns:a="http://schemas.openxmlformats.org/drawingml/2006/main">
              <a:off x="4648045" y="1027121"/>
              <a:ext cx="1384474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cdr:cNvPr>
            <cdr:cNvSpPr txBox="1"/>
          </cdr:nvSpPr>
          <cdr:spPr>
            <a:xfrm xmlns:a="http://schemas.openxmlformats.org/drawingml/2006/main">
              <a:off x="8701829" y="1069858"/>
              <a:ext cx="1514349" cy="31025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609599" y="184150"/>
    <xdr:ext cx="9034463" cy="746230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7DA1B-C44E-42C3-8133-6CCDA9F629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20690417" y="185208"/>
    <xdr:ext cx="9432396" cy="7408334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EED5D6-E39E-4DE6-A4EC-8D02F99542D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10298906" y="208359"/>
    <xdr:ext cx="9134740" cy="7371954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400B2C-D67F-4723-8046-6BF3864A31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twoCellAnchor>
    <xdr:from>
      <xdr:col>1</xdr:col>
      <xdr:colOff>86254</xdr:colOff>
      <xdr:row>3</xdr:row>
      <xdr:rowOff>81815</xdr:rowOff>
    </xdr:from>
    <xdr:to>
      <xdr:col>15</xdr:col>
      <xdr:colOff>34636</xdr:colOff>
      <xdr:row>10</xdr:row>
      <xdr:rowOff>48846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5AE4DE1D-8CB0-16B2-3AAB-873339207FCC}"/>
            </a:ext>
          </a:extLst>
        </xdr:cNvPr>
        <xdr:cNvGrpSpPr/>
      </xdr:nvGrpSpPr>
      <xdr:grpSpPr>
        <a:xfrm>
          <a:off x="693883" y="673022"/>
          <a:ext cx="8455193" cy="1346514"/>
          <a:chOff x="693645" y="620185"/>
          <a:chExt cx="8452874" cy="1224358"/>
        </a:xfrm>
      </xdr:grpSpPr>
      <xdr:cxnSp macro="">
        <xdr:nvCxnSpPr>
          <xdr:cNvPr id="24" name="Straight Arrow Connector 23">
            <a:extLst>
              <a:ext uri="{FF2B5EF4-FFF2-40B4-BE49-F238E27FC236}">
                <a16:creationId xmlns:a16="http://schemas.microsoft.com/office/drawing/2014/main" id="{84858C7B-1150-45AA-90E3-14D48656A5E5}"/>
              </a:ext>
            </a:extLst>
          </xdr:cNvPr>
          <xdr:cNvCxnSpPr/>
        </xdr:nvCxnSpPr>
        <xdr:spPr>
          <a:xfrm flipV="1">
            <a:off x="6778115" y="753879"/>
            <a:ext cx="2368404" cy="13185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49" name="Group 48">
            <a:extLst>
              <a:ext uri="{FF2B5EF4-FFF2-40B4-BE49-F238E27FC236}">
                <a16:creationId xmlns:a16="http://schemas.microsoft.com/office/drawing/2014/main" id="{E3B1596C-645C-C9E0-F44D-D0F7ADFCC2DF}"/>
              </a:ext>
            </a:extLst>
          </xdr:cNvPr>
          <xdr:cNvGrpSpPr/>
        </xdr:nvGrpSpPr>
        <xdr:grpSpPr>
          <a:xfrm>
            <a:off x="693645" y="620185"/>
            <a:ext cx="8441414" cy="1224358"/>
            <a:chOff x="691016" y="626101"/>
            <a:chExt cx="8405240" cy="1237561"/>
          </a:xfrm>
        </xdr:grpSpPr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734C6BC-8B4E-C929-67B4-B49F8395EA65}"/>
                </a:ext>
              </a:extLst>
            </xdr:cNvPr>
            <xdr:cNvSpPr txBox="1"/>
          </xdr:nvSpPr>
          <xdr:spPr>
            <a:xfrm>
              <a:off x="702346" y="649387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BEEED87-163F-400C-AC49-C06C7A87C495}"/>
                </a:ext>
              </a:extLst>
            </xdr:cNvPr>
            <xdr:cNvSpPr txBox="1"/>
          </xdr:nvSpPr>
          <xdr:spPr>
            <a:xfrm>
              <a:off x="691016" y="888891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31F5BF0-14AF-4006-BBCA-7393C4CE3347}"/>
                </a:ext>
              </a:extLst>
            </xdr:cNvPr>
            <xdr:cNvSpPr txBox="1"/>
          </xdr:nvSpPr>
          <xdr:spPr>
            <a:xfrm>
              <a:off x="697830" y="1143195"/>
              <a:ext cx="1076057" cy="25797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5CD2D09-D0DA-499D-B7BA-E4AA5B0B9DC1}"/>
                </a:ext>
              </a:extLst>
            </xdr:cNvPr>
            <xdr:cNvSpPr txBox="1"/>
          </xdr:nvSpPr>
          <xdr:spPr>
            <a:xfrm>
              <a:off x="691540" y="1389040"/>
              <a:ext cx="1076057" cy="47462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13" name="Straight Arrow Connector 12">
              <a:extLst>
                <a:ext uri="{FF2B5EF4-FFF2-40B4-BE49-F238E27FC236}">
                  <a16:creationId xmlns:a16="http://schemas.microsoft.com/office/drawing/2014/main" id="{484E135B-6092-F169-0B1E-B8899989CD90}"/>
                </a:ext>
              </a:extLst>
            </xdr:cNvPr>
            <xdr:cNvCxnSpPr/>
          </xdr:nvCxnSpPr>
          <xdr:spPr>
            <a:xfrm flipV="1">
              <a:off x="1893843" y="766791"/>
              <a:ext cx="1893088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Straight Arrow Connector 13">
              <a:extLst>
                <a:ext uri="{FF2B5EF4-FFF2-40B4-BE49-F238E27FC236}">
                  <a16:creationId xmlns:a16="http://schemas.microsoft.com/office/drawing/2014/main" id="{AF05448F-87EB-443E-90B2-A913FFD0B2E8}"/>
                </a:ext>
              </a:extLst>
            </xdr:cNvPr>
            <xdr:cNvCxnSpPr/>
          </xdr:nvCxnSpPr>
          <xdr:spPr>
            <a:xfrm flipV="1">
              <a:off x="1887553" y="993468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Straight Arrow Connector 14">
              <a:extLst>
                <a:ext uri="{FF2B5EF4-FFF2-40B4-BE49-F238E27FC236}">
                  <a16:creationId xmlns:a16="http://schemas.microsoft.com/office/drawing/2014/main" id="{0008E942-C570-461A-B981-FA5306C9C5DA}"/>
                </a:ext>
              </a:extLst>
            </xdr:cNvPr>
            <xdr:cNvCxnSpPr/>
          </xdr:nvCxnSpPr>
          <xdr:spPr>
            <a:xfrm flipV="1">
              <a:off x="1920576" y="1245799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Straight Arrow Connector 15">
              <a:extLst>
                <a:ext uri="{FF2B5EF4-FFF2-40B4-BE49-F238E27FC236}">
                  <a16:creationId xmlns:a16="http://schemas.microsoft.com/office/drawing/2014/main" id="{520773E5-DE14-436B-B0C4-5721563EC2A6}"/>
                </a:ext>
              </a:extLst>
            </xdr:cNvPr>
            <xdr:cNvCxnSpPr/>
          </xdr:nvCxnSpPr>
          <xdr:spPr>
            <a:xfrm flipV="1">
              <a:off x="1901182" y="1589882"/>
              <a:ext cx="1893088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5F3D343-F759-B3FA-881D-8CE82E425884}"/>
                </a:ext>
              </a:extLst>
            </xdr:cNvPr>
            <xdr:cNvSpPr txBox="1"/>
          </xdr:nvSpPr>
          <xdr:spPr>
            <a:xfrm>
              <a:off x="2506526" y="649390"/>
              <a:ext cx="615103" cy="17837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9926681-C1B0-488A-AAF7-3CF7F5118346}"/>
                </a:ext>
              </a:extLst>
            </xdr:cNvPr>
            <xdr:cNvSpPr txBox="1"/>
          </xdr:nvSpPr>
          <xdr:spPr>
            <a:xfrm>
              <a:off x="2505478" y="888892"/>
              <a:ext cx="616152" cy="21787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332820B9-39A8-429F-A41C-6A5CD16C2C3A}"/>
                </a:ext>
              </a:extLst>
            </xdr:cNvPr>
            <xdr:cNvSpPr txBox="1"/>
          </xdr:nvSpPr>
          <xdr:spPr>
            <a:xfrm>
              <a:off x="2504870" y="1154940"/>
              <a:ext cx="617901" cy="23605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54532F2-5A16-4EFE-B25B-26C08881B96A}"/>
                </a:ext>
              </a:extLst>
            </xdr:cNvPr>
            <xdr:cNvSpPr txBox="1"/>
          </xdr:nvSpPr>
          <xdr:spPr>
            <a:xfrm>
              <a:off x="2275761" y="1439590"/>
              <a:ext cx="9980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399/404/407</a:t>
              </a:r>
            </a:p>
          </xdr:txBody>
        </xdr: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794FF099-FE3B-48E8-A4E0-B4E882682F6D}"/>
                </a:ext>
              </a:extLst>
            </xdr:cNvPr>
            <xdr:cNvCxnSpPr/>
          </xdr:nvCxnSpPr>
          <xdr:spPr>
            <a:xfrm flipV="1">
              <a:off x="3911887" y="787907"/>
              <a:ext cx="2698842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DC27012D-3B98-4572-937A-69AE695552B3}"/>
                </a:ext>
              </a:extLst>
            </xdr:cNvPr>
            <xdr:cNvCxnSpPr/>
          </xdr:nvCxnSpPr>
          <xdr:spPr>
            <a:xfrm flipV="1">
              <a:off x="3923535" y="978249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Straight Arrow Connector 28">
              <a:extLst>
                <a:ext uri="{FF2B5EF4-FFF2-40B4-BE49-F238E27FC236}">
                  <a16:creationId xmlns:a16="http://schemas.microsoft.com/office/drawing/2014/main" id="{A1FA9615-D160-408C-97C3-5AD998C50CCD}"/>
                </a:ext>
              </a:extLst>
            </xdr:cNvPr>
            <xdr:cNvCxnSpPr/>
          </xdr:nvCxnSpPr>
          <xdr:spPr>
            <a:xfrm flipV="1">
              <a:off x="6747030" y="954069"/>
              <a:ext cx="2349226" cy="10188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Straight Arrow Connector 30">
              <a:extLst>
                <a:ext uri="{FF2B5EF4-FFF2-40B4-BE49-F238E27FC236}">
                  <a16:creationId xmlns:a16="http://schemas.microsoft.com/office/drawing/2014/main" id="{1D412D6E-8B99-456F-B4A7-0DDB7B75ED45}"/>
                </a:ext>
              </a:extLst>
            </xdr:cNvPr>
            <xdr:cNvCxnSpPr/>
          </xdr:nvCxnSpPr>
          <xdr:spPr>
            <a:xfrm flipV="1">
              <a:off x="3942659" y="1250531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A20BCDD3-4A5C-4782-8668-FFC512C6E331}"/>
                </a:ext>
              </a:extLst>
            </xdr:cNvPr>
            <xdr:cNvCxnSpPr/>
          </xdr:nvCxnSpPr>
          <xdr:spPr>
            <a:xfrm flipV="1">
              <a:off x="6742859" y="1248987"/>
              <a:ext cx="2330573" cy="200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" name="Straight Arrow Connector 33">
              <a:extLst>
                <a:ext uri="{FF2B5EF4-FFF2-40B4-BE49-F238E27FC236}">
                  <a16:creationId xmlns:a16="http://schemas.microsoft.com/office/drawing/2014/main" id="{702A2D23-4567-48DB-BCEF-9D9372503D08}"/>
                </a:ext>
              </a:extLst>
            </xdr:cNvPr>
            <xdr:cNvCxnSpPr/>
          </xdr:nvCxnSpPr>
          <xdr:spPr>
            <a:xfrm>
              <a:off x="3955763" y="1561898"/>
              <a:ext cx="2644906" cy="1369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Straight Arrow Connector 35">
              <a:extLst>
                <a:ext uri="{FF2B5EF4-FFF2-40B4-BE49-F238E27FC236}">
                  <a16:creationId xmlns:a16="http://schemas.microsoft.com/office/drawing/2014/main" id="{F189437C-E3C9-45C7-977C-A2E2CC7CB3FE}"/>
                </a:ext>
              </a:extLst>
            </xdr:cNvPr>
            <xdr:cNvCxnSpPr/>
          </xdr:nvCxnSpPr>
          <xdr:spPr>
            <a:xfrm flipV="1">
              <a:off x="6744314" y="1543906"/>
              <a:ext cx="2317705" cy="17537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B8CD0968-1614-4246-B9E9-747A94ACF04A}"/>
                </a:ext>
              </a:extLst>
            </xdr:cNvPr>
            <xdr:cNvSpPr txBox="1"/>
          </xdr:nvSpPr>
          <xdr:spPr>
            <a:xfrm>
              <a:off x="4698871" y="651990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1A6F6D1-B84C-4707-9485-0E24DA6A8423}"/>
                </a:ext>
              </a:extLst>
            </xdr:cNvPr>
            <xdr:cNvSpPr txBox="1"/>
          </xdr:nvSpPr>
          <xdr:spPr>
            <a:xfrm>
              <a:off x="7035251" y="626101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4FED0D2E-2008-4848-B03A-0CE1F9423897}"/>
                </a:ext>
              </a:extLst>
            </xdr:cNvPr>
            <xdr:cNvSpPr txBox="1"/>
          </xdr:nvSpPr>
          <xdr:spPr>
            <a:xfrm>
              <a:off x="4976774" y="882712"/>
              <a:ext cx="617902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B1A29263-DA7B-42B6-B885-CB2B1D50E10F}"/>
                </a:ext>
              </a:extLst>
            </xdr:cNvPr>
            <xdr:cNvSpPr txBox="1"/>
          </xdr:nvSpPr>
          <xdr:spPr>
            <a:xfrm>
              <a:off x="7375471" y="899875"/>
              <a:ext cx="617901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00FEB85F-246E-4474-98CE-C707993318FA}"/>
                </a:ext>
              </a:extLst>
            </xdr:cNvPr>
            <xdr:cNvSpPr txBox="1"/>
          </xdr:nvSpPr>
          <xdr:spPr>
            <a:xfrm>
              <a:off x="4975248" y="1169663"/>
              <a:ext cx="617902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0FD1286-721D-4DDD-9A3B-30E7877925E1}"/>
                </a:ext>
              </a:extLst>
            </xdr:cNvPr>
            <xdr:cNvSpPr txBox="1"/>
          </xdr:nvSpPr>
          <xdr:spPr>
            <a:xfrm>
              <a:off x="7373945" y="1196154"/>
              <a:ext cx="617901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A89068CF-5988-44B1-9BC5-569D45DBAC12}"/>
                </a:ext>
              </a:extLst>
            </xdr:cNvPr>
            <xdr:cNvSpPr txBox="1"/>
          </xdr:nvSpPr>
          <xdr:spPr>
            <a:xfrm>
              <a:off x="4732899" y="1490441"/>
              <a:ext cx="10024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CA81095D-639B-4B90-B6DB-BBA87AA3BBA5}"/>
                </a:ext>
              </a:extLst>
            </xdr:cNvPr>
            <xdr:cNvSpPr txBox="1"/>
          </xdr:nvSpPr>
          <xdr:spPr>
            <a:xfrm>
              <a:off x="7131596" y="1470294"/>
              <a:ext cx="1002436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  <xdr:twoCellAnchor>
    <xdr:from>
      <xdr:col>17</xdr:col>
      <xdr:colOff>17784</xdr:colOff>
      <xdr:row>3</xdr:row>
      <xdr:rowOff>137585</xdr:rowOff>
    </xdr:from>
    <xdr:to>
      <xdr:col>31</xdr:col>
      <xdr:colOff>104713</xdr:colOff>
      <xdr:row>10</xdr:row>
      <xdr:rowOff>109904</xdr:rowOff>
    </xdr:to>
    <xdr:grpSp>
      <xdr:nvGrpSpPr>
        <xdr:cNvPr id="109" name="Group 108">
          <a:extLst>
            <a:ext uri="{FF2B5EF4-FFF2-40B4-BE49-F238E27FC236}">
              <a16:creationId xmlns:a16="http://schemas.microsoft.com/office/drawing/2014/main" id="{A458D64E-15F9-4F3E-A574-FF5266AB1BD1}"/>
            </a:ext>
          </a:extLst>
        </xdr:cNvPr>
        <xdr:cNvGrpSpPr/>
      </xdr:nvGrpSpPr>
      <xdr:grpSpPr>
        <a:xfrm>
          <a:off x="10347482" y="728792"/>
          <a:ext cx="8593740" cy="1351802"/>
          <a:chOff x="693645" y="620185"/>
          <a:chExt cx="8590407" cy="1229540"/>
        </a:xfrm>
      </xdr:grpSpPr>
      <xdr:cxnSp macro="">
        <xdr:nvCxnSpPr>
          <xdr:cNvPr id="110" name="Straight Arrow Connector 109">
            <a:extLst>
              <a:ext uri="{FF2B5EF4-FFF2-40B4-BE49-F238E27FC236}">
                <a16:creationId xmlns:a16="http://schemas.microsoft.com/office/drawing/2014/main" id="{161726BF-B0B2-C281-3EE9-235CBDB07993}"/>
              </a:ext>
            </a:extLst>
          </xdr:cNvPr>
          <xdr:cNvCxnSpPr/>
        </xdr:nvCxnSpPr>
        <xdr:spPr>
          <a:xfrm>
            <a:off x="6778115" y="767064"/>
            <a:ext cx="2471728" cy="0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11" name="Group 110">
            <a:extLst>
              <a:ext uri="{FF2B5EF4-FFF2-40B4-BE49-F238E27FC236}">
                <a16:creationId xmlns:a16="http://schemas.microsoft.com/office/drawing/2014/main" id="{13CA8026-081A-BE56-634D-D8AD5D41EC7D}"/>
              </a:ext>
            </a:extLst>
          </xdr:cNvPr>
          <xdr:cNvGrpSpPr/>
        </xdr:nvGrpSpPr>
        <xdr:grpSpPr>
          <a:xfrm>
            <a:off x="693645" y="620185"/>
            <a:ext cx="8590407" cy="1229540"/>
            <a:chOff x="691016" y="626101"/>
            <a:chExt cx="8553595" cy="1242800"/>
          </a:xfrm>
        </xdr:grpSpPr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170ADF46-F208-F1C1-3A06-CA6D03AA0A0D}"/>
                </a:ext>
              </a:extLst>
            </xdr:cNvPr>
            <xdr:cNvSpPr txBox="1"/>
          </xdr:nvSpPr>
          <xdr:spPr>
            <a:xfrm>
              <a:off x="702346" y="649387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B4393330-D8FF-7130-9BDE-7956E149CD58}"/>
                </a:ext>
              </a:extLst>
            </xdr:cNvPr>
            <xdr:cNvSpPr txBox="1"/>
          </xdr:nvSpPr>
          <xdr:spPr>
            <a:xfrm>
              <a:off x="691016" y="888891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837939EF-62B4-7B18-6FAE-7EE45E33F7E6}"/>
                </a:ext>
              </a:extLst>
            </xdr:cNvPr>
            <xdr:cNvSpPr txBox="1"/>
          </xdr:nvSpPr>
          <xdr:spPr>
            <a:xfrm>
              <a:off x="697830" y="1143195"/>
              <a:ext cx="1076057" cy="25797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66FA94B5-5BDA-0E36-4824-42DA774DB383}"/>
                </a:ext>
              </a:extLst>
            </xdr:cNvPr>
            <xdr:cNvSpPr txBox="1"/>
          </xdr:nvSpPr>
          <xdr:spPr>
            <a:xfrm>
              <a:off x="703636" y="1389042"/>
              <a:ext cx="1076057" cy="4798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116" name="Straight Arrow Connector 115">
              <a:extLst>
                <a:ext uri="{FF2B5EF4-FFF2-40B4-BE49-F238E27FC236}">
                  <a16:creationId xmlns:a16="http://schemas.microsoft.com/office/drawing/2014/main" id="{20A6BE3C-7C71-A23B-CC33-C04F14D9F252}"/>
                </a:ext>
              </a:extLst>
            </xdr:cNvPr>
            <xdr:cNvCxnSpPr/>
          </xdr:nvCxnSpPr>
          <xdr:spPr>
            <a:xfrm flipV="1">
              <a:off x="1893843" y="766791"/>
              <a:ext cx="1893088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Straight Arrow Connector 116">
              <a:extLst>
                <a:ext uri="{FF2B5EF4-FFF2-40B4-BE49-F238E27FC236}">
                  <a16:creationId xmlns:a16="http://schemas.microsoft.com/office/drawing/2014/main" id="{4F0842D0-59FD-5B58-A482-1CC2388A81F1}"/>
                </a:ext>
              </a:extLst>
            </xdr:cNvPr>
            <xdr:cNvCxnSpPr/>
          </xdr:nvCxnSpPr>
          <xdr:spPr>
            <a:xfrm flipV="1">
              <a:off x="1887553" y="993468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8" name="Straight Arrow Connector 117">
              <a:extLst>
                <a:ext uri="{FF2B5EF4-FFF2-40B4-BE49-F238E27FC236}">
                  <a16:creationId xmlns:a16="http://schemas.microsoft.com/office/drawing/2014/main" id="{387C82EC-D169-2D2C-3744-20A4CF10F809}"/>
                </a:ext>
              </a:extLst>
            </xdr:cNvPr>
            <xdr:cNvCxnSpPr/>
          </xdr:nvCxnSpPr>
          <xdr:spPr>
            <a:xfrm flipV="1">
              <a:off x="1920576" y="1245799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9" name="Straight Arrow Connector 118">
              <a:extLst>
                <a:ext uri="{FF2B5EF4-FFF2-40B4-BE49-F238E27FC236}">
                  <a16:creationId xmlns:a16="http://schemas.microsoft.com/office/drawing/2014/main" id="{7014E632-8100-43E0-04EE-A377AEAD2DF7}"/>
                </a:ext>
              </a:extLst>
            </xdr:cNvPr>
            <xdr:cNvCxnSpPr/>
          </xdr:nvCxnSpPr>
          <xdr:spPr>
            <a:xfrm flipV="1">
              <a:off x="1901182" y="1589882"/>
              <a:ext cx="1893088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6185B4F9-666D-4F71-31C4-7CAD7946FA28}"/>
                </a:ext>
              </a:extLst>
            </xdr:cNvPr>
            <xdr:cNvSpPr txBox="1"/>
          </xdr:nvSpPr>
          <xdr:spPr>
            <a:xfrm>
              <a:off x="2506526" y="649390"/>
              <a:ext cx="615103" cy="17837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5A46E6F5-5B63-0A04-1145-CA65DE7769DE}"/>
                </a:ext>
              </a:extLst>
            </xdr:cNvPr>
            <xdr:cNvSpPr txBox="1"/>
          </xdr:nvSpPr>
          <xdr:spPr>
            <a:xfrm>
              <a:off x="2505478" y="888892"/>
              <a:ext cx="616152" cy="21787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F14957E4-8172-F750-1297-B35D0ADA5FBE}"/>
                </a:ext>
              </a:extLst>
            </xdr:cNvPr>
            <xdr:cNvSpPr txBox="1"/>
          </xdr:nvSpPr>
          <xdr:spPr>
            <a:xfrm>
              <a:off x="2504870" y="1154940"/>
              <a:ext cx="617901" cy="23605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91735C01-F37E-CBD1-003E-EFCC0B0DB81D}"/>
                </a:ext>
              </a:extLst>
            </xdr:cNvPr>
            <xdr:cNvSpPr txBox="1"/>
          </xdr:nvSpPr>
          <xdr:spPr>
            <a:xfrm>
              <a:off x="2329544" y="1491395"/>
              <a:ext cx="9980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124" name="Straight Arrow Connector 123">
              <a:extLst>
                <a:ext uri="{FF2B5EF4-FFF2-40B4-BE49-F238E27FC236}">
                  <a16:creationId xmlns:a16="http://schemas.microsoft.com/office/drawing/2014/main" id="{E420EA19-8DF2-8E5A-8CF5-4E4ADA9F6C27}"/>
                </a:ext>
              </a:extLst>
            </xdr:cNvPr>
            <xdr:cNvCxnSpPr/>
          </xdr:nvCxnSpPr>
          <xdr:spPr>
            <a:xfrm flipV="1">
              <a:off x="3911887" y="787907"/>
              <a:ext cx="2698842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5" name="Straight Arrow Connector 124">
              <a:extLst>
                <a:ext uri="{FF2B5EF4-FFF2-40B4-BE49-F238E27FC236}">
                  <a16:creationId xmlns:a16="http://schemas.microsoft.com/office/drawing/2014/main" id="{A1B8235C-2D65-1166-3EF7-1425E530FAFA}"/>
                </a:ext>
              </a:extLst>
            </xdr:cNvPr>
            <xdr:cNvCxnSpPr/>
          </xdr:nvCxnSpPr>
          <xdr:spPr>
            <a:xfrm flipV="1">
              <a:off x="3923535" y="978249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6" name="Straight Arrow Connector 125">
              <a:extLst>
                <a:ext uri="{FF2B5EF4-FFF2-40B4-BE49-F238E27FC236}">
                  <a16:creationId xmlns:a16="http://schemas.microsoft.com/office/drawing/2014/main" id="{2D29CA19-DEE5-3C8C-D324-407E67423E5C}"/>
                </a:ext>
              </a:extLst>
            </xdr:cNvPr>
            <xdr:cNvCxnSpPr/>
          </xdr:nvCxnSpPr>
          <xdr:spPr>
            <a:xfrm flipV="1">
              <a:off x="6747030" y="964257"/>
              <a:ext cx="246104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7" name="Straight Arrow Connector 126">
              <a:extLst>
                <a:ext uri="{FF2B5EF4-FFF2-40B4-BE49-F238E27FC236}">
                  <a16:creationId xmlns:a16="http://schemas.microsoft.com/office/drawing/2014/main" id="{83F86C5A-8D1A-1BCA-C9B0-9953D3683C55}"/>
                </a:ext>
              </a:extLst>
            </xdr:cNvPr>
            <xdr:cNvCxnSpPr/>
          </xdr:nvCxnSpPr>
          <xdr:spPr>
            <a:xfrm flipV="1">
              <a:off x="3942659" y="1250531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8" name="Straight Arrow Connector 127">
              <a:extLst>
                <a:ext uri="{FF2B5EF4-FFF2-40B4-BE49-F238E27FC236}">
                  <a16:creationId xmlns:a16="http://schemas.microsoft.com/office/drawing/2014/main" id="{45D4FDA8-4102-4C3D-9526-7EFEDBFC2EAD}"/>
                </a:ext>
              </a:extLst>
            </xdr:cNvPr>
            <xdr:cNvCxnSpPr/>
          </xdr:nvCxnSpPr>
          <xdr:spPr>
            <a:xfrm flipV="1">
              <a:off x="6742859" y="1250988"/>
              <a:ext cx="249645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9" name="Straight Arrow Connector 128">
              <a:extLst>
                <a:ext uri="{FF2B5EF4-FFF2-40B4-BE49-F238E27FC236}">
                  <a16:creationId xmlns:a16="http://schemas.microsoft.com/office/drawing/2014/main" id="{263FADBB-8B1B-1D99-DBD7-A6E54D116A25}"/>
                </a:ext>
              </a:extLst>
            </xdr:cNvPr>
            <xdr:cNvCxnSpPr/>
          </xdr:nvCxnSpPr>
          <xdr:spPr>
            <a:xfrm>
              <a:off x="3955763" y="1561898"/>
              <a:ext cx="2644906" cy="1369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0" name="Straight Arrow Connector 129">
              <a:extLst>
                <a:ext uri="{FF2B5EF4-FFF2-40B4-BE49-F238E27FC236}">
                  <a16:creationId xmlns:a16="http://schemas.microsoft.com/office/drawing/2014/main" id="{1869FE0F-28CD-5D72-B41F-AAC38E4FA366}"/>
                </a:ext>
              </a:extLst>
            </xdr:cNvPr>
            <xdr:cNvCxnSpPr/>
          </xdr:nvCxnSpPr>
          <xdr:spPr>
            <a:xfrm flipV="1">
              <a:off x="6744314" y="1551867"/>
              <a:ext cx="2500297" cy="9576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D2021BBA-7BF3-A01D-EABD-3BBD79D448F2}"/>
                </a:ext>
              </a:extLst>
            </xdr:cNvPr>
            <xdr:cNvSpPr txBox="1"/>
          </xdr:nvSpPr>
          <xdr:spPr>
            <a:xfrm>
              <a:off x="4698871" y="651990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9A1C3BD2-3B2B-0406-A850-9C7FD3EF7CEF}"/>
                </a:ext>
              </a:extLst>
            </xdr:cNvPr>
            <xdr:cNvSpPr txBox="1"/>
          </xdr:nvSpPr>
          <xdr:spPr>
            <a:xfrm>
              <a:off x="7035251" y="626101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1F6BAFE0-BE95-92B5-BFD7-BA6F558C47E3}"/>
                </a:ext>
              </a:extLst>
            </xdr:cNvPr>
            <xdr:cNvSpPr txBox="1"/>
          </xdr:nvSpPr>
          <xdr:spPr>
            <a:xfrm>
              <a:off x="4976774" y="882712"/>
              <a:ext cx="617902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B5FB595-5703-F30A-9611-9994046822FB}"/>
                </a:ext>
              </a:extLst>
            </xdr:cNvPr>
            <xdr:cNvSpPr txBox="1"/>
          </xdr:nvSpPr>
          <xdr:spPr>
            <a:xfrm>
              <a:off x="7375471" y="899875"/>
              <a:ext cx="617901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0A18BEEC-BE36-7C05-BFE9-54DB8B93E32B}"/>
                </a:ext>
              </a:extLst>
            </xdr:cNvPr>
            <xdr:cNvSpPr txBox="1"/>
          </xdr:nvSpPr>
          <xdr:spPr>
            <a:xfrm>
              <a:off x="4975248" y="1169663"/>
              <a:ext cx="617902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2B05117F-2032-DB64-7835-01FC798B5E54}"/>
                </a:ext>
              </a:extLst>
            </xdr:cNvPr>
            <xdr:cNvSpPr txBox="1"/>
          </xdr:nvSpPr>
          <xdr:spPr>
            <a:xfrm>
              <a:off x="7373945" y="1196154"/>
              <a:ext cx="617901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CB53B1B7-4293-7B1F-96D1-D1E6D55B09BC}"/>
                </a:ext>
              </a:extLst>
            </xdr:cNvPr>
            <xdr:cNvSpPr txBox="1"/>
          </xdr:nvSpPr>
          <xdr:spPr>
            <a:xfrm>
              <a:off x="4732899" y="1490441"/>
              <a:ext cx="10024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60C58B3F-B3CA-C80E-734D-425B4BA48871}"/>
                </a:ext>
              </a:extLst>
            </xdr:cNvPr>
            <xdr:cNvSpPr txBox="1"/>
          </xdr:nvSpPr>
          <xdr:spPr>
            <a:xfrm>
              <a:off x="7131596" y="1470294"/>
              <a:ext cx="1002436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  <xdr:twoCellAnchor>
    <xdr:from>
      <xdr:col>34</xdr:col>
      <xdr:colOff>151778</xdr:colOff>
      <xdr:row>3</xdr:row>
      <xdr:rowOff>41507</xdr:rowOff>
    </xdr:from>
    <xdr:to>
      <xdr:col>48</xdr:col>
      <xdr:colOff>288637</xdr:colOff>
      <xdr:row>10</xdr:row>
      <xdr:rowOff>28864</xdr:rowOff>
    </xdr:to>
    <xdr:grpSp>
      <xdr:nvGrpSpPr>
        <xdr:cNvPr id="139" name="Group 138">
          <a:extLst>
            <a:ext uri="{FF2B5EF4-FFF2-40B4-BE49-F238E27FC236}">
              <a16:creationId xmlns:a16="http://schemas.microsoft.com/office/drawing/2014/main" id="{60006E3B-1FD6-4DC2-8691-20A3F4DB3D82}"/>
            </a:ext>
          </a:extLst>
        </xdr:cNvPr>
        <xdr:cNvGrpSpPr/>
      </xdr:nvGrpSpPr>
      <xdr:grpSpPr>
        <a:xfrm>
          <a:off x="20811175" y="632714"/>
          <a:ext cx="8643669" cy="1366840"/>
          <a:chOff x="693645" y="620185"/>
          <a:chExt cx="8316604" cy="1244208"/>
        </a:xfrm>
      </xdr:grpSpPr>
      <xdr:cxnSp macro="">
        <xdr:nvCxnSpPr>
          <xdr:cNvPr id="140" name="Straight Arrow Connector 139">
            <a:extLst>
              <a:ext uri="{FF2B5EF4-FFF2-40B4-BE49-F238E27FC236}">
                <a16:creationId xmlns:a16="http://schemas.microsoft.com/office/drawing/2014/main" id="{7A6A419A-6B1E-2EBF-121D-7834A8A01B6C}"/>
              </a:ext>
            </a:extLst>
          </xdr:cNvPr>
          <xdr:cNvCxnSpPr/>
        </xdr:nvCxnSpPr>
        <xdr:spPr>
          <a:xfrm flipV="1">
            <a:off x="6778115" y="759393"/>
            <a:ext cx="2232134" cy="7672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41" name="Group 140">
            <a:extLst>
              <a:ext uri="{FF2B5EF4-FFF2-40B4-BE49-F238E27FC236}">
                <a16:creationId xmlns:a16="http://schemas.microsoft.com/office/drawing/2014/main" id="{A62E685F-AE3F-739D-CC3A-BED0B2C024F6}"/>
              </a:ext>
            </a:extLst>
          </xdr:cNvPr>
          <xdr:cNvGrpSpPr/>
        </xdr:nvGrpSpPr>
        <xdr:grpSpPr>
          <a:xfrm>
            <a:off x="693645" y="620185"/>
            <a:ext cx="8316604" cy="1244208"/>
            <a:chOff x="691016" y="626101"/>
            <a:chExt cx="8280965" cy="1257626"/>
          </a:xfrm>
        </xdr:grpSpPr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20D9B1A4-9943-8464-1FCC-FCC5018884B0}"/>
                </a:ext>
              </a:extLst>
            </xdr:cNvPr>
            <xdr:cNvSpPr txBox="1"/>
          </xdr:nvSpPr>
          <xdr:spPr>
            <a:xfrm>
              <a:off x="702346" y="649387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5FADF2C0-06EA-2088-5FFC-1CF647BCD941}"/>
                </a:ext>
              </a:extLst>
            </xdr:cNvPr>
            <xdr:cNvSpPr txBox="1"/>
          </xdr:nvSpPr>
          <xdr:spPr>
            <a:xfrm>
              <a:off x="691016" y="888891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3B1AEA24-C8C4-4450-D3BD-B75D30843A7F}"/>
                </a:ext>
              </a:extLst>
            </xdr:cNvPr>
            <xdr:cNvSpPr txBox="1"/>
          </xdr:nvSpPr>
          <xdr:spPr>
            <a:xfrm>
              <a:off x="697830" y="1143195"/>
              <a:ext cx="1076057" cy="25797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175BA785-8C2A-0A1F-33D3-BA424ADB3E5F}"/>
                </a:ext>
              </a:extLst>
            </xdr:cNvPr>
            <xdr:cNvSpPr txBox="1"/>
          </xdr:nvSpPr>
          <xdr:spPr>
            <a:xfrm>
              <a:off x="691540" y="1394775"/>
              <a:ext cx="1076057" cy="4889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xdr:txBody>
        </xdr:sp>
        <xdr:cxnSp macro="">
          <xdr:nvCxnSpPr>
            <xdr:cNvPr id="146" name="Straight Arrow Connector 145">
              <a:extLst>
                <a:ext uri="{FF2B5EF4-FFF2-40B4-BE49-F238E27FC236}">
                  <a16:creationId xmlns:a16="http://schemas.microsoft.com/office/drawing/2014/main" id="{5A356B83-34FC-754A-662F-4147C217857E}"/>
                </a:ext>
              </a:extLst>
            </xdr:cNvPr>
            <xdr:cNvCxnSpPr/>
          </xdr:nvCxnSpPr>
          <xdr:spPr>
            <a:xfrm flipV="1">
              <a:off x="1668986" y="766791"/>
              <a:ext cx="1893088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" name="Straight Arrow Connector 146">
              <a:extLst>
                <a:ext uri="{FF2B5EF4-FFF2-40B4-BE49-F238E27FC236}">
                  <a16:creationId xmlns:a16="http://schemas.microsoft.com/office/drawing/2014/main" id="{F309A723-A677-9AB9-3F45-748AF46289A9}"/>
                </a:ext>
              </a:extLst>
            </xdr:cNvPr>
            <xdr:cNvCxnSpPr/>
          </xdr:nvCxnSpPr>
          <xdr:spPr>
            <a:xfrm flipV="1">
              <a:off x="1662694" y="993468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" name="Straight Arrow Connector 147">
              <a:extLst>
                <a:ext uri="{FF2B5EF4-FFF2-40B4-BE49-F238E27FC236}">
                  <a16:creationId xmlns:a16="http://schemas.microsoft.com/office/drawing/2014/main" id="{0DA1BDCC-7513-B8F5-E93D-87F8FC56E899}"/>
                </a:ext>
              </a:extLst>
            </xdr:cNvPr>
            <xdr:cNvCxnSpPr/>
          </xdr:nvCxnSpPr>
          <xdr:spPr>
            <a:xfrm flipV="1">
              <a:off x="1695719" y="1245799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" name="Straight Arrow Connector 148">
              <a:extLst>
                <a:ext uri="{FF2B5EF4-FFF2-40B4-BE49-F238E27FC236}">
                  <a16:creationId xmlns:a16="http://schemas.microsoft.com/office/drawing/2014/main" id="{BAE42EA7-454D-D6AC-25EF-61A35CB2439A}"/>
                </a:ext>
              </a:extLst>
            </xdr:cNvPr>
            <xdr:cNvCxnSpPr/>
          </xdr:nvCxnSpPr>
          <xdr:spPr>
            <a:xfrm flipV="1">
              <a:off x="1676325" y="1589882"/>
              <a:ext cx="1893088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6EFFDF9E-F285-5D5A-EF81-8E6135F39E0D}"/>
                </a:ext>
              </a:extLst>
            </xdr:cNvPr>
            <xdr:cNvSpPr txBox="1"/>
          </xdr:nvSpPr>
          <xdr:spPr>
            <a:xfrm>
              <a:off x="2281669" y="649390"/>
              <a:ext cx="615103" cy="17837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91F61690-C70D-2CB1-1A5E-179272EAD432}"/>
                </a:ext>
              </a:extLst>
            </xdr:cNvPr>
            <xdr:cNvSpPr txBox="1"/>
          </xdr:nvSpPr>
          <xdr:spPr>
            <a:xfrm>
              <a:off x="2280620" y="888892"/>
              <a:ext cx="616152" cy="21787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B1E5FA33-F786-7CE8-A9AA-08B79038A0CD}"/>
                </a:ext>
              </a:extLst>
            </xdr:cNvPr>
            <xdr:cNvSpPr txBox="1"/>
          </xdr:nvSpPr>
          <xdr:spPr>
            <a:xfrm>
              <a:off x="2280012" y="1154940"/>
              <a:ext cx="617901" cy="23605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E6C6F88-2E97-378A-3AB4-1CB7228F6077}"/>
                </a:ext>
              </a:extLst>
            </xdr:cNvPr>
            <xdr:cNvSpPr txBox="1"/>
          </xdr:nvSpPr>
          <xdr:spPr>
            <a:xfrm>
              <a:off x="2279407" y="1465491"/>
              <a:ext cx="9980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154" name="Straight Arrow Connector 153">
              <a:extLst>
                <a:ext uri="{FF2B5EF4-FFF2-40B4-BE49-F238E27FC236}">
                  <a16:creationId xmlns:a16="http://schemas.microsoft.com/office/drawing/2014/main" id="{E9C1F203-D297-B23A-825D-7BA02E56C771}"/>
                </a:ext>
              </a:extLst>
            </xdr:cNvPr>
            <xdr:cNvCxnSpPr/>
          </xdr:nvCxnSpPr>
          <xdr:spPr>
            <a:xfrm flipV="1">
              <a:off x="3911887" y="787907"/>
              <a:ext cx="2698842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5" name="Straight Arrow Connector 154">
              <a:extLst>
                <a:ext uri="{FF2B5EF4-FFF2-40B4-BE49-F238E27FC236}">
                  <a16:creationId xmlns:a16="http://schemas.microsoft.com/office/drawing/2014/main" id="{773DF3C7-9AF0-8F8A-4D11-D34CE4F0A600}"/>
                </a:ext>
              </a:extLst>
            </xdr:cNvPr>
            <xdr:cNvCxnSpPr/>
          </xdr:nvCxnSpPr>
          <xdr:spPr>
            <a:xfrm flipV="1">
              <a:off x="3923535" y="978249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Straight Arrow Connector 155">
              <a:extLst>
                <a:ext uri="{FF2B5EF4-FFF2-40B4-BE49-F238E27FC236}">
                  <a16:creationId xmlns:a16="http://schemas.microsoft.com/office/drawing/2014/main" id="{285864D0-392D-2E35-52FC-B1215252F1E8}"/>
                </a:ext>
              </a:extLst>
            </xdr:cNvPr>
            <xdr:cNvCxnSpPr/>
          </xdr:nvCxnSpPr>
          <xdr:spPr>
            <a:xfrm>
              <a:off x="6747030" y="964257"/>
              <a:ext cx="222495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7" name="Straight Arrow Connector 156">
              <a:extLst>
                <a:ext uri="{FF2B5EF4-FFF2-40B4-BE49-F238E27FC236}">
                  <a16:creationId xmlns:a16="http://schemas.microsoft.com/office/drawing/2014/main" id="{F69FE2F7-FBA1-6FAB-1BF4-307426740932}"/>
                </a:ext>
              </a:extLst>
            </xdr:cNvPr>
            <xdr:cNvCxnSpPr/>
          </xdr:nvCxnSpPr>
          <xdr:spPr>
            <a:xfrm flipV="1">
              <a:off x="3942659" y="1250531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8" name="Straight Arrow Connector 157">
              <a:extLst>
                <a:ext uri="{FF2B5EF4-FFF2-40B4-BE49-F238E27FC236}">
                  <a16:creationId xmlns:a16="http://schemas.microsoft.com/office/drawing/2014/main" id="{0966F177-DBB1-D753-9118-3680531ED724}"/>
                </a:ext>
              </a:extLst>
            </xdr:cNvPr>
            <xdr:cNvCxnSpPr/>
          </xdr:nvCxnSpPr>
          <xdr:spPr>
            <a:xfrm flipV="1">
              <a:off x="6742859" y="1231874"/>
              <a:ext cx="2207153" cy="19114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9" name="Straight Arrow Connector 158">
              <a:extLst>
                <a:ext uri="{FF2B5EF4-FFF2-40B4-BE49-F238E27FC236}">
                  <a16:creationId xmlns:a16="http://schemas.microsoft.com/office/drawing/2014/main" id="{0AF9255E-BA2F-BC4D-5DBB-B8DE84B84F62}"/>
                </a:ext>
              </a:extLst>
            </xdr:cNvPr>
            <xdr:cNvCxnSpPr/>
          </xdr:nvCxnSpPr>
          <xdr:spPr>
            <a:xfrm>
              <a:off x="3955763" y="1561898"/>
              <a:ext cx="2644906" cy="1369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0" name="Straight Arrow Connector 159">
              <a:extLst>
                <a:ext uri="{FF2B5EF4-FFF2-40B4-BE49-F238E27FC236}">
                  <a16:creationId xmlns:a16="http://schemas.microsoft.com/office/drawing/2014/main" id="{8EAC1607-0583-30E7-E7C4-080124313D3F}"/>
                </a:ext>
              </a:extLst>
            </xdr:cNvPr>
            <xdr:cNvCxnSpPr/>
          </xdr:nvCxnSpPr>
          <xdr:spPr>
            <a:xfrm flipV="1">
              <a:off x="6744314" y="1538135"/>
              <a:ext cx="2216682" cy="23308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6A3A54E6-1305-38DB-9493-3BC379580A5F}"/>
                </a:ext>
              </a:extLst>
            </xdr:cNvPr>
            <xdr:cNvSpPr txBox="1"/>
          </xdr:nvSpPr>
          <xdr:spPr>
            <a:xfrm>
              <a:off x="4698871" y="651990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B8345F80-2B26-5B79-A511-CBDBB479ACC0}"/>
                </a:ext>
              </a:extLst>
            </xdr:cNvPr>
            <xdr:cNvSpPr txBox="1"/>
          </xdr:nvSpPr>
          <xdr:spPr>
            <a:xfrm>
              <a:off x="7035251" y="626101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8C72318B-9A19-D7C7-A672-48ED7597E8EA}"/>
                </a:ext>
              </a:extLst>
            </xdr:cNvPr>
            <xdr:cNvSpPr txBox="1"/>
          </xdr:nvSpPr>
          <xdr:spPr>
            <a:xfrm>
              <a:off x="4976774" y="882712"/>
              <a:ext cx="617902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74BA385F-C292-2DFC-6F3D-64B2FEF80140}"/>
                </a:ext>
              </a:extLst>
            </xdr:cNvPr>
            <xdr:cNvSpPr txBox="1"/>
          </xdr:nvSpPr>
          <xdr:spPr>
            <a:xfrm>
              <a:off x="7375471" y="899875"/>
              <a:ext cx="617901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84FDD272-7642-65D0-27BD-EBA5FD582872}"/>
                </a:ext>
              </a:extLst>
            </xdr:cNvPr>
            <xdr:cNvSpPr txBox="1"/>
          </xdr:nvSpPr>
          <xdr:spPr>
            <a:xfrm>
              <a:off x="4975248" y="1169663"/>
              <a:ext cx="617902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9D977E0-5475-1D69-736E-3129E65BCDD9}"/>
                </a:ext>
              </a:extLst>
            </xdr:cNvPr>
            <xdr:cNvSpPr txBox="1"/>
          </xdr:nvSpPr>
          <xdr:spPr>
            <a:xfrm>
              <a:off x="7373945" y="1196154"/>
              <a:ext cx="617901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876B5632-E38D-C2DF-CCD7-3CE8A65910FD}"/>
                </a:ext>
              </a:extLst>
            </xdr:cNvPr>
            <xdr:cNvSpPr txBox="1"/>
          </xdr:nvSpPr>
          <xdr:spPr>
            <a:xfrm>
              <a:off x="4732899" y="1490441"/>
              <a:ext cx="10024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E1A02192-9628-169E-B642-7528B272E570}"/>
                </a:ext>
              </a:extLst>
            </xdr:cNvPr>
            <xdr:cNvSpPr txBox="1"/>
          </xdr:nvSpPr>
          <xdr:spPr>
            <a:xfrm>
              <a:off x="7131596" y="1470294"/>
              <a:ext cx="1002436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0.00673</cdr:x>
      <cdr:y>0.00809</cdr:y>
    </cdr:from>
    <cdr:to>
      <cdr:x>1</cdr:x>
      <cdr:y>0.05602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C2285A81-09DD-02A4-4A46-600D448B826B}"/>
            </a:ext>
          </a:extLst>
        </cdr:cNvPr>
        <cdr:cNvGrpSpPr/>
      </cdr:nvGrpSpPr>
      <cdr:grpSpPr>
        <a:xfrm xmlns:a="http://schemas.openxmlformats.org/drawingml/2006/main">
          <a:off x="60802" y="60370"/>
          <a:ext cx="8973661" cy="357668"/>
          <a:chOff x="7412" y="0"/>
          <a:chExt cx="8583535" cy="299519"/>
        </a:xfrm>
      </cdr:grpSpPr>
      <cdr:sp macro="" textlink="">
        <cdr:nvSpPr>
          <cdr:cNvPr id="5" name="TextBox 2">
            <a:extLst xmlns:a="http://schemas.openxmlformats.org/drawingml/2006/main">
              <a:ext uri="{FF2B5EF4-FFF2-40B4-BE49-F238E27FC236}">
                <a16:creationId xmlns:a16="http://schemas.microsoft.com/office/drawing/2014/main" id="{0DDD9282-0942-06C9-94F7-07230BB193A7}"/>
              </a:ext>
            </a:extLst>
          </cdr:cNvPr>
          <cdr:cNvSpPr txBox="1"/>
        </cdr:nvSpPr>
        <cdr:spPr>
          <a:xfrm xmlns:a="http://schemas.openxmlformats.org/drawingml/2006/main">
            <a:off x="7412" y="0"/>
            <a:ext cx="8583535" cy="299519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C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rtl="0"/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MEBU LHSV: Low &amp; High Sedimentation</a:t>
            </a:r>
            <a:endParaRPr lang="en-US" sz="2400">
              <a:effectLst/>
            </a:endParaRPr>
          </a:p>
        </cdr:txBody>
      </cdr:sp>
    </cdr:grp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0.00673</cdr:x>
      <cdr:y>0.00809</cdr:y>
    </cdr:from>
    <cdr:to>
      <cdr:x>0.97956</cdr:x>
      <cdr:y>0.04738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C2285A81-09DD-02A4-4A46-600D448B826B}"/>
            </a:ext>
          </a:extLst>
        </cdr:cNvPr>
        <cdr:cNvGrpSpPr/>
      </cdr:nvGrpSpPr>
      <cdr:grpSpPr>
        <a:xfrm xmlns:a="http://schemas.openxmlformats.org/drawingml/2006/main">
          <a:off x="63480" y="59933"/>
          <a:ext cx="9176118" cy="291074"/>
          <a:chOff x="7412" y="0"/>
          <a:chExt cx="8406899" cy="245550"/>
        </a:xfrm>
      </cdr:grpSpPr>
      <cdr:sp macro="" textlink="">
        <cdr:nvSpPr>
          <cdr:cNvPr id="5" name="TextBox 2">
            <a:extLst xmlns:a="http://schemas.openxmlformats.org/drawingml/2006/main">
              <a:ext uri="{FF2B5EF4-FFF2-40B4-BE49-F238E27FC236}">
                <a16:creationId xmlns:a16="http://schemas.microsoft.com/office/drawing/2014/main" id="{0DDD9282-0942-06C9-94F7-07230BB193A7}"/>
              </a:ext>
            </a:extLst>
          </cdr:cNvPr>
          <cdr:cNvSpPr txBox="1"/>
        </cdr:nvSpPr>
        <cdr:spPr>
          <a:xfrm xmlns:a="http://schemas.openxmlformats.org/drawingml/2006/main">
            <a:off x="7412" y="0"/>
            <a:ext cx="8406899" cy="245550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C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rtl="0"/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Pressure: Low &amp; High Sedimentation</a:t>
            </a:r>
            <a:endParaRPr lang="en-US" sz="2400">
              <a:effectLst/>
            </a:endParaRPr>
          </a:p>
        </cdr:txBody>
      </cdr:sp>
    </cdr:grp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0.00673</cdr:x>
      <cdr:y>0.00809</cdr:y>
    </cdr:from>
    <cdr:to>
      <cdr:x>0.97956</cdr:x>
      <cdr:y>0.04738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C2285A81-09DD-02A4-4A46-600D448B826B}"/>
            </a:ext>
          </a:extLst>
        </cdr:cNvPr>
        <cdr:cNvGrpSpPr/>
      </cdr:nvGrpSpPr>
      <cdr:grpSpPr>
        <a:xfrm xmlns:a="http://schemas.openxmlformats.org/drawingml/2006/main">
          <a:off x="61477" y="59639"/>
          <a:ext cx="8886549" cy="289644"/>
          <a:chOff x="7412" y="0"/>
          <a:chExt cx="8406899" cy="245550"/>
        </a:xfrm>
      </cdr:grpSpPr>
      <cdr:sp macro="" textlink="">
        <cdr:nvSpPr>
          <cdr:cNvPr id="5" name="TextBox 2">
            <a:extLst xmlns:a="http://schemas.openxmlformats.org/drawingml/2006/main">
              <a:ext uri="{FF2B5EF4-FFF2-40B4-BE49-F238E27FC236}">
                <a16:creationId xmlns:a16="http://schemas.microsoft.com/office/drawing/2014/main" id="{0DDD9282-0942-06C9-94F7-07230BB193A7}"/>
              </a:ext>
            </a:extLst>
          </cdr:cNvPr>
          <cdr:cNvSpPr txBox="1"/>
        </cdr:nvSpPr>
        <cdr:spPr>
          <a:xfrm xmlns:a="http://schemas.openxmlformats.org/drawingml/2006/main">
            <a:off x="7412" y="0"/>
            <a:ext cx="8406899" cy="245550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C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rtl="0"/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Catalyst Temperature: Low &amp; High Sedimentation</a:t>
            </a:r>
            <a:endParaRPr lang="en-US" sz="2400">
              <a:effectLst/>
            </a:endParaRPr>
          </a:p>
        </cdr:txBody>
      </cdr:sp>
    </cdr:grp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198004</xdr:colOff>
      <xdr:row>1</xdr:row>
      <xdr:rowOff>173759</xdr:rowOff>
    </xdr:from>
    <xdr:to>
      <xdr:col>18</xdr:col>
      <xdr:colOff>484716</xdr:colOff>
      <xdr:row>43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E980C9-7720-40F0-AE54-8F805FEC0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57743</xdr:colOff>
      <xdr:row>10</xdr:row>
      <xdr:rowOff>126130</xdr:rowOff>
    </xdr:from>
    <xdr:to>
      <xdr:col>27</xdr:col>
      <xdr:colOff>345690</xdr:colOff>
      <xdr:row>28</xdr:row>
      <xdr:rowOff>6536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B67E3B-48F6-6FD0-F49D-D4A415A31B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889"/>
        <a:stretch>
          <a:fillRect/>
        </a:stretch>
      </xdr:blipFill>
      <xdr:spPr bwMode="auto">
        <a:xfrm>
          <a:off x="12334410" y="1925297"/>
          <a:ext cx="4584780" cy="3118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0</xdr:colOff>
      <xdr:row>2</xdr:row>
      <xdr:rowOff>0</xdr:rowOff>
    </xdr:from>
    <xdr:to>
      <xdr:col>45</xdr:col>
      <xdr:colOff>286712</xdr:colOff>
      <xdr:row>43</xdr:row>
      <xdr:rowOff>51718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B364E9-F777-4EB1-8A52-B91788464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0.0048</cdr:x>
      <cdr:y>0</cdr:y>
    </cdr:from>
    <cdr:to>
      <cdr:x>1</cdr:x>
      <cdr:y>0.0537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4C09D6D7-25BE-4BA4-4146-6A1E2650E496}"/>
            </a:ext>
          </a:extLst>
        </cdr:cNvPr>
        <cdr:cNvSpPr txBox="1"/>
      </cdr:nvSpPr>
      <cdr:spPr>
        <a:xfrm xmlns:a="http://schemas.openxmlformats.org/drawingml/2006/main">
          <a:off x="51405" y="0"/>
          <a:ext cx="10658066" cy="412492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Thermal</a:t>
          </a:r>
          <a:r>
            <a:rPr lang="en-US" sz="2400" b="1" baseline="0">
              <a:effectLst/>
            </a:rPr>
            <a:t> Cracking: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  <cdr:relSizeAnchor xmlns:cdr="http://schemas.openxmlformats.org/drawingml/2006/chartDrawing">
    <cdr:from>
      <cdr:x>0.03409</cdr:x>
      <cdr:y>0.07023</cdr:y>
    </cdr:from>
    <cdr:to>
      <cdr:x>0.90465</cdr:x>
      <cdr:y>0.18547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60006E3B-1FD6-4DC2-8691-20A3F4DB3D82}"/>
            </a:ext>
          </a:extLst>
        </cdr:cNvPr>
        <cdr:cNvGrpSpPr/>
      </cdr:nvGrpSpPr>
      <cdr:grpSpPr>
        <a:xfrm xmlns:a="http://schemas.openxmlformats.org/drawingml/2006/main">
          <a:off x="362694" y="543171"/>
          <a:ext cx="9262143" cy="891287"/>
          <a:chOff x="-9623" y="-4041"/>
          <a:chExt cx="8095090" cy="1113038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7A6A419A-6B1E-2EBF-121D-7834A8A01B6C}"/>
              </a:ext>
            </a:extLst>
          </cdr:cNvPr>
          <cdr:cNvCxnSpPr/>
        </cdr:nvCxnSpPr>
        <cdr:spPr>
          <a:xfrm xmlns:a="http://schemas.openxmlformats.org/drawingml/2006/main" flipV="1">
            <a:off x="5841360" y="120517"/>
            <a:ext cx="2235666" cy="4065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A62E685F-AE3F-739D-CC3A-BED0B2C024F6}"/>
              </a:ext>
            </a:extLst>
          </cdr:cNvPr>
          <cdr:cNvGrpSpPr/>
        </cdr:nvGrpSpPr>
        <cdr:grpSpPr>
          <a:xfrm xmlns:a="http://schemas.openxmlformats.org/drawingml/2006/main">
            <a:off x="-9623" y="-4041"/>
            <a:ext cx="8095090" cy="1113038"/>
            <a:chOff x="-9916" y="-4086"/>
            <a:chExt cx="8341567" cy="1125045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20D9B1A4-9943-8464-1FCC-FCC5018884B0}"/>
                </a:ext>
              </a:extLst>
            </cdr:cNvPr>
            <cdr:cNvSpPr txBox="1"/>
          </cdr:nvSpPr>
          <cdr:spPr>
            <a:xfrm xmlns:a="http://schemas.openxmlformats.org/drawingml/2006/main">
              <a:off x="11281" y="23536"/>
              <a:ext cx="824049" cy="19645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5FADF2C0-06EA-2088-5FFC-1CF647BCD941}"/>
                </a:ext>
              </a:extLst>
            </cdr:cNvPr>
            <cdr:cNvSpPr txBox="1"/>
          </cdr:nvSpPr>
          <cdr:spPr>
            <a:xfrm xmlns:a="http://schemas.openxmlformats.org/drawingml/2006/main">
              <a:off x="0" y="265624"/>
              <a:ext cx="824049" cy="19645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3B1AEA24-C8C4-4450-D3BD-B75D30843A7F}"/>
                </a:ext>
              </a:extLst>
            </cdr:cNvPr>
            <cdr:cNvSpPr txBox="1"/>
          </cdr:nvSpPr>
          <cdr:spPr>
            <a:xfrm xmlns:a="http://schemas.openxmlformats.org/drawingml/2006/main">
              <a:off x="6785" y="522671"/>
              <a:ext cx="1071445" cy="260756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175BA785-8C2A-0A1F-33D3-BA424ADB3E5F}"/>
                </a:ext>
              </a:extLst>
            </cdr:cNvPr>
            <cdr:cNvSpPr txBox="1"/>
          </cdr:nvSpPr>
          <cdr:spPr>
            <a:xfrm xmlns:a="http://schemas.openxmlformats.org/drawingml/2006/main">
              <a:off x="-9916" y="781713"/>
              <a:ext cx="1071445" cy="260756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</a:p>
            <a:p xmlns:a="http://schemas.openxmlformats.org/drawingml/2006/main">
              <a:r>
                <a:rPr lang="en-US" sz="1100" b="1"/>
                <a:t>(Rx1/2/3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5A356B83-34FC-754A-662F-4147C217857E}"/>
                </a:ext>
              </a:extLst>
            </cdr:cNvPr>
            <cdr:cNvCxnSpPr/>
          </cdr:nvCxnSpPr>
          <cdr:spPr>
            <a:xfrm xmlns:a="http://schemas.openxmlformats.org/drawingml/2006/main" flipV="1">
              <a:off x="973779" y="142207"/>
              <a:ext cx="188497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F309A723-A677-9AB9-3F45-748AF46289A9}"/>
                </a:ext>
              </a:extLst>
            </cdr:cNvPr>
            <cdr:cNvCxnSpPr/>
          </cdr:nvCxnSpPr>
          <cdr:spPr>
            <a:xfrm xmlns:a="http://schemas.openxmlformats.org/drawingml/2006/main" flipV="1">
              <a:off x="967514" y="371329"/>
              <a:ext cx="188497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0DA1BDCC-7513-B8F5-E93D-87F8FC56E899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00397" y="626382"/>
              <a:ext cx="188497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BAE42EA7-454D-D6AC-25EF-61A35CB2439A}"/>
                </a:ext>
              </a:extLst>
            </cdr:cNvPr>
            <cdr:cNvCxnSpPr/>
          </cdr:nvCxnSpPr>
          <cdr:spPr>
            <a:xfrm xmlns:a="http://schemas.openxmlformats.org/drawingml/2006/main" flipV="1">
              <a:off x="981086" y="974176"/>
              <a:ext cx="188497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6EFFDF9E-F285-5D5A-EF81-8E6135F39E0D}"/>
                </a:ext>
              </a:extLst>
            </cdr:cNvPr>
            <cdr:cNvSpPr txBox="1"/>
          </cdr:nvSpPr>
          <cdr:spPr>
            <a:xfrm xmlns:a="http://schemas.openxmlformats.org/drawingml/2006/main">
              <a:off x="1583836" y="23539"/>
              <a:ext cx="612467" cy="18029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91F61690-C70D-2CB1-1A5E-179272EAD432}"/>
                </a:ext>
              </a:extLst>
            </cdr:cNvPr>
            <cdr:cNvSpPr txBox="1"/>
          </cdr:nvSpPr>
          <cdr:spPr>
            <a:xfrm xmlns:a="http://schemas.openxmlformats.org/drawingml/2006/main">
              <a:off x="1582791" y="265625"/>
              <a:ext cx="613511" cy="22022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B1E5FA33-F786-7CE8-A9AA-08B79038A0CD}"/>
                </a:ext>
              </a:extLst>
            </cdr:cNvPr>
            <cdr:cNvSpPr txBox="1"/>
          </cdr:nvSpPr>
          <cdr:spPr>
            <a:xfrm xmlns:a="http://schemas.openxmlformats.org/drawingml/2006/main">
              <a:off x="1582186" y="534543"/>
              <a:ext cx="615253" cy="23860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9E6C6F88-2E97-378A-3AB4-1CB7228F6077}"/>
                </a:ext>
              </a:extLst>
            </cdr:cNvPr>
            <cdr:cNvSpPr txBox="1"/>
          </cdr:nvSpPr>
          <cdr:spPr>
            <a:xfrm xmlns:a="http://schemas.openxmlformats.org/drawingml/2006/main">
              <a:off x="1414563" y="837972"/>
              <a:ext cx="993760" cy="24729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E9C1F203-D297-B23A-825D-7BA02E56C771}"/>
                </a:ext>
              </a:extLst>
            </cdr:cNvPr>
            <cdr:cNvCxnSpPr/>
          </cdr:nvCxnSpPr>
          <cdr:spPr>
            <a:xfrm xmlns:a="http://schemas.openxmlformats.org/drawingml/2006/main">
              <a:off x="3073521" y="121816"/>
              <a:ext cx="2820821" cy="4173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773DF3C7-9AF0-8F8A-4D11-D34CE4F0A600}"/>
                </a:ext>
              </a:extLst>
            </cdr:cNvPr>
            <cdr:cNvCxnSpPr/>
          </cdr:nvCxnSpPr>
          <cdr:spPr>
            <a:xfrm xmlns:a="http://schemas.openxmlformats.org/drawingml/2006/main">
              <a:off x="3073521" y="335911"/>
              <a:ext cx="2809224" cy="20035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285864D0-392D-2E35-52FC-B1215252F1E8}"/>
                </a:ext>
              </a:extLst>
            </cdr:cNvPr>
            <cdr:cNvCxnSpPr/>
          </cdr:nvCxnSpPr>
          <cdr:spPr>
            <a:xfrm xmlns:a="http://schemas.openxmlformats.org/drawingml/2006/main" flipV="1">
              <a:off x="6030059" y="332626"/>
              <a:ext cx="2301592" cy="9177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F69FE2F7-FBA1-6FAB-1BF4-307426740932}"/>
                </a:ext>
              </a:extLst>
            </cdr:cNvPr>
            <cdr:cNvCxnSpPr/>
          </cdr:nvCxnSpPr>
          <cdr:spPr>
            <a:xfrm xmlns:a="http://schemas.openxmlformats.org/drawingml/2006/main">
              <a:off x="3081355" y="561275"/>
              <a:ext cx="282043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0966F177-DBB1-D753-9118-3680531ED724}"/>
                </a:ext>
              </a:extLst>
            </cdr:cNvPr>
            <cdr:cNvCxnSpPr/>
          </cdr:nvCxnSpPr>
          <cdr:spPr>
            <a:xfrm xmlns:a="http://schemas.openxmlformats.org/drawingml/2006/main" flipV="1">
              <a:off x="6025906" y="622764"/>
              <a:ext cx="2282261" cy="8862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0AF9255E-BA2F-BC4D-5DBB-B8DE84B84F62}"/>
                </a:ext>
              </a:extLst>
            </cdr:cNvPr>
            <cdr:cNvCxnSpPr/>
          </cdr:nvCxnSpPr>
          <cdr:spPr>
            <a:xfrm xmlns:a="http://schemas.openxmlformats.org/drawingml/2006/main" flipV="1">
              <a:off x="3057850" y="947274"/>
              <a:ext cx="2826475" cy="838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8EAC1607-0583-30E7-E7C4-080124313D3F}"/>
                </a:ext>
              </a:extLst>
            </cdr:cNvPr>
            <cdr:cNvCxnSpPr/>
          </cdr:nvCxnSpPr>
          <cdr:spPr>
            <a:xfrm xmlns:a="http://schemas.openxmlformats.org/drawingml/2006/main" flipV="1">
              <a:off x="6027355" y="924062"/>
              <a:ext cx="2269070" cy="2136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6A3A54E6-1305-38DB-9493-3BC379580A5F}"/>
                </a:ext>
              </a:extLst>
            </cdr:cNvPr>
            <cdr:cNvSpPr txBox="1"/>
          </cdr:nvSpPr>
          <cdr:spPr>
            <a:xfrm xmlns:a="http://schemas.openxmlformats.org/drawingml/2006/main">
              <a:off x="3941675" y="-4086"/>
              <a:ext cx="1383221" cy="19842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B8345F80-2B26-5B79-A511-CBDBB479ACC0}"/>
                </a:ext>
              </a:extLst>
            </cdr:cNvPr>
            <cdr:cNvSpPr txBox="1"/>
          </cdr:nvSpPr>
          <cdr:spPr>
            <a:xfrm xmlns:a="http://schemas.openxmlformats.org/drawingml/2006/main">
              <a:off x="6317045" y="-1"/>
              <a:ext cx="1264005" cy="21277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C72318B-9A19-D7C7-A672-48ED7597E8EA}"/>
                </a:ext>
              </a:extLst>
            </cdr:cNvPr>
            <cdr:cNvSpPr txBox="1"/>
          </cdr:nvSpPr>
          <cdr:spPr>
            <a:xfrm xmlns:a="http://schemas.openxmlformats.org/drawingml/2006/main">
              <a:off x="4267390" y="259378"/>
              <a:ext cx="615254" cy="24215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74BA385F-C292-2DFC-6F3D-64B2FEF80140}"/>
                </a:ext>
              </a:extLst>
            </cdr:cNvPr>
            <cdr:cNvSpPr txBox="1"/>
          </cdr:nvSpPr>
          <cdr:spPr>
            <a:xfrm xmlns:a="http://schemas.openxmlformats.org/drawingml/2006/main">
              <a:off x="6655807" y="276726"/>
              <a:ext cx="615253" cy="24215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84FDD272-7642-65D0-27BD-EBA5FD582872}"/>
                </a:ext>
              </a:extLst>
            </cdr:cNvPr>
            <cdr:cNvSpPr txBox="1"/>
          </cdr:nvSpPr>
          <cdr:spPr>
            <a:xfrm xmlns:a="http://schemas.openxmlformats.org/drawingml/2006/main">
              <a:off x="4265871" y="549424"/>
              <a:ext cx="615254" cy="23780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B9D977E0-5475-1D69-736E-3129E65BCDD9}"/>
                </a:ext>
              </a:extLst>
            </cdr:cNvPr>
            <cdr:cNvSpPr txBox="1"/>
          </cdr:nvSpPr>
          <cdr:spPr>
            <a:xfrm xmlns:a="http://schemas.openxmlformats.org/drawingml/2006/main">
              <a:off x="6654287" y="576201"/>
              <a:ext cx="615253" cy="23780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876B5632-E38D-C2DF-CCD7-3CE8A65910FD}"/>
                </a:ext>
              </a:extLst>
            </cdr:cNvPr>
            <cdr:cNvSpPr txBox="1"/>
          </cdr:nvSpPr>
          <cdr:spPr>
            <a:xfrm xmlns:a="http://schemas.openxmlformats.org/drawingml/2006/main">
              <a:off x="4024560" y="873663"/>
              <a:ext cx="998141" cy="247296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E1A02192-9628-169E-B642-7528B272E570}"/>
                </a:ext>
              </a:extLst>
            </cdr:cNvPr>
            <cdr:cNvSpPr txBox="1"/>
          </cdr:nvSpPr>
          <cdr:spPr>
            <a:xfrm xmlns:a="http://schemas.openxmlformats.org/drawingml/2006/main">
              <a:off x="6412977" y="853298"/>
              <a:ext cx="1091776" cy="25771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0.0048</cdr:x>
      <cdr:y>0</cdr:y>
    </cdr:from>
    <cdr:to>
      <cdr:x>1</cdr:x>
      <cdr:y>0.0537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4C09D6D7-25BE-4BA4-4146-6A1E2650E496}"/>
            </a:ext>
          </a:extLst>
        </cdr:cNvPr>
        <cdr:cNvSpPr txBox="1"/>
      </cdr:nvSpPr>
      <cdr:spPr>
        <a:xfrm xmlns:a="http://schemas.openxmlformats.org/drawingml/2006/main">
          <a:off x="51405" y="0"/>
          <a:ext cx="10658066" cy="412492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Thermal</a:t>
          </a:r>
          <a:r>
            <a:rPr lang="en-US" sz="2400" b="1" baseline="0">
              <a:effectLst/>
            </a:rPr>
            <a:t> Cracking: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  <cdr:relSizeAnchor xmlns:cdr="http://schemas.openxmlformats.org/drawingml/2006/chartDrawing">
    <cdr:from>
      <cdr:x>0.03409</cdr:x>
      <cdr:y>0.07023</cdr:y>
    </cdr:from>
    <cdr:to>
      <cdr:x>0.90465</cdr:x>
      <cdr:y>0.18547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60006E3B-1FD6-4DC2-8691-20A3F4DB3D82}"/>
            </a:ext>
          </a:extLst>
        </cdr:cNvPr>
        <cdr:cNvGrpSpPr/>
      </cdr:nvGrpSpPr>
      <cdr:grpSpPr>
        <a:xfrm xmlns:a="http://schemas.openxmlformats.org/drawingml/2006/main">
          <a:off x="362694" y="543171"/>
          <a:ext cx="9262143" cy="891287"/>
          <a:chOff x="-9623" y="-4041"/>
          <a:chExt cx="8095090" cy="1113038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7A6A419A-6B1E-2EBF-121D-7834A8A01B6C}"/>
              </a:ext>
            </a:extLst>
          </cdr:cNvPr>
          <cdr:cNvCxnSpPr/>
        </cdr:nvCxnSpPr>
        <cdr:spPr>
          <a:xfrm xmlns:a="http://schemas.openxmlformats.org/drawingml/2006/main" flipV="1">
            <a:off x="5841360" y="120517"/>
            <a:ext cx="2235666" cy="4065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A62E685F-AE3F-739D-CC3A-BED0B2C024F6}"/>
              </a:ext>
            </a:extLst>
          </cdr:cNvPr>
          <cdr:cNvGrpSpPr/>
        </cdr:nvGrpSpPr>
        <cdr:grpSpPr>
          <a:xfrm xmlns:a="http://schemas.openxmlformats.org/drawingml/2006/main">
            <a:off x="-9623" y="-4041"/>
            <a:ext cx="8095090" cy="1113038"/>
            <a:chOff x="-9916" y="-4086"/>
            <a:chExt cx="8341567" cy="1125045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20D9B1A4-9943-8464-1FCC-FCC5018884B0}"/>
                </a:ext>
              </a:extLst>
            </cdr:cNvPr>
            <cdr:cNvSpPr txBox="1"/>
          </cdr:nvSpPr>
          <cdr:spPr>
            <a:xfrm xmlns:a="http://schemas.openxmlformats.org/drawingml/2006/main">
              <a:off x="11281" y="23536"/>
              <a:ext cx="824049" cy="19645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5FADF2C0-06EA-2088-5FFC-1CF647BCD941}"/>
                </a:ext>
              </a:extLst>
            </cdr:cNvPr>
            <cdr:cNvSpPr txBox="1"/>
          </cdr:nvSpPr>
          <cdr:spPr>
            <a:xfrm xmlns:a="http://schemas.openxmlformats.org/drawingml/2006/main">
              <a:off x="0" y="265624"/>
              <a:ext cx="824049" cy="19645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3B1AEA24-C8C4-4450-D3BD-B75D30843A7F}"/>
                </a:ext>
              </a:extLst>
            </cdr:cNvPr>
            <cdr:cNvSpPr txBox="1"/>
          </cdr:nvSpPr>
          <cdr:spPr>
            <a:xfrm xmlns:a="http://schemas.openxmlformats.org/drawingml/2006/main">
              <a:off x="6785" y="522671"/>
              <a:ext cx="1071445" cy="260756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175BA785-8C2A-0A1F-33D3-BA424ADB3E5F}"/>
                </a:ext>
              </a:extLst>
            </cdr:cNvPr>
            <cdr:cNvSpPr txBox="1"/>
          </cdr:nvSpPr>
          <cdr:spPr>
            <a:xfrm xmlns:a="http://schemas.openxmlformats.org/drawingml/2006/main">
              <a:off x="-9916" y="781713"/>
              <a:ext cx="1071445" cy="260756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</a:p>
            <a:p xmlns:a="http://schemas.openxmlformats.org/drawingml/2006/main">
              <a:r>
                <a:rPr lang="en-US" sz="1100" b="1"/>
                <a:t>(Rx1/2/3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5A356B83-34FC-754A-662F-4147C217857E}"/>
                </a:ext>
              </a:extLst>
            </cdr:cNvPr>
            <cdr:cNvCxnSpPr/>
          </cdr:nvCxnSpPr>
          <cdr:spPr>
            <a:xfrm xmlns:a="http://schemas.openxmlformats.org/drawingml/2006/main" flipV="1">
              <a:off x="973779" y="142207"/>
              <a:ext cx="188497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F309A723-A677-9AB9-3F45-748AF46289A9}"/>
                </a:ext>
              </a:extLst>
            </cdr:cNvPr>
            <cdr:cNvCxnSpPr/>
          </cdr:nvCxnSpPr>
          <cdr:spPr>
            <a:xfrm xmlns:a="http://schemas.openxmlformats.org/drawingml/2006/main" flipV="1">
              <a:off x="967514" y="371329"/>
              <a:ext cx="188497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0DA1BDCC-7513-B8F5-E93D-87F8FC56E899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00397" y="626382"/>
              <a:ext cx="188497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BAE42EA7-454D-D6AC-25EF-61A35CB2439A}"/>
                </a:ext>
              </a:extLst>
            </cdr:cNvPr>
            <cdr:cNvCxnSpPr/>
          </cdr:nvCxnSpPr>
          <cdr:spPr>
            <a:xfrm xmlns:a="http://schemas.openxmlformats.org/drawingml/2006/main" flipV="1">
              <a:off x="981086" y="974176"/>
              <a:ext cx="188497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6EFFDF9E-F285-5D5A-EF81-8E6135F39E0D}"/>
                </a:ext>
              </a:extLst>
            </cdr:cNvPr>
            <cdr:cNvSpPr txBox="1"/>
          </cdr:nvSpPr>
          <cdr:spPr>
            <a:xfrm xmlns:a="http://schemas.openxmlformats.org/drawingml/2006/main">
              <a:off x="1583836" y="23539"/>
              <a:ext cx="612467" cy="18029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91F61690-C70D-2CB1-1A5E-179272EAD432}"/>
                </a:ext>
              </a:extLst>
            </cdr:cNvPr>
            <cdr:cNvSpPr txBox="1"/>
          </cdr:nvSpPr>
          <cdr:spPr>
            <a:xfrm xmlns:a="http://schemas.openxmlformats.org/drawingml/2006/main">
              <a:off x="1582791" y="265625"/>
              <a:ext cx="613511" cy="22022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B1E5FA33-F786-7CE8-A9AA-08B79038A0CD}"/>
                </a:ext>
              </a:extLst>
            </cdr:cNvPr>
            <cdr:cNvSpPr txBox="1"/>
          </cdr:nvSpPr>
          <cdr:spPr>
            <a:xfrm xmlns:a="http://schemas.openxmlformats.org/drawingml/2006/main">
              <a:off x="1582186" y="534543"/>
              <a:ext cx="615253" cy="23860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9E6C6F88-2E97-378A-3AB4-1CB7228F6077}"/>
                </a:ext>
              </a:extLst>
            </cdr:cNvPr>
            <cdr:cNvSpPr txBox="1"/>
          </cdr:nvSpPr>
          <cdr:spPr>
            <a:xfrm xmlns:a="http://schemas.openxmlformats.org/drawingml/2006/main">
              <a:off x="1414563" y="837972"/>
              <a:ext cx="993760" cy="24729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E9C1F203-D297-B23A-825D-7BA02E56C771}"/>
                </a:ext>
              </a:extLst>
            </cdr:cNvPr>
            <cdr:cNvCxnSpPr/>
          </cdr:nvCxnSpPr>
          <cdr:spPr>
            <a:xfrm xmlns:a="http://schemas.openxmlformats.org/drawingml/2006/main">
              <a:off x="3073521" y="121816"/>
              <a:ext cx="2820821" cy="4173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773DF3C7-9AF0-8F8A-4D11-D34CE4F0A600}"/>
                </a:ext>
              </a:extLst>
            </cdr:cNvPr>
            <cdr:cNvCxnSpPr/>
          </cdr:nvCxnSpPr>
          <cdr:spPr>
            <a:xfrm xmlns:a="http://schemas.openxmlformats.org/drawingml/2006/main">
              <a:off x="3073521" y="335911"/>
              <a:ext cx="2809224" cy="20035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285864D0-392D-2E35-52FC-B1215252F1E8}"/>
                </a:ext>
              </a:extLst>
            </cdr:cNvPr>
            <cdr:cNvCxnSpPr/>
          </cdr:nvCxnSpPr>
          <cdr:spPr>
            <a:xfrm xmlns:a="http://schemas.openxmlformats.org/drawingml/2006/main" flipV="1">
              <a:off x="6030059" y="332626"/>
              <a:ext cx="2301592" cy="9177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F69FE2F7-FBA1-6FAB-1BF4-307426740932}"/>
                </a:ext>
              </a:extLst>
            </cdr:cNvPr>
            <cdr:cNvCxnSpPr/>
          </cdr:nvCxnSpPr>
          <cdr:spPr>
            <a:xfrm xmlns:a="http://schemas.openxmlformats.org/drawingml/2006/main">
              <a:off x="3081355" y="561275"/>
              <a:ext cx="282043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0966F177-DBB1-D753-9118-3680531ED724}"/>
                </a:ext>
              </a:extLst>
            </cdr:cNvPr>
            <cdr:cNvCxnSpPr/>
          </cdr:nvCxnSpPr>
          <cdr:spPr>
            <a:xfrm xmlns:a="http://schemas.openxmlformats.org/drawingml/2006/main" flipV="1">
              <a:off x="6025906" y="622764"/>
              <a:ext cx="2282261" cy="8862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0AF9255E-BA2F-BC4D-5DBB-B8DE84B84F62}"/>
                </a:ext>
              </a:extLst>
            </cdr:cNvPr>
            <cdr:cNvCxnSpPr/>
          </cdr:nvCxnSpPr>
          <cdr:spPr>
            <a:xfrm xmlns:a="http://schemas.openxmlformats.org/drawingml/2006/main" flipV="1">
              <a:off x="3057850" y="947274"/>
              <a:ext cx="2826475" cy="838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8EAC1607-0583-30E7-E7C4-080124313D3F}"/>
                </a:ext>
              </a:extLst>
            </cdr:cNvPr>
            <cdr:cNvCxnSpPr/>
          </cdr:nvCxnSpPr>
          <cdr:spPr>
            <a:xfrm xmlns:a="http://schemas.openxmlformats.org/drawingml/2006/main" flipV="1">
              <a:off x="6027355" y="924062"/>
              <a:ext cx="2269070" cy="2136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6A3A54E6-1305-38DB-9493-3BC379580A5F}"/>
                </a:ext>
              </a:extLst>
            </cdr:cNvPr>
            <cdr:cNvSpPr txBox="1"/>
          </cdr:nvSpPr>
          <cdr:spPr>
            <a:xfrm xmlns:a="http://schemas.openxmlformats.org/drawingml/2006/main">
              <a:off x="3941675" y="-4086"/>
              <a:ext cx="1383221" cy="19842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B8345F80-2B26-5B79-A511-CBDBB479ACC0}"/>
                </a:ext>
              </a:extLst>
            </cdr:cNvPr>
            <cdr:cNvSpPr txBox="1"/>
          </cdr:nvSpPr>
          <cdr:spPr>
            <a:xfrm xmlns:a="http://schemas.openxmlformats.org/drawingml/2006/main">
              <a:off x="6317045" y="-1"/>
              <a:ext cx="1264005" cy="21277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C72318B-9A19-D7C7-A672-48ED7597E8EA}"/>
                </a:ext>
              </a:extLst>
            </cdr:cNvPr>
            <cdr:cNvSpPr txBox="1"/>
          </cdr:nvSpPr>
          <cdr:spPr>
            <a:xfrm xmlns:a="http://schemas.openxmlformats.org/drawingml/2006/main">
              <a:off x="4267390" y="259378"/>
              <a:ext cx="615254" cy="24215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74BA385F-C292-2DFC-6F3D-64B2FEF80140}"/>
                </a:ext>
              </a:extLst>
            </cdr:cNvPr>
            <cdr:cNvSpPr txBox="1"/>
          </cdr:nvSpPr>
          <cdr:spPr>
            <a:xfrm xmlns:a="http://schemas.openxmlformats.org/drawingml/2006/main">
              <a:off x="6655807" y="276726"/>
              <a:ext cx="615253" cy="24215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84FDD272-7642-65D0-27BD-EBA5FD582872}"/>
                </a:ext>
              </a:extLst>
            </cdr:cNvPr>
            <cdr:cNvSpPr txBox="1"/>
          </cdr:nvSpPr>
          <cdr:spPr>
            <a:xfrm xmlns:a="http://schemas.openxmlformats.org/drawingml/2006/main">
              <a:off x="4265871" y="549424"/>
              <a:ext cx="615254" cy="23780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B9D977E0-5475-1D69-736E-3129E65BCDD9}"/>
                </a:ext>
              </a:extLst>
            </cdr:cNvPr>
            <cdr:cNvSpPr txBox="1"/>
          </cdr:nvSpPr>
          <cdr:spPr>
            <a:xfrm xmlns:a="http://schemas.openxmlformats.org/drawingml/2006/main">
              <a:off x="6654287" y="576201"/>
              <a:ext cx="615253" cy="23780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876B5632-E38D-C2DF-CCD7-3CE8A65910FD}"/>
                </a:ext>
              </a:extLst>
            </cdr:cNvPr>
            <cdr:cNvSpPr txBox="1"/>
          </cdr:nvSpPr>
          <cdr:spPr>
            <a:xfrm xmlns:a="http://schemas.openxmlformats.org/drawingml/2006/main">
              <a:off x="4024560" y="873663"/>
              <a:ext cx="998141" cy="247296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E1A02192-9628-169E-B642-7528B272E570}"/>
                </a:ext>
              </a:extLst>
            </cdr:cNvPr>
            <cdr:cNvSpPr txBox="1"/>
          </cdr:nvSpPr>
          <cdr:spPr>
            <a:xfrm xmlns:a="http://schemas.openxmlformats.org/drawingml/2006/main">
              <a:off x="6412977" y="853298"/>
              <a:ext cx="1091776" cy="25771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557018</xdr:colOff>
      <xdr:row>5</xdr:row>
      <xdr:rowOff>93401</xdr:rowOff>
    </xdr:from>
    <xdr:to>
      <xdr:col>51</xdr:col>
      <xdr:colOff>61387</xdr:colOff>
      <xdr:row>51</xdr:row>
      <xdr:rowOff>122115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DB765A-7A92-4C21-9694-B7FEBC0CE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354384</xdr:colOff>
      <xdr:row>6</xdr:row>
      <xdr:rowOff>34324</xdr:rowOff>
    </xdr:from>
    <xdr:to>
      <xdr:col>20</xdr:col>
      <xdr:colOff>42996</xdr:colOff>
      <xdr:row>52</xdr:row>
      <xdr:rowOff>117150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791B37F2-7DCF-12CC-1D9E-20A9F8280E08}"/>
            </a:ext>
          </a:extLst>
        </xdr:cNvPr>
        <xdr:cNvGrpSpPr/>
      </xdr:nvGrpSpPr>
      <xdr:grpSpPr>
        <a:xfrm>
          <a:off x="354384" y="1128686"/>
          <a:ext cx="11848186" cy="8472932"/>
          <a:chOff x="422193" y="-55206"/>
          <a:chExt cx="11863634" cy="7660856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ED85CA5B-5A9C-43B9-A194-F9CEBB00AEFE}"/>
              </a:ext>
            </a:extLst>
          </xdr:cNvPr>
          <xdr:cNvGraphicFramePr>
            <a:graphicFrameLocks/>
          </xdr:cNvGraphicFramePr>
        </xdr:nvGraphicFramePr>
        <xdr:xfrm>
          <a:off x="422193" y="-55206"/>
          <a:ext cx="11863634" cy="76608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" name="TextBox 2">
            <a:extLst>
              <a:ext uri="{FF2B5EF4-FFF2-40B4-BE49-F238E27FC236}">
                <a16:creationId xmlns:a16="http://schemas.microsoft.com/office/drawing/2014/main" id="{48D62D2C-B5C4-2384-D59A-F1C857052CC1}"/>
              </a:ext>
            </a:extLst>
          </xdr:cNvPr>
          <xdr:cNvSpPr txBox="1"/>
        </xdr:nvSpPr>
        <xdr:spPr>
          <a:xfrm>
            <a:off x="477264" y="-29628"/>
            <a:ext cx="11800259" cy="379340"/>
          </a:xfrm>
          <a:prstGeom prst="rect">
            <a:avLst/>
          </a:prstGeom>
          <a:solidFill>
            <a:srgbClr val="CCFFCC"/>
          </a:solidFill>
        </xdr:spPr>
        <xdr:txBody>
          <a:bodyPr wrap="square" rtlCol="0" anchor="ctr" anchorCtr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sz="2400" b="1">
                <a:effectLst/>
              </a:rPr>
              <a:t>Breakdown Yield: </a:t>
            </a:r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Low &amp; High Sedimentation</a:t>
            </a:r>
            <a:endParaRPr lang="en-US" sz="2400" b="1">
              <a:effectLst/>
            </a:endParaRPr>
          </a:p>
        </xdr:txBody>
      </xdr:sp>
    </xdr:grpSp>
    <xdr:clientData/>
  </xdr:twoCellAnchor>
  <xdr:twoCellAnchor>
    <xdr:from>
      <xdr:col>54</xdr:col>
      <xdr:colOff>429055</xdr:colOff>
      <xdr:row>5</xdr:row>
      <xdr:rowOff>51486</xdr:rowOff>
    </xdr:from>
    <xdr:to>
      <xdr:col>73</xdr:col>
      <xdr:colOff>568424</xdr:colOff>
      <xdr:row>51</xdr:row>
      <xdr:rowOff>80200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7DC082-8A1B-4355-B8E5-25C0B2D97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0.00457</cdr:x>
      <cdr:y>0.00762</cdr:y>
    </cdr:from>
    <cdr:to>
      <cdr:x>0.99977</cdr:x>
      <cdr:y>0.06132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4C09D6D7-25BE-4BA4-4146-6A1E2650E496}"/>
            </a:ext>
          </a:extLst>
        </cdr:cNvPr>
        <cdr:cNvSpPr txBox="1"/>
      </cdr:nvSpPr>
      <cdr:spPr>
        <a:xfrm xmlns:a="http://schemas.openxmlformats.org/drawingml/2006/main">
          <a:off x="50800" y="50799"/>
          <a:ext cx="11067081" cy="35818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Gas Yield: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  <cdr:relSizeAnchor xmlns:cdr="http://schemas.openxmlformats.org/drawingml/2006/chartDrawing">
    <cdr:from>
      <cdr:x>0.03155</cdr:x>
      <cdr:y>0.07823</cdr:y>
    </cdr:from>
    <cdr:to>
      <cdr:x>0.84891</cdr:x>
      <cdr:y>0.21099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F1F3BB19-E7BC-4522-C888-D443A6679AA1}"/>
            </a:ext>
          </a:extLst>
        </cdr:cNvPr>
        <cdr:cNvGrpSpPr/>
      </cdr:nvGrpSpPr>
      <cdr:grpSpPr>
        <a:xfrm xmlns:a="http://schemas.openxmlformats.org/drawingml/2006/main">
          <a:off x="385048" y="682914"/>
          <a:ext cx="9975363" cy="1158937"/>
          <a:chOff x="0" y="0"/>
          <a:chExt cx="7024765" cy="971063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A31517B1-CF42-E6A5-FCA9-78EE196EA493}"/>
              </a:ext>
            </a:extLst>
          </cdr:cNvPr>
          <cdr:cNvCxnSpPr/>
        </cdr:nvCxnSpPr>
        <cdr:spPr>
          <a:xfrm xmlns:a="http://schemas.openxmlformats.org/drawingml/2006/main">
            <a:off x="4976049" y="125272"/>
            <a:ext cx="2031855" cy="14088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58A82C0E-7C43-2783-2EEA-7AB25DF7F246}"/>
              </a:ext>
            </a:extLst>
          </cdr:cNvPr>
          <cdr:cNvGrpSpPr/>
        </cdr:nvGrpSpPr>
        <cdr:grpSpPr>
          <a:xfrm xmlns:a="http://schemas.openxmlformats.org/drawingml/2006/main">
            <a:off x="0" y="0"/>
            <a:ext cx="7024765" cy="971063"/>
            <a:chOff x="0" y="0"/>
            <a:chExt cx="9093005" cy="1134578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41A874F5-D929-3594-C069-C2337F4E7DF4}"/>
                </a:ext>
              </a:extLst>
            </cdr:cNvPr>
            <cdr:cNvSpPr txBox="1"/>
          </cdr:nvSpPr>
          <cdr:spPr>
            <a:xfrm xmlns:a="http://schemas.openxmlformats.org/drawingml/2006/main">
              <a:off x="12088" y="28221"/>
              <a:ext cx="883021" cy="200718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93D20547-A66C-CC55-5DA6-BE3DB9EC3B76}"/>
                </a:ext>
              </a:extLst>
            </cdr:cNvPr>
            <cdr:cNvSpPr txBox="1"/>
          </cdr:nvSpPr>
          <cdr:spPr>
            <a:xfrm xmlns:a="http://schemas.openxmlformats.org/drawingml/2006/main">
              <a:off x="0" y="275562"/>
              <a:ext cx="883021" cy="200718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9AC2972E-DF40-0C1A-DDAF-1B96807B79F4}"/>
                </a:ext>
              </a:extLst>
            </cdr:cNvPr>
            <cdr:cNvSpPr txBox="1"/>
          </cdr:nvSpPr>
          <cdr:spPr>
            <a:xfrm xmlns:a="http://schemas.openxmlformats.org/drawingml/2006/main">
              <a:off x="7271" y="538185"/>
              <a:ext cx="1148121" cy="266413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8CA59505-4DF9-5068-F759-62888F9A8D3A}"/>
                </a:ext>
              </a:extLst>
            </cdr:cNvPr>
            <cdr:cNvSpPr txBox="1"/>
          </cdr:nvSpPr>
          <cdr:spPr>
            <a:xfrm xmlns:a="http://schemas.openxmlformats.org/drawingml/2006/main">
              <a:off x="559" y="867035"/>
              <a:ext cx="1148121" cy="266413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14FCE1F4-C4C1-8779-53DA-CB20F1BE8CAF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3467" y="149467"/>
              <a:ext cx="201987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72087FB8-D20C-399D-CB0F-8B171861FD85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36753" y="383561"/>
              <a:ext cx="201987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9F82C509-0CE3-1C79-25E6-68BD329C1F36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71989" y="644147"/>
              <a:ext cx="201987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102F5B51-184D-42DC-F47C-6DBB2A79402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51296" y="999487"/>
              <a:ext cx="201987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7B4F3D2-008B-1AEE-A5A8-87B08F640188}"/>
                </a:ext>
              </a:extLst>
            </cdr:cNvPr>
            <cdr:cNvSpPr txBox="1"/>
          </cdr:nvSpPr>
          <cdr:spPr>
            <a:xfrm xmlns:a="http://schemas.openxmlformats.org/drawingml/2006/main">
              <a:off x="1697181" y="28224"/>
              <a:ext cx="656298" cy="184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7E54A026-61CA-5807-BBA7-EA6499279101}"/>
                </a:ext>
              </a:extLst>
            </cdr:cNvPr>
            <cdr:cNvSpPr txBox="1"/>
          </cdr:nvSpPr>
          <cdr:spPr>
            <a:xfrm xmlns:a="http://schemas.openxmlformats.org/drawingml/2006/main">
              <a:off x="1696061" y="275563"/>
              <a:ext cx="657417" cy="2250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B35DB947-34F7-FDFF-D2E5-C2950DFA86D2}"/>
                </a:ext>
              </a:extLst>
            </cdr:cNvPr>
            <cdr:cNvSpPr txBox="1"/>
          </cdr:nvSpPr>
          <cdr:spPr>
            <a:xfrm xmlns:a="http://schemas.openxmlformats.org/drawingml/2006/main">
              <a:off x="1695413" y="550315"/>
              <a:ext cx="659283" cy="243776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76BBBE39-F33F-F583-6625-C5F4A1DCBD10}"/>
                </a:ext>
              </a:extLst>
            </cdr:cNvPr>
            <cdr:cNvSpPr txBox="1"/>
          </cdr:nvSpPr>
          <cdr:spPr>
            <a:xfrm xmlns:a="http://schemas.openxmlformats.org/drawingml/2006/main">
              <a:off x="1482670" y="881917"/>
              <a:ext cx="1064877" cy="25266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852DD021-379B-F2AC-D76A-31F4BF43964E}"/>
                </a:ext>
              </a:extLst>
            </cdr:cNvPr>
            <cdr:cNvCxnSpPr/>
          </cdr:nvCxnSpPr>
          <cdr:spPr>
            <a:xfrm xmlns:a="http://schemas.openxmlformats.org/drawingml/2006/main">
              <a:off x="3429031" y="163026"/>
              <a:ext cx="2856230" cy="8247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15E4D9F1-6592-5017-9F6B-E20268DC8B78}"/>
                </a:ext>
              </a:extLst>
            </cdr:cNvPr>
            <cdr:cNvCxnSpPr/>
          </cdr:nvCxnSpPr>
          <cdr:spPr>
            <a:xfrm xmlns:a="http://schemas.openxmlformats.org/drawingml/2006/main" flipV="1">
              <a:off x="3436645" y="374071"/>
              <a:ext cx="2854730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5DBB1B5B-ACD1-3D8E-F73F-D00B3248DCDB}"/>
                </a:ext>
              </a:extLst>
            </cdr:cNvPr>
            <cdr:cNvCxnSpPr/>
          </cdr:nvCxnSpPr>
          <cdr:spPr>
            <a:xfrm xmlns:a="http://schemas.openxmlformats.org/drawingml/2006/main" flipV="1">
              <a:off x="6461592" y="367497"/>
              <a:ext cx="2625866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C5AE561C-7B35-C714-A91D-E437484ED835}"/>
                </a:ext>
              </a:extLst>
            </cdr:cNvPr>
            <cdr:cNvCxnSpPr/>
          </cdr:nvCxnSpPr>
          <cdr:spPr>
            <a:xfrm xmlns:a="http://schemas.openxmlformats.org/drawingml/2006/main" flipV="1">
              <a:off x="3438508" y="649034"/>
              <a:ext cx="2854730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3DBCACAF-15C2-BEF6-1B0A-5B94E08286B9}"/>
                </a:ext>
              </a:extLst>
            </cdr:cNvPr>
            <cdr:cNvCxnSpPr/>
          </cdr:nvCxnSpPr>
          <cdr:spPr>
            <a:xfrm xmlns:a="http://schemas.openxmlformats.org/drawingml/2006/main">
              <a:off x="6457141" y="649506"/>
              <a:ext cx="2627944" cy="4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EFA1369B-4F4B-CB70-C331-CC3804525703}"/>
                </a:ext>
              </a:extLst>
            </cdr:cNvPr>
            <cdr:cNvCxnSpPr/>
          </cdr:nvCxnSpPr>
          <cdr:spPr>
            <a:xfrm xmlns:a="http://schemas.openxmlformats.org/drawingml/2006/main">
              <a:off x="3440129" y="970588"/>
              <a:ext cx="2822038" cy="1415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49A6E4C1-5E10-35D0-2AFB-37604E5F313B}"/>
                </a:ext>
              </a:extLst>
            </cdr:cNvPr>
            <cdr:cNvCxnSpPr/>
          </cdr:nvCxnSpPr>
          <cdr:spPr>
            <a:xfrm xmlns:a="http://schemas.openxmlformats.org/drawingml/2006/main" flipV="1">
              <a:off x="6458694" y="949034"/>
              <a:ext cx="2634311" cy="2108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AF7449F8-D398-A412-DA9E-B2F1F99C6957}"/>
                </a:ext>
              </a:extLst>
            </cdr:cNvPr>
            <cdr:cNvSpPr txBox="1"/>
          </cdr:nvSpPr>
          <cdr:spPr>
            <a:xfrm xmlns:a="http://schemas.openxmlformats.org/drawingml/2006/main">
              <a:off x="4223755" y="0"/>
              <a:ext cx="1482209" cy="2027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C9B3A15-3C88-CEC9-64D1-A8E5A63724FF}"/>
                </a:ext>
              </a:extLst>
            </cdr:cNvPr>
            <cdr:cNvSpPr txBox="1"/>
          </cdr:nvSpPr>
          <cdr:spPr>
            <a:xfrm xmlns:a="http://schemas.openxmlformats.org/drawingml/2006/main">
              <a:off x="6769115" y="4174"/>
              <a:ext cx="1354462" cy="21738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15846EEE-5DB5-837C-9891-3E9603559A1B}"/>
                </a:ext>
              </a:extLst>
            </cdr:cNvPr>
            <cdr:cNvSpPr txBox="1"/>
          </cdr:nvSpPr>
          <cdr:spPr>
            <a:xfrm xmlns:a="http://schemas.openxmlformats.org/drawingml/2006/main">
              <a:off x="4572780" y="269181"/>
              <a:ext cx="659284" cy="24741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377CF99D-FFCF-911D-4288-BF39E4BAC02D}"/>
                </a:ext>
              </a:extLst>
            </cdr:cNvPr>
            <cdr:cNvSpPr txBox="1"/>
          </cdr:nvSpPr>
          <cdr:spPr>
            <a:xfrm xmlns:a="http://schemas.openxmlformats.org/drawingml/2006/main">
              <a:off x="7132119" y="286905"/>
              <a:ext cx="659283" cy="24741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EC6BDB66-0177-1610-4F4C-198445AEBD4B}"/>
                </a:ext>
              </a:extLst>
            </cdr:cNvPr>
            <cdr:cNvSpPr txBox="1"/>
          </cdr:nvSpPr>
          <cdr:spPr>
            <a:xfrm xmlns:a="http://schemas.openxmlformats.org/drawingml/2006/main">
              <a:off x="4571151" y="565519"/>
              <a:ext cx="659284" cy="24296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4EB9EC21-65C8-0FA5-F702-6E311816D2D0}"/>
                </a:ext>
              </a:extLst>
            </cdr:cNvPr>
            <cdr:cNvSpPr txBox="1"/>
          </cdr:nvSpPr>
          <cdr:spPr>
            <a:xfrm xmlns:a="http://schemas.openxmlformats.org/drawingml/2006/main">
              <a:off x="7130491" y="592877"/>
              <a:ext cx="659283" cy="24296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A45A3E96-C271-FBA1-7475-1A0DBC62128D}"/>
                </a:ext>
              </a:extLst>
            </cdr:cNvPr>
            <cdr:cNvSpPr txBox="1"/>
          </cdr:nvSpPr>
          <cdr:spPr>
            <a:xfrm xmlns:a="http://schemas.openxmlformats.org/drawingml/2006/main">
              <a:off x="4312571" y="896794"/>
              <a:ext cx="1069571" cy="22711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F61702D1-03AE-0F94-9B8D-576ABE4C2EF9}"/>
                </a:ext>
              </a:extLst>
            </cdr:cNvPr>
            <cdr:cNvSpPr txBox="1"/>
          </cdr:nvSpPr>
          <cdr:spPr>
            <a:xfrm xmlns:a="http://schemas.openxmlformats.org/drawingml/2006/main">
              <a:off x="6871913" y="875986"/>
              <a:ext cx="1169907" cy="24792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0.03599</cdr:x>
      <cdr:y>0.05505</cdr:y>
    </cdr:from>
    <cdr:to>
      <cdr:x>0.8648</cdr:x>
      <cdr:y>0.20056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AF45C18D-A90B-1707-6DFD-34F01DE91DB2}"/>
            </a:ext>
          </a:extLst>
        </cdr:cNvPr>
        <cdr:cNvGrpSpPr/>
      </cdr:nvGrpSpPr>
      <cdr:grpSpPr>
        <a:xfrm xmlns:a="http://schemas.openxmlformats.org/drawingml/2006/main">
          <a:off x="445866" y="483541"/>
          <a:ext cx="10267806" cy="1278113"/>
          <a:chOff x="0" y="8370"/>
          <a:chExt cx="8411462" cy="1101008"/>
        </a:xfrm>
      </cdr:grpSpPr>
      <cdr:cxnSp macro="">
        <cdr:nvCxnSpPr>
          <cdr:cNvPr id="3" name="Straight Arrow Connector 2">
            <a:extLst xmlns:a="http://schemas.openxmlformats.org/drawingml/2006/main">
              <a:ext uri="{FF2B5EF4-FFF2-40B4-BE49-F238E27FC236}">
                <a16:creationId xmlns:a16="http://schemas.microsoft.com/office/drawing/2014/main" id="{1345CA6E-B910-1638-BB38-87ACC6AEBB7D}"/>
              </a:ext>
            </a:extLst>
          </cdr:cNvPr>
          <cdr:cNvCxnSpPr/>
        </cdr:nvCxnSpPr>
        <cdr:spPr>
          <a:xfrm xmlns:a="http://schemas.openxmlformats.org/drawingml/2006/main">
            <a:off x="5963079" y="157015"/>
            <a:ext cx="2448383" cy="14739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4" name="Group 3">
            <a:extLst xmlns:a="http://schemas.openxmlformats.org/drawingml/2006/main">
              <a:ext uri="{FF2B5EF4-FFF2-40B4-BE49-F238E27FC236}">
                <a16:creationId xmlns:a16="http://schemas.microsoft.com/office/drawing/2014/main" id="{658AFB5B-CA2A-72A6-458F-C8794822AD1A}"/>
              </a:ext>
            </a:extLst>
          </cdr:cNvPr>
          <cdr:cNvGrpSpPr/>
        </cdr:nvGrpSpPr>
        <cdr:grpSpPr>
          <a:xfrm xmlns:a="http://schemas.openxmlformats.org/drawingml/2006/main">
            <a:off x="0" y="8370"/>
            <a:ext cx="8408581" cy="1101008"/>
            <a:chOff x="0" y="8460"/>
            <a:chExt cx="8744100" cy="1112888"/>
          </a:xfrm>
        </cdr:grpSpPr>
        <cdr:sp macro="" textlink="">
          <cdr:nvSpPr>
            <cdr:cNvPr id="5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2B5046A3-8760-783F-1540-493DDF040CBC}"/>
                </a:ext>
              </a:extLst>
            </cdr:cNvPr>
            <cdr:cNvSpPr txBox="1"/>
          </cdr:nvSpPr>
          <cdr:spPr>
            <a:xfrm xmlns:a="http://schemas.openxmlformats.org/drawingml/2006/main">
              <a:off x="11624" y="27920"/>
              <a:ext cx="849139" cy="19857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6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AF1C2801-8EB1-ED0F-5E75-8DCE3667BE17}"/>
                </a:ext>
              </a:extLst>
            </cdr:cNvPr>
            <cdr:cNvSpPr txBox="1"/>
          </cdr:nvSpPr>
          <cdr:spPr>
            <a:xfrm xmlns:a="http://schemas.openxmlformats.org/drawingml/2006/main">
              <a:off x="0" y="272620"/>
              <a:ext cx="849139" cy="19857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7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F5EF6DBE-4DFA-5005-390B-FCFEB86756BC}"/>
                </a:ext>
              </a:extLst>
            </cdr:cNvPr>
            <cdr:cNvSpPr txBox="1"/>
          </cdr:nvSpPr>
          <cdr:spPr>
            <a:xfrm xmlns:a="http://schemas.openxmlformats.org/drawingml/2006/main">
              <a:off x="6992" y="532440"/>
              <a:ext cx="1104067" cy="263569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8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D87BE3EE-93A8-3EFB-9546-96AB0FD851E1}"/>
                </a:ext>
              </a:extLst>
            </cdr:cNvPr>
            <cdr:cNvSpPr txBox="1"/>
          </cdr:nvSpPr>
          <cdr:spPr>
            <a:xfrm xmlns:a="http://schemas.openxmlformats.org/drawingml/2006/main">
              <a:off x="538" y="857779"/>
              <a:ext cx="1104067" cy="263569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</a:p>
            <a:p xmlns:a="http://schemas.openxmlformats.org/drawingml/2006/main">
              <a:r>
                <a:rPr lang="en-US" sz="1100" b="1"/>
                <a:t>(Rx1/2/3)</a:t>
              </a:r>
            </a:p>
          </cdr:txBody>
        </cdr:sp>
        <cdr:cxnSp macro="">
          <cdr:nvCxnSpPr>
            <cdr:cNvPr id="9" name="Straight Arrow Connector 8">
              <a:extLst xmlns:a="http://schemas.openxmlformats.org/drawingml/2006/main">
                <a:ext uri="{FF2B5EF4-FFF2-40B4-BE49-F238E27FC236}">
                  <a16:creationId xmlns:a16="http://schemas.microsoft.com/office/drawing/2014/main" id="{6F87A969-EF5D-E014-E5C9-88F6F3AABB43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03428" y="147871"/>
              <a:ext cx="1942367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49212F6F-4096-A840-C470-7BF54F4310CA}"/>
                </a:ext>
              </a:extLst>
            </cdr:cNvPr>
            <cdr:cNvCxnSpPr/>
          </cdr:nvCxnSpPr>
          <cdr:spPr>
            <a:xfrm xmlns:a="http://schemas.openxmlformats.org/drawingml/2006/main" flipV="1">
              <a:off x="996972" y="379466"/>
              <a:ext cx="1942367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537132C1-F290-096B-3352-8D6897E1971C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30856" y="637270"/>
              <a:ext cx="1942367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4A9F565B-7007-D0FF-E2EC-304924B620FA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10957" y="988817"/>
              <a:ext cx="1942367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3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CD7BF437-23B2-66AE-DEA8-40AD7AADDC73}"/>
                </a:ext>
              </a:extLst>
            </cdr:cNvPr>
            <cdr:cNvSpPr txBox="1"/>
          </cdr:nvSpPr>
          <cdr:spPr>
            <a:xfrm xmlns:a="http://schemas.openxmlformats.org/drawingml/2006/main">
              <a:off x="1632059" y="27923"/>
              <a:ext cx="631115" cy="18223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4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EFAA5D13-1C98-AEAE-1C43-BE414080D138}"/>
                </a:ext>
              </a:extLst>
            </cdr:cNvPr>
            <cdr:cNvSpPr txBox="1"/>
          </cdr:nvSpPr>
          <cdr:spPr>
            <a:xfrm xmlns:a="http://schemas.openxmlformats.org/drawingml/2006/main">
              <a:off x="1630982" y="272621"/>
              <a:ext cx="632191" cy="22260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5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7218775B-5EC2-DFFE-B4F5-B3961DC9EAD0}"/>
                </a:ext>
              </a:extLst>
            </cdr:cNvPr>
            <cdr:cNvSpPr txBox="1"/>
          </cdr:nvSpPr>
          <cdr:spPr>
            <a:xfrm xmlns:a="http://schemas.openxmlformats.org/drawingml/2006/main">
              <a:off x="1630359" y="544440"/>
              <a:ext cx="633986" cy="24117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6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BF8D7297-CE93-78F7-621A-5104E9389034}"/>
                </a:ext>
              </a:extLst>
            </cdr:cNvPr>
            <cdr:cNvSpPr txBox="1"/>
          </cdr:nvSpPr>
          <cdr:spPr>
            <a:xfrm xmlns:a="http://schemas.openxmlformats.org/drawingml/2006/main">
              <a:off x="1629737" y="861727"/>
              <a:ext cx="1024017" cy="24996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7" name="Straight Arrow Connector 16">
              <a:extLst xmlns:a="http://schemas.openxmlformats.org/drawingml/2006/main">
                <a:ext uri="{FF2B5EF4-FFF2-40B4-BE49-F238E27FC236}">
                  <a16:creationId xmlns:a16="http://schemas.microsoft.com/office/drawing/2014/main" id="{B3DECAF3-984A-8CA9-228B-6B64EB4296B3}"/>
                </a:ext>
              </a:extLst>
            </cdr:cNvPr>
            <cdr:cNvCxnSpPr/>
          </cdr:nvCxnSpPr>
          <cdr:spPr>
            <a:xfrm xmlns:a="http://schemas.openxmlformats.org/drawingml/2006/main">
              <a:off x="3297457" y="161286"/>
              <a:ext cx="2746635" cy="8159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CCFE2254-C0FF-2368-0D2D-3676423438F4}"/>
                </a:ext>
              </a:extLst>
            </cdr:cNvPr>
            <cdr:cNvCxnSpPr/>
          </cdr:nvCxnSpPr>
          <cdr:spPr>
            <a:xfrm xmlns:a="http://schemas.openxmlformats.org/drawingml/2006/main" flipV="1">
              <a:off x="3304779" y="370078"/>
              <a:ext cx="2745192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17C00BA2-559A-9CE8-5174-51EA9F5FC9A9}"/>
                </a:ext>
              </a:extLst>
            </cdr:cNvPr>
            <cdr:cNvCxnSpPr/>
          </cdr:nvCxnSpPr>
          <cdr:spPr>
            <a:xfrm xmlns:a="http://schemas.openxmlformats.org/drawingml/2006/main" flipV="1">
              <a:off x="6213656" y="363574"/>
              <a:ext cx="2525110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147CA849-5DF6-6336-DA57-1C9A5D2F5215}"/>
                </a:ext>
              </a:extLst>
            </cdr:cNvPr>
            <cdr:cNvCxnSpPr/>
          </cdr:nvCxnSpPr>
          <cdr:spPr>
            <a:xfrm xmlns:a="http://schemas.openxmlformats.org/drawingml/2006/main" flipV="1">
              <a:off x="3306570" y="642105"/>
              <a:ext cx="2745192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8EA68CB3-93AE-003A-69C2-96523AC75A92}"/>
                </a:ext>
              </a:extLst>
            </cdr:cNvPr>
            <cdr:cNvCxnSpPr/>
          </cdr:nvCxnSpPr>
          <cdr:spPr>
            <a:xfrm xmlns:a="http://schemas.openxmlformats.org/drawingml/2006/main">
              <a:off x="6209376" y="642572"/>
              <a:ext cx="2527108" cy="4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B20A458A-FE4F-6DE2-351F-9CE8E3A3297C}"/>
                </a:ext>
              </a:extLst>
            </cdr:cNvPr>
            <cdr:cNvCxnSpPr/>
          </cdr:nvCxnSpPr>
          <cdr:spPr>
            <a:xfrm xmlns:a="http://schemas.openxmlformats.org/drawingml/2006/main">
              <a:off x="3308129" y="960226"/>
              <a:ext cx="2713754" cy="140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DFBF27FB-BC02-3091-D127-01464123B01C}"/>
                </a:ext>
              </a:extLst>
            </cdr:cNvPr>
            <cdr:cNvCxnSpPr/>
          </cdr:nvCxnSpPr>
          <cdr:spPr>
            <a:xfrm xmlns:a="http://schemas.openxmlformats.org/drawingml/2006/main" flipV="1">
              <a:off x="6210869" y="938903"/>
              <a:ext cx="2533231" cy="20856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4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87C1CE18-DA74-F206-DE89-F3DB06D962FF}"/>
                </a:ext>
              </a:extLst>
            </cdr:cNvPr>
            <cdr:cNvSpPr txBox="1"/>
          </cdr:nvSpPr>
          <cdr:spPr>
            <a:xfrm xmlns:a="http://schemas.openxmlformats.org/drawingml/2006/main">
              <a:off x="4061688" y="8460"/>
              <a:ext cx="1425336" cy="20056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5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986EDF66-40FC-89C3-5CC4-9A3503AD48CB}"/>
                </a:ext>
              </a:extLst>
            </cdr:cNvPr>
            <cdr:cNvSpPr txBox="1"/>
          </cdr:nvSpPr>
          <cdr:spPr>
            <a:xfrm xmlns:a="http://schemas.openxmlformats.org/drawingml/2006/main">
              <a:off x="6770729" y="12589"/>
              <a:ext cx="1302490" cy="21506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HighSedimentation</a:t>
              </a:r>
            </a:p>
          </cdr:txBody>
        </cdr:sp>
        <cdr:sp macro="" textlink="">
          <cdr:nvSpPr>
            <cdr:cNvPr id="26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1D8953B7-FE87-3215-3E28-11BFF80E69D3}"/>
                </a:ext>
              </a:extLst>
            </cdr:cNvPr>
            <cdr:cNvSpPr txBox="1"/>
          </cdr:nvSpPr>
          <cdr:spPr>
            <a:xfrm xmlns:a="http://schemas.openxmlformats.org/drawingml/2006/main">
              <a:off x="4397319" y="266307"/>
              <a:ext cx="633987" cy="24477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7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5CAB3308-52F2-173E-FEF9-A3A27E65DA19}"/>
                </a:ext>
              </a:extLst>
            </cdr:cNvPr>
            <cdr:cNvSpPr txBox="1"/>
          </cdr:nvSpPr>
          <cdr:spPr>
            <a:xfrm xmlns:a="http://schemas.openxmlformats.org/drawingml/2006/main">
              <a:off x="7101782" y="283842"/>
              <a:ext cx="633986" cy="24477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4CD3AF48-D89A-6219-6CF0-BD3231693E18}"/>
                </a:ext>
              </a:extLst>
            </cdr:cNvPr>
            <cdr:cNvSpPr txBox="1"/>
          </cdr:nvSpPr>
          <cdr:spPr>
            <a:xfrm xmlns:a="http://schemas.openxmlformats.org/drawingml/2006/main">
              <a:off x="4395753" y="559482"/>
              <a:ext cx="633987" cy="24037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29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D6751FA8-FA33-2600-0355-085BBBCB7C91}"/>
                </a:ext>
              </a:extLst>
            </cdr:cNvPr>
            <cdr:cNvSpPr txBox="1"/>
          </cdr:nvSpPr>
          <cdr:spPr>
            <a:xfrm xmlns:a="http://schemas.openxmlformats.org/drawingml/2006/main">
              <a:off x="7100217" y="586548"/>
              <a:ext cx="633986" cy="24037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4F14A50B-5794-5250-3E7D-FE684ECFFED0}"/>
                </a:ext>
              </a:extLst>
            </cdr:cNvPr>
            <cdr:cNvSpPr txBox="1"/>
          </cdr:nvSpPr>
          <cdr:spPr>
            <a:xfrm xmlns:a="http://schemas.openxmlformats.org/drawingml/2006/main">
              <a:off x="4147094" y="887220"/>
              <a:ext cx="1028531" cy="17492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1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6304662E-82CB-0CB3-C2BF-D17417E413DF}"/>
                </a:ext>
              </a:extLst>
            </cdr:cNvPr>
            <cdr:cNvSpPr txBox="1"/>
          </cdr:nvSpPr>
          <cdr:spPr>
            <a:xfrm xmlns:a="http://schemas.openxmlformats.org/drawingml/2006/main">
              <a:off x="6851560" y="866635"/>
              <a:ext cx="1125017" cy="17671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0.00457</cdr:x>
      <cdr:y>0.00762</cdr:y>
    </cdr:from>
    <cdr:to>
      <cdr:x>0.99977</cdr:x>
      <cdr:y>0.21099</cdr:y>
    </cdr:to>
    <cdr:grpSp>
      <cdr:nvGrpSpPr>
        <cdr:cNvPr id="33" name="Group 32">
          <a:extLst xmlns:a="http://schemas.openxmlformats.org/drawingml/2006/main">
            <a:ext uri="{FF2B5EF4-FFF2-40B4-BE49-F238E27FC236}">
              <a16:creationId xmlns:a16="http://schemas.microsoft.com/office/drawing/2014/main" id="{C6C3CEB5-8A64-4519-FCDC-0EA5A33C43BB}"/>
            </a:ext>
          </a:extLst>
        </cdr:cNvPr>
        <cdr:cNvGrpSpPr/>
      </cdr:nvGrpSpPr>
      <cdr:grpSpPr>
        <a:xfrm xmlns:a="http://schemas.openxmlformats.org/drawingml/2006/main">
          <a:off x="55774" y="66391"/>
          <a:ext cx="12145788" cy="1771916"/>
          <a:chOff x="56741" y="66602"/>
          <a:chExt cx="12356439" cy="1777549"/>
        </a:xfrm>
      </cdr:grpSpPr>
      <cdr:sp macro="" textlink="">
        <cdr:nvSpPr>
          <cdr:cNvPr id="2" name="TextBox 2">
            <a:extLst xmlns:a="http://schemas.openxmlformats.org/drawingml/2006/main">
              <a:ext uri="{FF2B5EF4-FFF2-40B4-BE49-F238E27FC236}">
                <a16:creationId xmlns:a16="http://schemas.microsoft.com/office/drawing/2014/main" id="{4C09D6D7-25BE-4BA4-4146-6A1E2650E496}"/>
              </a:ext>
            </a:extLst>
          </cdr:cNvPr>
          <cdr:cNvSpPr txBox="1"/>
        </cdr:nvSpPr>
        <cdr:spPr>
          <a:xfrm xmlns:a="http://schemas.openxmlformats.org/drawingml/2006/main">
            <a:off x="56741" y="66602"/>
            <a:ext cx="12356439" cy="469363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C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rtl="0"/>
            <a:r>
              <a:rPr lang="en-US" sz="2400" b="1">
                <a:effectLst/>
              </a:rPr>
              <a:t>Gas Yield: </a:t>
            </a:r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Low &amp; High Sedimentation</a:t>
            </a:r>
            <a:endParaRPr lang="en-US" sz="2400" b="1">
              <a:effectLst/>
            </a:endParaRPr>
          </a:p>
        </cdr:txBody>
      </cdr:sp>
      <cdr:grpSp>
        <cdr:nvGrpSpPr>
          <cdr:cNvPr id="3" name="Group 2">
            <a:extLst xmlns:a="http://schemas.openxmlformats.org/drawingml/2006/main">
              <a:ext uri="{FF2B5EF4-FFF2-40B4-BE49-F238E27FC236}">
                <a16:creationId xmlns:a16="http://schemas.microsoft.com/office/drawing/2014/main" id="{F1F3BB19-E7BC-4522-C888-D443A6679AA1}"/>
              </a:ext>
            </a:extLst>
          </cdr:cNvPr>
          <cdr:cNvGrpSpPr/>
        </cdr:nvGrpSpPr>
        <cdr:grpSpPr>
          <a:xfrm xmlns:a="http://schemas.openxmlformats.org/drawingml/2006/main">
            <a:off x="391725" y="683770"/>
            <a:ext cx="10148371" cy="1160381"/>
            <a:chOff x="0" y="0"/>
            <a:chExt cx="7024765" cy="971063"/>
          </a:xfrm>
        </cdr:grpSpPr>
        <cdr:cxnSp macro="">
          <cdr:nvCxnSpPr>
            <cdr:cNvPr id="4" name="Straight Arrow Connector 3">
              <a:extLst xmlns:a="http://schemas.openxmlformats.org/drawingml/2006/main">
                <a:ext uri="{FF2B5EF4-FFF2-40B4-BE49-F238E27FC236}">
                  <a16:creationId xmlns:a16="http://schemas.microsoft.com/office/drawing/2014/main" id="{A31517B1-CF42-E6A5-FCA9-78EE196EA493}"/>
                </a:ext>
              </a:extLst>
            </cdr:cNvPr>
            <cdr:cNvCxnSpPr/>
          </cdr:nvCxnSpPr>
          <cdr:spPr>
            <a:xfrm xmlns:a="http://schemas.openxmlformats.org/drawingml/2006/main">
              <a:off x="4976049" y="125272"/>
              <a:ext cx="2031855" cy="1408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grpSp>
          <cdr:nvGrpSpPr>
            <cdr:cNvPr id="5" name="Group 4">
              <a:extLst xmlns:a="http://schemas.openxmlformats.org/drawingml/2006/main">
                <a:ext uri="{FF2B5EF4-FFF2-40B4-BE49-F238E27FC236}">
                  <a16:creationId xmlns:a16="http://schemas.microsoft.com/office/drawing/2014/main" id="{58A82C0E-7C43-2783-2EEA-7AB25DF7F246}"/>
                </a:ext>
              </a:extLst>
            </cdr:cNvPr>
            <cdr:cNvGrpSpPr/>
          </cdr:nvGrpSpPr>
          <cdr:grpSpPr>
            <a:xfrm xmlns:a="http://schemas.openxmlformats.org/drawingml/2006/main">
              <a:off x="0" y="0"/>
              <a:ext cx="7024765" cy="971063"/>
              <a:chOff x="0" y="0"/>
              <a:chExt cx="9093005" cy="1134578"/>
            </a:xfrm>
          </cdr:grpSpPr>
          <cdr:sp macro="" textlink="">
            <cdr:nvSpPr>
              <cdr:cNvPr id="6" name="TextBox 141">
                <a:extLst xmlns:a="http://schemas.openxmlformats.org/drawingml/2006/main">
                  <a:ext uri="{FF2B5EF4-FFF2-40B4-BE49-F238E27FC236}">
                    <a16:creationId xmlns:a16="http://schemas.microsoft.com/office/drawing/2014/main" id="{41A874F5-D929-3594-C069-C2337F4E7DF4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2088" y="28221"/>
                <a:ext cx="883021" cy="200718"/>
              </a:xfrm>
              <a:prstGeom xmlns:a="http://schemas.openxmlformats.org/drawingml/2006/main" prst="rect">
                <a:avLst/>
              </a:prstGeom>
              <a:noFill xmlns:a="http://schemas.openxmlformats.org/drawingml/2006/main"/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n-US" sz="1100" b="1"/>
                  <a:t>SR Feed</a:t>
                </a:r>
              </a:p>
            </cdr:txBody>
          </cdr:sp>
          <cdr:sp macro="" textlink="">
            <cdr:nvSpPr>
              <cdr:cNvPr id="7" name="TextBox 142">
                <a:extLst xmlns:a="http://schemas.openxmlformats.org/drawingml/2006/main">
                  <a:ext uri="{FF2B5EF4-FFF2-40B4-BE49-F238E27FC236}">
                    <a16:creationId xmlns:a16="http://schemas.microsoft.com/office/drawing/2014/main" id="{93D20547-A66C-CC55-5DA6-BE3DB9EC3B76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0" y="275562"/>
                <a:ext cx="883021" cy="200718"/>
              </a:xfrm>
              <a:prstGeom xmlns:a="http://schemas.openxmlformats.org/drawingml/2006/main" prst="rect">
                <a:avLst/>
              </a:prstGeom>
              <a:noFill xmlns:a="http://schemas.openxmlformats.org/drawingml/2006/main"/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n-US" sz="1100" b="1"/>
                  <a:t>SR Split</a:t>
                </a:r>
              </a:p>
            </cdr:txBody>
          </cdr:sp>
          <cdr:sp macro="" textlink="">
            <cdr:nvSpPr>
              <cdr:cNvPr id="8" name="TextBox 143">
                <a:extLst xmlns:a="http://schemas.openxmlformats.org/drawingml/2006/main">
                  <a:ext uri="{FF2B5EF4-FFF2-40B4-BE49-F238E27FC236}">
                    <a16:creationId xmlns:a16="http://schemas.microsoft.com/office/drawing/2014/main" id="{9AC2972E-DF40-0C1A-DDAF-1B96807B79F4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7271" y="538185"/>
                <a:ext cx="1148121" cy="266413"/>
              </a:xfrm>
              <a:prstGeom xmlns:a="http://schemas.openxmlformats.org/drawingml/2006/main" prst="rect">
                <a:avLst/>
              </a:prstGeom>
              <a:noFill xmlns:a="http://schemas.openxmlformats.org/drawingml/2006/main"/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n-US" sz="1100" b="1"/>
                  <a:t>LCF LHSV</a:t>
                </a:r>
              </a:p>
            </cdr:txBody>
          </cdr:sp>
          <cdr:sp macro="" textlink="">
            <cdr:nvSpPr>
              <cdr:cNvPr id="9" name="TextBox 144">
                <a:extLst xmlns:a="http://schemas.openxmlformats.org/drawingml/2006/main">
                  <a:ext uri="{FF2B5EF4-FFF2-40B4-BE49-F238E27FC236}">
                    <a16:creationId xmlns:a16="http://schemas.microsoft.com/office/drawing/2014/main" id="{8CA59505-4DF9-5068-F759-62888F9A8D3A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559" y="867035"/>
                <a:ext cx="1148121" cy="266413"/>
              </a:xfrm>
              <a:prstGeom xmlns:a="http://schemas.openxmlformats.org/drawingml/2006/main" prst="rect">
                <a:avLst/>
              </a:prstGeom>
              <a:noFill xmlns:a="http://schemas.openxmlformats.org/drawingml/2006/main"/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n-US" sz="1100" b="1"/>
                  <a:t>Temperature</a:t>
                </a:r>
              </a:p>
            </cdr:txBody>
          </cdr:sp>
          <cdr:cxnSp macro="">
            <cdr:nvCxnSpPr>
              <cdr:cNvPr id="10" name="Straight Arrow Connector 9">
                <a:extLst xmlns:a="http://schemas.openxmlformats.org/drawingml/2006/main">
                  <a:ext uri="{FF2B5EF4-FFF2-40B4-BE49-F238E27FC236}">
                    <a16:creationId xmlns:a16="http://schemas.microsoft.com/office/drawing/2014/main" id="{14FCE1F4-C4C1-8779-53DA-CB20F1BE8CAF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1043467" y="149467"/>
                <a:ext cx="2019871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chemeClr val="tx1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11" name="Straight Arrow Connector 10">
                <a:extLst xmlns:a="http://schemas.openxmlformats.org/drawingml/2006/main">
                  <a:ext uri="{FF2B5EF4-FFF2-40B4-BE49-F238E27FC236}">
                    <a16:creationId xmlns:a16="http://schemas.microsoft.com/office/drawing/2014/main" id="{72087FB8-D20C-399D-CB0F-8B171861FD85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1036753" y="383561"/>
                <a:ext cx="2019871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12" name="Straight Arrow Connector 11">
                <a:extLst xmlns:a="http://schemas.openxmlformats.org/drawingml/2006/main">
                  <a:ext uri="{FF2B5EF4-FFF2-40B4-BE49-F238E27FC236}">
                    <a16:creationId xmlns:a16="http://schemas.microsoft.com/office/drawing/2014/main" id="{9F82C509-0CE3-1C79-25E6-68BD329C1F36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1071989" y="644147"/>
                <a:ext cx="2019871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13" name="Straight Arrow Connector 12">
                <a:extLst xmlns:a="http://schemas.openxmlformats.org/drawingml/2006/main">
                  <a:ext uri="{FF2B5EF4-FFF2-40B4-BE49-F238E27FC236}">
                    <a16:creationId xmlns:a16="http://schemas.microsoft.com/office/drawing/2014/main" id="{102F5B51-184D-42DC-F47C-6DBB2A794028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1051296" y="999487"/>
                <a:ext cx="2019871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rgbClr val="FF0000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sp macro="" textlink="">
            <cdr:nvSpPr>
              <cdr:cNvPr id="14" name="TextBox 149">
                <a:extLst xmlns:a="http://schemas.openxmlformats.org/drawingml/2006/main">
                  <a:ext uri="{FF2B5EF4-FFF2-40B4-BE49-F238E27FC236}">
                    <a16:creationId xmlns:a16="http://schemas.microsoft.com/office/drawing/2014/main" id="{97B4F3D2-008B-1AEE-A5A8-87B08F640188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697181" y="28224"/>
                <a:ext cx="656298" cy="184205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ME SR</a:t>
                </a:r>
              </a:p>
            </cdr:txBody>
          </cdr:sp>
          <cdr:sp macro="" textlink="">
            <cdr:nvSpPr>
              <cdr:cNvPr id="15" name="TextBox 150">
                <a:extLst xmlns:a="http://schemas.openxmlformats.org/drawingml/2006/main">
                  <a:ext uri="{FF2B5EF4-FFF2-40B4-BE49-F238E27FC236}">
                    <a16:creationId xmlns:a16="http://schemas.microsoft.com/office/drawing/2014/main" id="{7E54A026-61CA-5807-BBA7-EA6499279101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696061" y="275563"/>
                <a:ext cx="657417" cy="225005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70/30</a:t>
                </a:r>
              </a:p>
            </cdr:txBody>
          </cdr:sp>
          <cdr:sp macro="" textlink="">
            <cdr:nvSpPr>
              <cdr:cNvPr id="16" name="TextBox 151">
                <a:extLst xmlns:a="http://schemas.openxmlformats.org/drawingml/2006/main">
                  <a:ext uri="{FF2B5EF4-FFF2-40B4-BE49-F238E27FC236}">
                    <a16:creationId xmlns:a16="http://schemas.microsoft.com/office/drawing/2014/main" id="{B35DB947-34F7-FDFF-D2E5-C2950DFA86D2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695413" y="550315"/>
                <a:ext cx="659283" cy="243776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0.378</a:t>
                </a:r>
              </a:p>
            </cdr:txBody>
          </cdr:sp>
          <cdr:sp macro="" textlink="">
            <cdr:nvSpPr>
              <cdr:cNvPr id="17" name="TextBox 152">
                <a:extLst xmlns:a="http://schemas.openxmlformats.org/drawingml/2006/main">
                  <a:ext uri="{FF2B5EF4-FFF2-40B4-BE49-F238E27FC236}">
                    <a16:creationId xmlns:a16="http://schemas.microsoft.com/office/drawing/2014/main" id="{76BBBE39-F33F-F583-6625-C5F4A1DCBD10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482670" y="881917"/>
                <a:ext cx="1064877" cy="25266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399/405/407</a:t>
                </a:r>
              </a:p>
            </cdr:txBody>
          </cdr:sp>
          <cdr:cxnSp macro="">
            <cdr:nvCxnSpPr>
              <cdr:cNvPr id="18" name="Straight Arrow Connector 17">
                <a:extLst xmlns:a="http://schemas.openxmlformats.org/drawingml/2006/main">
                  <a:ext uri="{FF2B5EF4-FFF2-40B4-BE49-F238E27FC236}">
                    <a16:creationId xmlns:a16="http://schemas.microsoft.com/office/drawing/2014/main" id="{852DD021-379B-F2AC-D76A-31F4BF43964E}"/>
                  </a:ext>
                </a:extLst>
              </cdr:cNvPr>
              <cdr:cNvCxnSpPr/>
            </cdr:nvCxnSpPr>
            <cdr:spPr>
              <a:xfrm xmlns:a="http://schemas.openxmlformats.org/drawingml/2006/main">
                <a:off x="3429031" y="163026"/>
                <a:ext cx="2856230" cy="8247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chemeClr val="tx1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19" name="Straight Arrow Connector 18">
                <a:extLst xmlns:a="http://schemas.openxmlformats.org/drawingml/2006/main">
                  <a:ext uri="{FF2B5EF4-FFF2-40B4-BE49-F238E27FC236}">
                    <a16:creationId xmlns:a16="http://schemas.microsoft.com/office/drawing/2014/main" id="{15E4D9F1-6592-5017-9F6B-E20268DC8B78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3436645" y="374071"/>
                <a:ext cx="2854730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0" name="Straight Arrow Connector 19">
                <a:extLst xmlns:a="http://schemas.openxmlformats.org/drawingml/2006/main">
                  <a:ext uri="{FF2B5EF4-FFF2-40B4-BE49-F238E27FC236}">
                    <a16:creationId xmlns:a16="http://schemas.microsoft.com/office/drawing/2014/main" id="{5DBB1B5B-ACD1-3D8E-F73F-D00B3248DCDB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6461592" y="367497"/>
                <a:ext cx="2625866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1" name="Straight Arrow Connector 20">
                <a:extLst xmlns:a="http://schemas.openxmlformats.org/drawingml/2006/main">
                  <a:ext uri="{FF2B5EF4-FFF2-40B4-BE49-F238E27FC236}">
                    <a16:creationId xmlns:a16="http://schemas.microsoft.com/office/drawing/2014/main" id="{C5AE561C-7B35-C714-A91D-E437484ED835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3438508" y="649034"/>
                <a:ext cx="2854730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2" name="Straight Arrow Connector 21">
                <a:extLst xmlns:a="http://schemas.openxmlformats.org/drawingml/2006/main">
                  <a:ext uri="{FF2B5EF4-FFF2-40B4-BE49-F238E27FC236}">
                    <a16:creationId xmlns:a16="http://schemas.microsoft.com/office/drawing/2014/main" id="{3DBCACAF-15C2-BEF6-1B0A-5B94E08286B9}"/>
                  </a:ext>
                </a:extLst>
              </cdr:cNvPr>
              <cdr:cNvCxnSpPr/>
            </cdr:nvCxnSpPr>
            <cdr:spPr>
              <a:xfrm xmlns:a="http://schemas.openxmlformats.org/drawingml/2006/main">
                <a:off x="6457141" y="649506"/>
                <a:ext cx="2627944" cy="41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3" name="Straight Arrow Connector 22">
                <a:extLst xmlns:a="http://schemas.openxmlformats.org/drawingml/2006/main">
                  <a:ext uri="{FF2B5EF4-FFF2-40B4-BE49-F238E27FC236}">
                    <a16:creationId xmlns:a16="http://schemas.microsoft.com/office/drawing/2014/main" id="{EFA1369B-4F4B-CB70-C331-CC3804525703}"/>
                  </a:ext>
                </a:extLst>
              </cdr:cNvPr>
              <cdr:cNvCxnSpPr/>
            </cdr:nvCxnSpPr>
            <cdr:spPr>
              <a:xfrm xmlns:a="http://schemas.openxmlformats.org/drawingml/2006/main">
                <a:off x="3440129" y="970588"/>
                <a:ext cx="2822038" cy="1415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rgbClr val="FF0000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4" name="Straight Arrow Connector 23">
                <a:extLst xmlns:a="http://schemas.openxmlformats.org/drawingml/2006/main">
                  <a:ext uri="{FF2B5EF4-FFF2-40B4-BE49-F238E27FC236}">
                    <a16:creationId xmlns:a16="http://schemas.microsoft.com/office/drawing/2014/main" id="{49A6E4C1-5E10-35D0-2AFB-37604E5F313B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6458694" y="949034"/>
                <a:ext cx="2634311" cy="21081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rgbClr val="FF0000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sp macro="" textlink="">
            <cdr:nvSpPr>
              <cdr:cNvPr id="25" name="TextBox 160">
                <a:extLst xmlns:a="http://schemas.openxmlformats.org/drawingml/2006/main">
                  <a:ext uri="{FF2B5EF4-FFF2-40B4-BE49-F238E27FC236}">
                    <a16:creationId xmlns:a16="http://schemas.microsoft.com/office/drawing/2014/main" id="{AF7449F8-D398-A412-DA9E-B2F1F99C6957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223755" y="0"/>
                <a:ext cx="1482209" cy="202732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Low Sedimentation</a:t>
                </a:r>
              </a:p>
            </cdr:txBody>
          </cdr:sp>
          <cdr:sp macro="" textlink="">
            <cdr:nvSpPr>
              <cdr:cNvPr id="26" name="TextBox 161">
                <a:extLst xmlns:a="http://schemas.openxmlformats.org/drawingml/2006/main">
                  <a:ext uri="{FF2B5EF4-FFF2-40B4-BE49-F238E27FC236}">
                    <a16:creationId xmlns:a16="http://schemas.microsoft.com/office/drawing/2014/main" id="{0C9B3A15-3C88-CEC9-64D1-A8E5A63724FF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6769115" y="4174"/>
                <a:ext cx="1354462" cy="217389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HighSedimentation</a:t>
                </a:r>
              </a:p>
            </cdr:txBody>
          </cdr:sp>
          <cdr:sp macro="" textlink="">
            <cdr:nvSpPr>
              <cdr:cNvPr id="27" name="TextBox 162">
                <a:extLst xmlns:a="http://schemas.openxmlformats.org/drawingml/2006/main">
                  <a:ext uri="{FF2B5EF4-FFF2-40B4-BE49-F238E27FC236}">
                    <a16:creationId xmlns:a16="http://schemas.microsoft.com/office/drawing/2014/main" id="{15846EEE-5DB5-837C-9891-3E9603559A1B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572780" y="269181"/>
                <a:ext cx="659284" cy="24741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100/0</a:t>
                </a:r>
              </a:p>
            </cdr:txBody>
          </cdr:sp>
          <cdr:sp macro="" textlink="">
            <cdr:nvSpPr>
              <cdr:cNvPr id="28" name="TextBox 163">
                <a:extLst xmlns:a="http://schemas.openxmlformats.org/drawingml/2006/main">
                  <a:ext uri="{FF2B5EF4-FFF2-40B4-BE49-F238E27FC236}">
                    <a16:creationId xmlns:a16="http://schemas.microsoft.com/office/drawing/2014/main" id="{377CF99D-FFCF-911D-4288-BF39E4BAC02D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7132119" y="286905"/>
                <a:ext cx="659283" cy="24741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100/0</a:t>
                </a:r>
              </a:p>
            </cdr:txBody>
          </cdr:sp>
          <cdr:sp macro="" textlink="">
            <cdr:nvSpPr>
              <cdr:cNvPr id="29" name="TextBox 164">
                <a:extLst xmlns:a="http://schemas.openxmlformats.org/drawingml/2006/main">
                  <a:ext uri="{FF2B5EF4-FFF2-40B4-BE49-F238E27FC236}">
                    <a16:creationId xmlns:a16="http://schemas.microsoft.com/office/drawing/2014/main" id="{EC6BDB66-0177-1610-4F4C-198445AEBD4B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571151" y="565519"/>
                <a:ext cx="659284" cy="242964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0.21</a:t>
                </a:r>
              </a:p>
            </cdr:txBody>
          </cdr:sp>
          <cdr:sp macro="" textlink="">
            <cdr:nvSpPr>
              <cdr:cNvPr id="30" name="TextBox 165">
                <a:extLst xmlns:a="http://schemas.openxmlformats.org/drawingml/2006/main">
                  <a:ext uri="{FF2B5EF4-FFF2-40B4-BE49-F238E27FC236}">
                    <a16:creationId xmlns:a16="http://schemas.microsoft.com/office/drawing/2014/main" id="{4EB9EC21-65C8-0FA5-F702-6E311816D2D0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7130491" y="592877"/>
                <a:ext cx="659283" cy="242964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0.21</a:t>
                </a:r>
              </a:p>
            </cdr:txBody>
          </cdr:sp>
          <cdr:sp macro="" textlink="">
            <cdr:nvSpPr>
              <cdr:cNvPr id="31" name="TextBox 166">
                <a:extLst xmlns:a="http://schemas.openxmlformats.org/drawingml/2006/main">
                  <a:ext uri="{FF2B5EF4-FFF2-40B4-BE49-F238E27FC236}">
                    <a16:creationId xmlns:a16="http://schemas.microsoft.com/office/drawing/2014/main" id="{A45A3E96-C271-FBA1-7475-1A0DBC62128D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312571" y="896794"/>
                <a:ext cx="1069571" cy="227112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415/419/419</a:t>
                </a:r>
              </a:p>
            </cdr:txBody>
          </cdr:sp>
          <cdr:sp macro="" textlink="">
            <cdr:nvSpPr>
              <cdr:cNvPr id="32" name="TextBox 167">
                <a:extLst xmlns:a="http://schemas.openxmlformats.org/drawingml/2006/main">
                  <a:ext uri="{FF2B5EF4-FFF2-40B4-BE49-F238E27FC236}">
                    <a16:creationId xmlns:a16="http://schemas.microsoft.com/office/drawing/2014/main" id="{F61702D1-03AE-0F94-9B8D-576ABE4C2EF9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6871913" y="875986"/>
                <a:ext cx="1169907" cy="247920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420/421/423</a:t>
                </a:r>
              </a:p>
            </cdr:txBody>
          </cdr:sp>
        </cdr:grpSp>
      </cdr:grpSp>
    </cdr:grp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25743</xdr:rowOff>
    </xdr:from>
    <xdr:to>
      <xdr:col>17</xdr:col>
      <xdr:colOff>383396</xdr:colOff>
      <xdr:row>34</xdr:row>
      <xdr:rowOff>1295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7B7A8E-4FE2-2B38-2022-2360342A8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309562</xdr:colOff>
      <xdr:row>0</xdr:row>
      <xdr:rowOff>119063</xdr:rowOff>
    </xdr:from>
    <xdr:to>
      <xdr:col>33</xdr:col>
      <xdr:colOff>476250</xdr:colOff>
      <xdr:row>34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35AC30A-D6E6-D29C-2E88-47E57724F1A3}"/>
            </a:ext>
          </a:extLst>
        </xdr:cNvPr>
        <xdr:cNvGrpSpPr/>
      </xdr:nvGrpSpPr>
      <xdr:grpSpPr>
        <a:xfrm>
          <a:off x="11316229" y="119063"/>
          <a:ext cx="9338910" cy="6277974"/>
          <a:chOff x="11308241" y="119063"/>
          <a:chExt cx="9332056" cy="5211377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2E0DB3AD-86A8-D89B-11A7-5FE3184B86AB}"/>
              </a:ext>
            </a:extLst>
          </xdr:cNvPr>
          <xdr:cNvGraphicFramePr>
            <a:graphicFrameLocks/>
          </xdr:cNvGraphicFramePr>
        </xdr:nvGraphicFramePr>
        <xdr:xfrm>
          <a:off x="11308241" y="119063"/>
          <a:ext cx="9332056" cy="52113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8" name="TextBox 1">
            <a:extLst>
              <a:ext uri="{FF2B5EF4-FFF2-40B4-BE49-F238E27FC236}">
                <a16:creationId xmlns:a16="http://schemas.microsoft.com/office/drawing/2014/main" id="{DFE41248-9A26-CD46-7840-5E5D3222D701}"/>
              </a:ext>
            </a:extLst>
          </xdr:cNvPr>
          <xdr:cNvSpPr txBox="1"/>
        </xdr:nvSpPr>
        <xdr:spPr>
          <a:xfrm>
            <a:off x="11336487" y="138317"/>
            <a:ext cx="9208852" cy="318639"/>
          </a:xfrm>
          <a:prstGeom prst="rect">
            <a:avLst/>
          </a:prstGeom>
          <a:solidFill>
            <a:srgbClr val="CCFFCC"/>
          </a:solidFill>
          <a:ln>
            <a:noFill/>
          </a:ln>
        </xdr:spPr>
        <xdr:txBody>
          <a:bodyPr wrap="square" rtlCol="0" anchor="ctr" anchorCtr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sz="2400" b="1">
                <a:effectLst/>
              </a:rPr>
              <a:t>H/C Ratio of Liquid Product:</a:t>
            </a:r>
            <a:r>
              <a:rPr lang="en-US" sz="2400" b="1" baseline="0">
                <a:effectLst/>
              </a:rPr>
              <a:t> </a:t>
            </a:r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Low &amp; High Sedimentation</a:t>
            </a:r>
            <a:endParaRPr lang="en-US" sz="2400" b="1">
              <a:effectLst/>
            </a:endParaRPr>
          </a:p>
        </xdr:txBody>
      </xdr:sp>
    </xdr:grpSp>
    <xdr:clientData/>
  </xdr:twoCellAnchor>
  <xdr:twoCellAnchor>
    <xdr:from>
      <xdr:col>1</xdr:col>
      <xdr:colOff>227641</xdr:colOff>
      <xdr:row>3</xdr:row>
      <xdr:rowOff>70106</xdr:rowOff>
    </xdr:from>
    <xdr:to>
      <xdr:col>15</xdr:col>
      <xdr:colOff>232216</xdr:colOff>
      <xdr:row>8</xdr:row>
      <xdr:rowOff>119811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B45D3D0-AA15-8CF3-6E7D-BA72CD255C59}"/>
            </a:ext>
          </a:extLst>
        </xdr:cNvPr>
        <xdr:cNvGrpSpPr/>
      </xdr:nvGrpSpPr>
      <xdr:grpSpPr>
        <a:xfrm>
          <a:off x="839122" y="634550"/>
          <a:ext cx="8565316" cy="990446"/>
          <a:chOff x="0" y="-27380"/>
          <a:chExt cx="7261946" cy="1011178"/>
        </a:xfrm>
      </xdr:grpSpPr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35B7B353-2B3B-4CCF-2C0E-4828EE1FF4AD}"/>
              </a:ext>
            </a:extLst>
          </xdr:cNvPr>
          <xdr:cNvCxnSpPr/>
        </xdr:nvCxnSpPr>
        <xdr:spPr>
          <a:xfrm>
            <a:off x="5203307" y="125272"/>
            <a:ext cx="2031855" cy="14088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A07D45F5-C226-44DF-A5C9-D0133B5AB9F4}"/>
              </a:ext>
            </a:extLst>
          </xdr:cNvPr>
          <xdr:cNvGrpSpPr/>
        </xdr:nvGrpSpPr>
        <xdr:grpSpPr>
          <a:xfrm>
            <a:off x="0" y="-27380"/>
            <a:ext cx="7261946" cy="1011178"/>
            <a:chOff x="0" y="-31991"/>
            <a:chExt cx="9400014" cy="1181445"/>
          </a:xfrm>
        </xdr:grpSpPr>
        <xdr:sp macro="" textlink="">
          <xdr:nvSpPr>
            <xdr:cNvPr id="9" name="TextBox 141">
              <a:extLst>
                <a:ext uri="{FF2B5EF4-FFF2-40B4-BE49-F238E27FC236}">
                  <a16:creationId xmlns:a16="http://schemas.microsoft.com/office/drawing/2014/main" id="{57B5D4DB-CFC9-2B3A-5CB6-A1E3301BA8EF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10" name="TextBox 142">
              <a:extLst>
                <a:ext uri="{FF2B5EF4-FFF2-40B4-BE49-F238E27FC236}">
                  <a16:creationId xmlns:a16="http://schemas.microsoft.com/office/drawing/2014/main" id="{BA4558EE-6426-66CC-A5C0-C321A0ABBE7F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11" name="TextBox 143">
              <a:extLst>
                <a:ext uri="{FF2B5EF4-FFF2-40B4-BE49-F238E27FC236}">
                  <a16:creationId xmlns:a16="http://schemas.microsoft.com/office/drawing/2014/main" id="{E36A8D55-15DC-128F-C1B3-FFC0A5391C76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2" name="TextBox 144">
              <a:extLst>
                <a:ext uri="{FF2B5EF4-FFF2-40B4-BE49-F238E27FC236}">
                  <a16:creationId xmlns:a16="http://schemas.microsoft.com/office/drawing/2014/main" id="{257E2ECC-A2E4-89BE-96FD-565CBD61883C}"/>
                </a:ext>
              </a:extLst>
            </xdr:cNvPr>
            <xdr:cNvSpPr txBox="1"/>
          </xdr:nvSpPr>
          <xdr:spPr>
            <a:xfrm>
              <a:off x="559" y="817171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13" name="Straight Arrow Connector 12">
              <a:extLst>
                <a:ext uri="{FF2B5EF4-FFF2-40B4-BE49-F238E27FC236}">
                  <a16:creationId xmlns:a16="http://schemas.microsoft.com/office/drawing/2014/main" id="{815284A4-5F2F-8C1C-83CA-C5F5B74BEF4C}"/>
                </a:ext>
              </a:extLst>
            </xdr:cNvPr>
            <xdr:cNvCxnSpPr/>
          </xdr:nvCxnSpPr>
          <xdr:spPr>
            <a:xfrm>
              <a:off x="1186483" y="149467"/>
              <a:ext cx="2019871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Straight Arrow Connector 13">
              <a:extLst>
                <a:ext uri="{FF2B5EF4-FFF2-40B4-BE49-F238E27FC236}">
                  <a16:creationId xmlns:a16="http://schemas.microsoft.com/office/drawing/2014/main" id="{1F873683-8509-375A-4B72-870DFF0EACF8}"/>
                </a:ext>
              </a:extLst>
            </xdr:cNvPr>
            <xdr:cNvCxnSpPr/>
          </xdr:nvCxnSpPr>
          <xdr:spPr>
            <a:xfrm>
              <a:off x="1179769" y="383561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Straight Arrow Connector 14">
              <a:extLst>
                <a:ext uri="{FF2B5EF4-FFF2-40B4-BE49-F238E27FC236}">
                  <a16:creationId xmlns:a16="http://schemas.microsoft.com/office/drawing/2014/main" id="{6B6A878C-0009-B692-9B6C-7DD3E3EABF29}"/>
                </a:ext>
              </a:extLst>
            </xdr:cNvPr>
            <xdr:cNvCxnSpPr/>
          </xdr:nvCxnSpPr>
          <xdr:spPr>
            <a:xfrm>
              <a:off x="1215005" y="644147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Straight Arrow Connector 15">
              <a:extLst>
                <a:ext uri="{FF2B5EF4-FFF2-40B4-BE49-F238E27FC236}">
                  <a16:creationId xmlns:a16="http://schemas.microsoft.com/office/drawing/2014/main" id="{737EEF54-5702-87B8-A50C-591AA2724A1D}"/>
                </a:ext>
              </a:extLst>
            </xdr:cNvPr>
            <xdr:cNvCxnSpPr/>
          </xdr:nvCxnSpPr>
          <xdr:spPr>
            <a:xfrm>
              <a:off x="1194312" y="999487"/>
              <a:ext cx="2019871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" name="TextBox 149">
              <a:extLst>
                <a:ext uri="{FF2B5EF4-FFF2-40B4-BE49-F238E27FC236}">
                  <a16:creationId xmlns:a16="http://schemas.microsoft.com/office/drawing/2014/main" id="{07525AAB-C9D9-8AE6-6FB9-4A21CF76C0DF}"/>
                </a:ext>
              </a:extLst>
            </xdr:cNvPr>
            <xdr:cNvSpPr txBox="1"/>
          </xdr:nvSpPr>
          <xdr:spPr>
            <a:xfrm>
              <a:off x="1829196" y="-23137"/>
              <a:ext cx="656298" cy="2355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8" name="TextBox 150">
              <a:extLst>
                <a:ext uri="{FF2B5EF4-FFF2-40B4-BE49-F238E27FC236}">
                  <a16:creationId xmlns:a16="http://schemas.microsoft.com/office/drawing/2014/main" id="{7972AD7C-6E51-C86D-79ED-22F4136F16B5}"/>
                </a:ext>
              </a:extLst>
            </xdr:cNvPr>
            <xdr:cNvSpPr txBox="1"/>
          </xdr:nvSpPr>
          <xdr:spPr>
            <a:xfrm>
              <a:off x="1828076" y="275563"/>
              <a:ext cx="657417" cy="2250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9" name="TextBox 151">
              <a:extLst>
                <a:ext uri="{FF2B5EF4-FFF2-40B4-BE49-F238E27FC236}">
                  <a16:creationId xmlns:a16="http://schemas.microsoft.com/office/drawing/2014/main" id="{7B4877CE-B36B-55CD-4570-2E056DDCD0D0}"/>
                </a:ext>
              </a:extLst>
            </xdr:cNvPr>
            <xdr:cNvSpPr txBox="1"/>
          </xdr:nvSpPr>
          <xdr:spPr>
            <a:xfrm>
              <a:off x="1827428" y="550316"/>
              <a:ext cx="659283" cy="24377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20" name="TextBox 152">
              <a:extLst>
                <a:ext uri="{FF2B5EF4-FFF2-40B4-BE49-F238E27FC236}">
                  <a16:creationId xmlns:a16="http://schemas.microsoft.com/office/drawing/2014/main" id="{2C0BBE49-3A6D-35DE-6642-04032A616DC6}"/>
                </a:ext>
              </a:extLst>
            </xdr:cNvPr>
            <xdr:cNvSpPr txBox="1"/>
          </xdr:nvSpPr>
          <xdr:spPr>
            <a:xfrm>
              <a:off x="1826781" y="871026"/>
              <a:ext cx="1064877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58C88EF8-FC55-EF88-511F-1F40287BEBDB}"/>
                </a:ext>
              </a:extLst>
            </xdr:cNvPr>
            <xdr:cNvCxnSpPr/>
          </xdr:nvCxnSpPr>
          <xdr:spPr>
            <a:xfrm>
              <a:off x="3638054" y="163026"/>
              <a:ext cx="2856230" cy="8248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E0AA5328-992E-4E38-6F45-9810E3140062}"/>
                </a:ext>
              </a:extLst>
            </xdr:cNvPr>
            <xdr:cNvCxnSpPr/>
          </xdr:nvCxnSpPr>
          <xdr:spPr>
            <a:xfrm>
              <a:off x="3645668" y="374071"/>
              <a:ext cx="2854730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66C4B1E7-4259-4E11-447D-B8DBE5661925}"/>
                </a:ext>
              </a:extLst>
            </xdr:cNvPr>
            <xdr:cNvCxnSpPr/>
          </xdr:nvCxnSpPr>
          <xdr:spPr>
            <a:xfrm>
              <a:off x="6774147" y="367497"/>
              <a:ext cx="2625867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F2C3C8CF-7944-D28F-24A7-638BFBF599D2}"/>
                </a:ext>
              </a:extLst>
            </xdr:cNvPr>
            <xdr:cNvCxnSpPr/>
          </xdr:nvCxnSpPr>
          <xdr:spPr>
            <a:xfrm>
              <a:off x="3647532" y="649034"/>
              <a:ext cx="2854730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B595D8FB-4567-A11D-22D5-60CDF0F0C66A}"/>
                </a:ext>
              </a:extLst>
            </xdr:cNvPr>
            <xdr:cNvCxnSpPr/>
          </xdr:nvCxnSpPr>
          <xdr:spPr>
            <a:xfrm>
              <a:off x="6751310" y="649506"/>
              <a:ext cx="2627944" cy="41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C6C48A37-2A95-36DE-EFB4-A55CA360EDA1}"/>
                </a:ext>
              </a:extLst>
            </xdr:cNvPr>
            <xdr:cNvCxnSpPr/>
          </xdr:nvCxnSpPr>
          <xdr:spPr>
            <a:xfrm>
              <a:off x="3649153" y="970588"/>
              <a:ext cx="2822038" cy="1414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A47C7767-C270-DC74-A86A-5AF7BF277D24}"/>
                </a:ext>
              </a:extLst>
            </xdr:cNvPr>
            <xdr:cNvCxnSpPr/>
          </xdr:nvCxnSpPr>
          <xdr:spPr>
            <a:xfrm flipV="1">
              <a:off x="6743670" y="949034"/>
              <a:ext cx="2634311" cy="21081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TextBox 160">
              <a:extLst>
                <a:ext uri="{FF2B5EF4-FFF2-40B4-BE49-F238E27FC236}">
                  <a16:creationId xmlns:a16="http://schemas.microsoft.com/office/drawing/2014/main" id="{7A7A260D-B639-E669-D0A8-64946DD753CA}"/>
                </a:ext>
              </a:extLst>
            </xdr:cNvPr>
            <xdr:cNvSpPr txBox="1"/>
          </xdr:nvSpPr>
          <xdr:spPr>
            <a:xfrm>
              <a:off x="4242657" y="-31991"/>
              <a:ext cx="1482209" cy="27544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29" name="TextBox 161">
              <a:extLst>
                <a:ext uri="{FF2B5EF4-FFF2-40B4-BE49-F238E27FC236}">
                  <a16:creationId xmlns:a16="http://schemas.microsoft.com/office/drawing/2014/main" id="{8FBF86EB-4C46-FCC3-15D3-B3ACFCE15AF8}"/>
                </a:ext>
              </a:extLst>
            </xdr:cNvPr>
            <xdr:cNvSpPr txBox="1"/>
          </xdr:nvSpPr>
          <xdr:spPr>
            <a:xfrm>
              <a:off x="7293101" y="2752"/>
              <a:ext cx="1437748" cy="24657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30" name="TextBox 162">
              <a:extLst>
                <a:ext uri="{FF2B5EF4-FFF2-40B4-BE49-F238E27FC236}">
                  <a16:creationId xmlns:a16="http://schemas.microsoft.com/office/drawing/2014/main" id="{B9DFD569-9F18-6EDE-94D4-67EAC45E8CFA}"/>
                </a:ext>
              </a:extLst>
            </xdr:cNvPr>
            <xdr:cNvSpPr txBox="1"/>
          </xdr:nvSpPr>
          <xdr:spPr>
            <a:xfrm>
              <a:off x="4572780" y="269181"/>
              <a:ext cx="659284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31" name="TextBox 163">
              <a:extLst>
                <a:ext uri="{FF2B5EF4-FFF2-40B4-BE49-F238E27FC236}">
                  <a16:creationId xmlns:a16="http://schemas.microsoft.com/office/drawing/2014/main" id="{18E314DF-C2D6-936C-65D1-58799F3B1AD4}"/>
                </a:ext>
              </a:extLst>
            </xdr:cNvPr>
            <xdr:cNvSpPr txBox="1"/>
          </xdr:nvSpPr>
          <xdr:spPr>
            <a:xfrm>
              <a:off x="7628527" y="266526"/>
              <a:ext cx="659283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32" name="TextBox 164">
              <a:extLst>
                <a:ext uri="{FF2B5EF4-FFF2-40B4-BE49-F238E27FC236}">
                  <a16:creationId xmlns:a16="http://schemas.microsoft.com/office/drawing/2014/main" id="{67104742-7F73-F02B-9466-D9A528611154}"/>
                </a:ext>
              </a:extLst>
            </xdr:cNvPr>
            <xdr:cNvSpPr txBox="1"/>
          </xdr:nvSpPr>
          <xdr:spPr>
            <a:xfrm>
              <a:off x="4571151" y="565519"/>
              <a:ext cx="659284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3" name="TextBox 165">
              <a:extLst>
                <a:ext uri="{FF2B5EF4-FFF2-40B4-BE49-F238E27FC236}">
                  <a16:creationId xmlns:a16="http://schemas.microsoft.com/office/drawing/2014/main" id="{077280A2-E959-FD01-4307-F4BBD81CE006}"/>
                </a:ext>
              </a:extLst>
            </xdr:cNvPr>
            <xdr:cNvSpPr txBox="1"/>
          </xdr:nvSpPr>
          <xdr:spPr>
            <a:xfrm>
              <a:off x="7617706" y="552119"/>
              <a:ext cx="659283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4" name="TextBox 166">
              <a:extLst>
                <a:ext uri="{FF2B5EF4-FFF2-40B4-BE49-F238E27FC236}">
                  <a16:creationId xmlns:a16="http://schemas.microsoft.com/office/drawing/2014/main" id="{E57D85C6-F95F-043E-96BD-BC6EAAC3CAA8}"/>
                </a:ext>
              </a:extLst>
            </xdr:cNvPr>
            <xdr:cNvSpPr txBox="1"/>
          </xdr:nvSpPr>
          <xdr:spPr>
            <a:xfrm>
              <a:off x="4312571" y="896793"/>
              <a:ext cx="1069571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35" name="TextBox 167">
              <a:extLst>
                <a:ext uri="{FF2B5EF4-FFF2-40B4-BE49-F238E27FC236}">
                  <a16:creationId xmlns:a16="http://schemas.microsoft.com/office/drawing/2014/main" id="{9DF436EE-70AF-3144-64A1-AA7C13F5CCEE}"/>
                </a:ext>
              </a:extLst>
            </xdr:cNvPr>
            <xdr:cNvSpPr txBox="1"/>
          </xdr:nvSpPr>
          <xdr:spPr>
            <a:xfrm>
              <a:off x="7368320" y="845417"/>
              <a:ext cx="1169906" cy="26554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  <xdr:twoCellAnchor>
    <xdr:from>
      <xdr:col>18</xdr:col>
      <xdr:colOff>317500</xdr:colOff>
      <xdr:row>3</xdr:row>
      <xdr:rowOff>15414</xdr:rowOff>
    </xdr:from>
    <xdr:to>
      <xdr:col>30</xdr:col>
      <xdr:colOff>542075</xdr:colOff>
      <xdr:row>8</xdr:row>
      <xdr:rowOff>72795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27EA598E-9AB1-4744-9296-892FB1572556}"/>
            </a:ext>
          </a:extLst>
        </xdr:cNvPr>
        <xdr:cNvGrpSpPr/>
      </xdr:nvGrpSpPr>
      <xdr:grpSpPr>
        <a:xfrm>
          <a:off x="11324167" y="579858"/>
          <a:ext cx="7562352" cy="998122"/>
          <a:chOff x="0" y="-12120"/>
          <a:chExt cx="6411532" cy="1019925"/>
        </a:xfrm>
      </xdr:grpSpPr>
      <xdr:cxnSp macro="">
        <xdr:nvCxnSpPr>
          <xdr:cNvPr id="37" name="Straight Arrow Connector 36">
            <a:extLst>
              <a:ext uri="{FF2B5EF4-FFF2-40B4-BE49-F238E27FC236}">
                <a16:creationId xmlns:a16="http://schemas.microsoft.com/office/drawing/2014/main" id="{DFCEA434-6E92-F08E-05A9-16CAA3E89FDE}"/>
              </a:ext>
            </a:extLst>
          </xdr:cNvPr>
          <xdr:cNvCxnSpPr/>
        </xdr:nvCxnSpPr>
        <xdr:spPr>
          <a:xfrm>
            <a:off x="4616402" y="161283"/>
            <a:ext cx="1795129" cy="2785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26BBE02E-AB5B-7199-9CDD-DEB4E7C047D5}"/>
              </a:ext>
            </a:extLst>
          </xdr:cNvPr>
          <xdr:cNvGrpSpPr/>
        </xdr:nvGrpSpPr>
        <xdr:grpSpPr>
          <a:xfrm>
            <a:off x="0" y="-12120"/>
            <a:ext cx="6411532" cy="1019925"/>
            <a:chOff x="0" y="-14161"/>
            <a:chExt cx="8299220" cy="1191664"/>
          </a:xfrm>
        </xdr:grpSpPr>
        <xdr:sp macro="" textlink="">
          <xdr:nvSpPr>
            <xdr:cNvPr id="39" name="TextBox 141">
              <a:extLst>
                <a:ext uri="{FF2B5EF4-FFF2-40B4-BE49-F238E27FC236}">
                  <a16:creationId xmlns:a16="http://schemas.microsoft.com/office/drawing/2014/main" id="{2450623E-27D7-F869-2729-D17794E0611E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40" name="TextBox 142">
              <a:extLst>
                <a:ext uri="{FF2B5EF4-FFF2-40B4-BE49-F238E27FC236}">
                  <a16:creationId xmlns:a16="http://schemas.microsoft.com/office/drawing/2014/main" id="{C809D72F-917F-16CF-6C75-80CA8BCE6B48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41" name="TextBox 143">
              <a:extLst>
                <a:ext uri="{FF2B5EF4-FFF2-40B4-BE49-F238E27FC236}">
                  <a16:creationId xmlns:a16="http://schemas.microsoft.com/office/drawing/2014/main" id="{AC64F489-2C2A-5C60-7D76-4035E1B79AE0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42" name="TextBox 144">
              <a:extLst>
                <a:ext uri="{FF2B5EF4-FFF2-40B4-BE49-F238E27FC236}">
                  <a16:creationId xmlns:a16="http://schemas.microsoft.com/office/drawing/2014/main" id="{D986086B-74C1-3799-3BB7-31DAD02E06A8}"/>
                </a:ext>
              </a:extLst>
            </xdr:cNvPr>
            <xdr:cNvSpPr txBox="1"/>
          </xdr:nvSpPr>
          <xdr:spPr>
            <a:xfrm>
              <a:off x="559" y="804652"/>
              <a:ext cx="1148122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43" name="Straight Arrow Connector 42">
              <a:extLst>
                <a:ext uri="{FF2B5EF4-FFF2-40B4-BE49-F238E27FC236}">
                  <a16:creationId xmlns:a16="http://schemas.microsoft.com/office/drawing/2014/main" id="{F2FE926C-8966-A01D-0154-0BD3D8CDEEDB}"/>
                </a:ext>
              </a:extLst>
            </xdr:cNvPr>
            <xdr:cNvCxnSpPr/>
          </xdr:nvCxnSpPr>
          <xdr:spPr>
            <a:xfrm>
              <a:off x="1074638" y="163478"/>
              <a:ext cx="2019871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Straight Arrow Connector 43">
              <a:extLst>
                <a:ext uri="{FF2B5EF4-FFF2-40B4-BE49-F238E27FC236}">
                  <a16:creationId xmlns:a16="http://schemas.microsoft.com/office/drawing/2014/main" id="{41EFF5BB-36A4-7E9F-4CD1-F24EAE783F99}"/>
                </a:ext>
              </a:extLst>
            </xdr:cNvPr>
            <xdr:cNvCxnSpPr/>
          </xdr:nvCxnSpPr>
          <xdr:spPr>
            <a:xfrm>
              <a:off x="1067923" y="383561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5" name="Straight Arrow Connector 44">
              <a:extLst>
                <a:ext uri="{FF2B5EF4-FFF2-40B4-BE49-F238E27FC236}">
                  <a16:creationId xmlns:a16="http://schemas.microsoft.com/office/drawing/2014/main" id="{18D0C624-2A81-151B-7BD3-E41AF50116CD}"/>
                </a:ext>
              </a:extLst>
            </xdr:cNvPr>
            <xdr:cNvCxnSpPr/>
          </xdr:nvCxnSpPr>
          <xdr:spPr>
            <a:xfrm>
              <a:off x="1078306" y="672170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Straight Arrow Connector 45">
              <a:extLst>
                <a:ext uri="{FF2B5EF4-FFF2-40B4-BE49-F238E27FC236}">
                  <a16:creationId xmlns:a16="http://schemas.microsoft.com/office/drawing/2014/main" id="{114D0A76-0EA8-A32A-22F9-B6E89C440F3A}"/>
                </a:ext>
              </a:extLst>
            </xdr:cNvPr>
            <xdr:cNvCxnSpPr/>
          </xdr:nvCxnSpPr>
          <xdr:spPr>
            <a:xfrm>
              <a:off x="1082466" y="1027510"/>
              <a:ext cx="2019871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7" name="TextBox 149">
              <a:extLst>
                <a:ext uri="{FF2B5EF4-FFF2-40B4-BE49-F238E27FC236}">
                  <a16:creationId xmlns:a16="http://schemas.microsoft.com/office/drawing/2014/main" id="{FF75BBB2-E2D4-09FD-9510-1821BB51FE47}"/>
                </a:ext>
              </a:extLst>
            </xdr:cNvPr>
            <xdr:cNvSpPr txBox="1"/>
          </xdr:nvSpPr>
          <xdr:spPr>
            <a:xfrm>
              <a:off x="1740258" y="-14161"/>
              <a:ext cx="656298" cy="2355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48" name="TextBox 150">
              <a:extLst>
                <a:ext uri="{FF2B5EF4-FFF2-40B4-BE49-F238E27FC236}">
                  <a16:creationId xmlns:a16="http://schemas.microsoft.com/office/drawing/2014/main" id="{BE08E85D-E1C4-A0A6-BF56-6841BFF95BC4}"/>
                </a:ext>
              </a:extLst>
            </xdr:cNvPr>
            <xdr:cNvSpPr txBox="1"/>
          </xdr:nvSpPr>
          <xdr:spPr>
            <a:xfrm>
              <a:off x="1755308" y="275563"/>
              <a:ext cx="657417" cy="2250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49" name="TextBox 151">
              <a:extLst>
                <a:ext uri="{FF2B5EF4-FFF2-40B4-BE49-F238E27FC236}">
                  <a16:creationId xmlns:a16="http://schemas.microsoft.com/office/drawing/2014/main" id="{A3DF2434-8C56-A485-D665-8AEA58A467A6}"/>
                </a:ext>
              </a:extLst>
            </xdr:cNvPr>
            <xdr:cNvSpPr txBox="1"/>
          </xdr:nvSpPr>
          <xdr:spPr>
            <a:xfrm>
              <a:off x="1752865" y="550316"/>
              <a:ext cx="659283" cy="24377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50" name="TextBox 152">
              <a:extLst>
                <a:ext uri="{FF2B5EF4-FFF2-40B4-BE49-F238E27FC236}">
                  <a16:creationId xmlns:a16="http://schemas.microsoft.com/office/drawing/2014/main" id="{7B3DB129-31CE-B6EC-FD63-889F8ACAACAD}"/>
                </a:ext>
              </a:extLst>
            </xdr:cNvPr>
            <xdr:cNvSpPr txBox="1"/>
          </xdr:nvSpPr>
          <xdr:spPr>
            <a:xfrm>
              <a:off x="1559693" y="871026"/>
              <a:ext cx="1064877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51" name="Straight Arrow Connector 50">
              <a:extLst>
                <a:ext uri="{FF2B5EF4-FFF2-40B4-BE49-F238E27FC236}">
                  <a16:creationId xmlns:a16="http://schemas.microsoft.com/office/drawing/2014/main" id="{6547D436-14A4-4525-03E5-B3E573F38E12}"/>
                </a:ext>
              </a:extLst>
            </xdr:cNvPr>
            <xdr:cNvCxnSpPr/>
          </xdr:nvCxnSpPr>
          <xdr:spPr>
            <a:xfrm>
              <a:off x="3258203" y="177050"/>
              <a:ext cx="2540992" cy="27623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Straight Arrow Connector 51">
              <a:extLst>
                <a:ext uri="{FF2B5EF4-FFF2-40B4-BE49-F238E27FC236}">
                  <a16:creationId xmlns:a16="http://schemas.microsoft.com/office/drawing/2014/main" id="{0C5DA4C6-5AF0-DF51-1324-4A6C05E55AD7}"/>
                </a:ext>
              </a:extLst>
            </xdr:cNvPr>
            <xdr:cNvCxnSpPr/>
          </xdr:nvCxnSpPr>
          <xdr:spPr>
            <a:xfrm flipV="1">
              <a:off x="3253155" y="384536"/>
              <a:ext cx="2545140" cy="356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3" name="Straight Arrow Connector 52">
              <a:extLst>
                <a:ext uri="{FF2B5EF4-FFF2-40B4-BE49-F238E27FC236}">
                  <a16:creationId xmlns:a16="http://schemas.microsoft.com/office/drawing/2014/main" id="{DA72BEAD-F1ED-4EF8-0090-E6E3144C1053}"/>
                </a:ext>
              </a:extLst>
            </xdr:cNvPr>
            <xdr:cNvCxnSpPr/>
          </xdr:nvCxnSpPr>
          <xdr:spPr>
            <a:xfrm flipV="1">
              <a:off x="5963797" y="388108"/>
              <a:ext cx="2326927" cy="7439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4" name="Straight Arrow Connector 53">
              <a:extLst>
                <a:ext uri="{FF2B5EF4-FFF2-40B4-BE49-F238E27FC236}">
                  <a16:creationId xmlns:a16="http://schemas.microsoft.com/office/drawing/2014/main" id="{54749400-1B39-7B40-BE73-4A3D12B6EC14}"/>
                </a:ext>
              </a:extLst>
            </xdr:cNvPr>
            <xdr:cNvCxnSpPr/>
          </xdr:nvCxnSpPr>
          <xdr:spPr>
            <a:xfrm>
              <a:off x="3229695" y="663059"/>
              <a:ext cx="2575704" cy="19307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5" name="Straight Arrow Connector 54">
              <a:extLst>
                <a:ext uri="{FF2B5EF4-FFF2-40B4-BE49-F238E27FC236}">
                  <a16:creationId xmlns:a16="http://schemas.microsoft.com/office/drawing/2014/main" id="{23B6760D-978E-F37C-D25E-CEDEF1002EF7}"/>
                </a:ext>
              </a:extLst>
            </xdr:cNvPr>
            <xdr:cNvCxnSpPr/>
          </xdr:nvCxnSpPr>
          <xdr:spPr>
            <a:xfrm>
              <a:off x="5966282" y="677556"/>
              <a:ext cx="2332938" cy="495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Straight Arrow Connector 55">
              <a:extLst>
                <a:ext uri="{FF2B5EF4-FFF2-40B4-BE49-F238E27FC236}">
                  <a16:creationId xmlns:a16="http://schemas.microsoft.com/office/drawing/2014/main" id="{F4919F72-26EF-A095-2F15-E93A410B9B72}"/>
                </a:ext>
              </a:extLst>
            </xdr:cNvPr>
            <xdr:cNvCxnSpPr/>
          </xdr:nvCxnSpPr>
          <xdr:spPr>
            <a:xfrm>
              <a:off x="3231316" y="1026686"/>
              <a:ext cx="2586744" cy="20319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Straight Arrow Connector 56">
              <a:extLst>
                <a:ext uri="{FF2B5EF4-FFF2-40B4-BE49-F238E27FC236}">
                  <a16:creationId xmlns:a16="http://schemas.microsoft.com/office/drawing/2014/main" id="{5B89CFEF-081F-007D-0D6D-CF284DC5E575}"/>
                </a:ext>
              </a:extLst>
            </xdr:cNvPr>
            <xdr:cNvCxnSpPr/>
          </xdr:nvCxnSpPr>
          <xdr:spPr>
            <a:xfrm>
              <a:off x="5983967" y="1047205"/>
              <a:ext cx="2315253" cy="4965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8" name="TextBox 160">
              <a:extLst>
                <a:ext uri="{FF2B5EF4-FFF2-40B4-BE49-F238E27FC236}">
                  <a16:creationId xmlns:a16="http://schemas.microsoft.com/office/drawing/2014/main" id="{8327CC96-8759-9768-6283-DECAF1A670F6}"/>
                </a:ext>
              </a:extLst>
            </xdr:cNvPr>
            <xdr:cNvSpPr txBox="1"/>
          </xdr:nvSpPr>
          <xdr:spPr>
            <a:xfrm>
              <a:off x="3837482" y="10082"/>
              <a:ext cx="1482209" cy="27544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59" name="TextBox 161">
              <a:extLst>
                <a:ext uri="{FF2B5EF4-FFF2-40B4-BE49-F238E27FC236}">
                  <a16:creationId xmlns:a16="http://schemas.microsoft.com/office/drawing/2014/main" id="{814C4A82-7A45-96D7-283C-C64E5B805629}"/>
                </a:ext>
              </a:extLst>
            </xdr:cNvPr>
            <xdr:cNvSpPr txBox="1"/>
          </xdr:nvSpPr>
          <xdr:spPr>
            <a:xfrm>
              <a:off x="6622030" y="30798"/>
              <a:ext cx="1437748" cy="24657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60" name="TextBox 162">
              <a:extLst>
                <a:ext uri="{FF2B5EF4-FFF2-40B4-BE49-F238E27FC236}">
                  <a16:creationId xmlns:a16="http://schemas.microsoft.com/office/drawing/2014/main" id="{03A226EC-47D1-A58B-DDBE-42FD2B76D1EF}"/>
                </a:ext>
              </a:extLst>
            </xdr:cNvPr>
            <xdr:cNvSpPr txBox="1"/>
          </xdr:nvSpPr>
          <xdr:spPr>
            <a:xfrm>
              <a:off x="4142282" y="297230"/>
              <a:ext cx="659284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61" name="TextBox 163">
              <a:extLst>
                <a:ext uri="{FF2B5EF4-FFF2-40B4-BE49-F238E27FC236}">
                  <a16:creationId xmlns:a16="http://schemas.microsoft.com/office/drawing/2014/main" id="{5B67B3FC-C03D-7C33-DEDC-D9E7979C737B}"/>
                </a:ext>
              </a:extLst>
            </xdr:cNvPr>
            <xdr:cNvSpPr txBox="1"/>
          </xdr:nvSpPr>
          <xdr:spPr>
            <a:xfrm>
              <a:off x="6906809" y="308599"/>
              <a:ext cx="659283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62" name="TextBox 164">
              <a:extLst>
                <a:ext uri="{FF2B5EF4-FFF2-40B4-BE49-F238E27FC236}">
                  <a16:creationId xmlns:a16="http://schemas.microsoft.com/office/drawing/2014/main" id="{4F1331AC-4E4D-D686-1CAB-6ECE830A0D80}"/>
                </a:ext>
              </a:extLst>
            </xdr:cNvPr>
            <xdr:cNvSpPr txBox="1"/>
          </xdr:nvSpPr>
          <xdr:spPr>
            <a:xfrm>
              <a:off x="4127991" y="565519"/>
              <a:ext cx="659284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63" name="TextBox 165">
              <a:extLst>
                <a:ext uri="{FF2B5EF4-FFF2-40B4-BE49-F238E27FC236}">
                  <a16:creationId xmlns:a16="http://schemas.microsoft.com/office/drawing/2014/main" id="{C86535F2-5B19-1223-AFB0-DAA1A169B40D}"/>
                </a:ext>
              </a:extLst>
            </xdr:cNvPr>
            <xdr:cNvSpPr txBox="1"/>
          </xdr:nvSpPr>
          <xdr:spPr>
            <a:xfrm>
              <a:off x="6908649" y="580167"/>
              <a:ext cx="659283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64" name="TextBox 166">
              <a:extLst>
                <a:ext uri="{FF2B5EF4-FFF2-40B4-BE49-F238E27FC236}">
                  <a16:creationId xmlns:a16="http://schemas.microsoft.com/office/drawing/2014/main" id="{EBC3E658-4B2C-7DDC-28C1-8401FA4776B4}"/>
                </a:ext>
              </a:extLst>
            </xdr:cNvPr>
            <xdr:cNvSpPr txBox="1"/>
          </xdr:nvSpPr>
          <xdr:spPr>
            <a:xfrm>
              <a:off x="3983366" y="924842"/>
              <a:ext cx="1069571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65" name="TextBox 167">
              <a:extLst>
                <a:ext uri="{FF2B5EF4-FFF2-40B4-BE49-F238E27FC236}">
                  <a16:creationId xmlns:a16="http://schemas.microsoft.com/office/drawing/2014/main" id="{174FAA5D-EE27-F1D9-CEC3-1B0629A1CAE3}"/>
                </a:ext>
              </a:extLst>
            </xdr:cNvPr>
            <xdr:cNvSpPr txBox="1"/>
          </xdr:nvSpPr>
          <xdr:spPr>
            <a:xfrm>
              <a:off x="6722571" y="901514"/>
              <a:ext cx="1169906" cy="26554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</cdr:x>
      <cdr:y>0.00926</cdr:y>
    </cdr:from>
    <cdr:to>
      <cdr:x>1</cdr:x>
      <cdr:y>0.071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DCC8CD2E-EDCF-76E0-50CC-313CA137B1D4}"/>
            </a:ext>
          </a:extLst>
        </cdr:cNvPr>
        <cdr:cNvSpPr txBox="1"/>
      </cdr:nvSpPr>
      <cdr:spPr>
        <a:xfrm xmlns:a="http://schemas.openxmlformats.org/drawingml/2006/main">
          <a:off x="0" y="54840"/>
          <a:ext cx="10131504" cy="365633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API of Liquid Product</a:t>
          </a:r>
        </a:p>
      </cdr:txBody>
    </cdr:sp>
  </cdr:relSizeAnchor>
  <cdr:relSizeAnchor xmlns:cdr="http://schemas.openxmlformats.org/drawingml/2006/chartDrawing">
    <cdr:from>
      <cdr:x>0</cdr:x>
      <cdr:y>0.00903</cdr:y>
    </cdr:from>
    <cdr:to>
      <cdr:x>1</cdr:x>
      <cdr:y>0.06665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7974DAC-90F4-5685-0C7B-2CD6C93E66AD}"/>
            </a:ext>
          </a:extLst>
        </cdr:cNvPr>
        <cdr:cNvSpPr txBox="1"/>
      </cdr:nvSpPr>
      <cdr:spPr>
        <a:xfrm xmlns:a="http://schemas.openxmlformats.org/drawingml/2006/main">
          <a:off x="0" y="53478"/>
          <a:ext cx="10131504" cy="341251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API of Liquid Product: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258937</xdr:colOff>
      <xdr:row>1</xdr:row>
      <xdr:rowOff>95955</xdr:rowOff>
    </xdr:from>
    <xdr:to>
      <xdr:col>13</xdr:col>
      <xdr:colOff>226785</xdr:colOff>
      <xdr:row>32</xdr:row>
      <xdr:rowOff>36286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FBD29-6F4D-48EC-A822-858EDA717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211321</xdr:colOff>
      <xdr:row>3</xdr:row>
      <xdr:rowOff>154214</xdr:rowOff>
    </xdr:from>
    <xdr:to>
      <xdr:col>13</xdr:col>
      <xdr:colOff>30155</xdr:colOff>
      <xdr:row>9</xdr:row>
      <xdr:rowOff>30167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7F7F4DB-6C2D-4B8E-929C-3AAF0E499F23}"/>
            </a:ext>
          </a:extLst>
        </xdr:cNvPr>
        <xdr:cNvGrpSpPr/>
      </xdr:nvGrpSpPr>
      <xdr:grpSpPr>
        <a:xfrm>
          <a:off x="821516" y="734644"/>
          <a:ext cx="7141178" cy="1036812"/>
          <a:chOff x="0" y="-12120"/>
          <a:chExt cx="6411532" cy="1019925"/>
        </a:xfrm>
      </xdr:grpSpPr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4402ED60-88EE-0F42-3E71-D9B5EE095777}"/>
              </a:ext>
            </a:extLst>
          </xdr:cNvPr>
          <xdr:cNvCxnSpPr/>
        </xdr:nvCxnSpPr>
        <xdr:spPr>
          <a:xfrm>
            <a:off x="4616402" y="161283"/>
            <a:ext cx="1795129" cy="2785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5EC306C9-2AC1-D9DF-6A0F-0FE7CDCE12E2}"/>
              </a:ext>
            </a:extLst>
          </xdr:cNvPr>
          <xdr:cNvGrpSpPr/>
        </xdr:nvGrpSpPr>
        <xdr:grpSpPr>
          <a:xfrm>
            <a:off x="0" y="-12120"/>
            <a:ext cx="6411532" cy="1019925"/>
            <a:chOff x="0" y="-14161"/>
            <a:chExt cx="8299220" cy="1191664"/>
          </a:xfrm>
        </xdr:grpSpPr>
        <xdr:sp macro="" textlink="">
          <xdr:nvSpPr>
            <xdr:cNvPr id="6" name="TextBox 141">
              <a:extLst>
                <a:ext uri="{FF2B5EF4-FFF2-40B4-BE49-F238E27FC236}">
                  <a16:creationId xmlns:a16="http://schemas.microsoft.com/office/drawing/2014/main" id="{E6D08300-1204-567F-F7AB-B67946C924DC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7" name="TextBox 142">
              <a:extLst>
                <a:ext uri="{FF2B5EF4-FFF2-40B4-BE49-F238E27FC236}">
                  <a16:creationId xmlns:a16="http://schemas.microsoft.com/office/drawing/2014/main" id="{F198808F-D4C2-8705-0B1E-5C154A7BD919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8" name="TextBox 143">
              <a:extLst>
                <a:ext uri="{FF2B5EF4-FFF2-40B4-BE49-F238E27FC236}">
                  <a16:creationId xmlns:a16="http://schemas.microsoft.com/office/drawing/2014/main" id="{A71DD70D-938B-7B89-7A40-733254BD0193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9" name="TextBox 144">
              <a:extLst>
                <a:ext uri="{FF2B5EF4-FFF2-40B4-BE49-F238E27FC236}">
                  <a16:creationId xmlns:a16="http://schemas.microsoft.com/office/drawing/2014/main" id="{7F395B6E-972F-D722-2896-CB96F38A7EAB}"/>
                </a:ext>
              </a:extLst>
            </xdr:cNvPr>
            <xdr:cNvSpPr txBox="1"/>
          </xdr:nvSpPr>
          <xdr:spPr>
            <a:xfrm>
              <a:off x="558" y="829829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10" name="Straight Arrow Connector 9">
              <a:extLst>
                <a:ext uri="{FF2B5EF4-FFF2-40B4-BE49-F238E27FC236}">
                  <a16:creationId xmlns:a16="http://schemas.microsoft.com/office/drawing/2014/main" id="{E7ED5AD4-0BA7-CBCF-6D71-ED0FDD083A6D}"/>
                </a:ext>
              </a:extLst>
            </xdr:cNvPr>
            <xdr:cNvCxnSpPr/>
          </xdr:nvCxnSpPr>
          <xdr:spPr>
            <a:xfrm>
              <a:off x="1074638" y="163478"/>
              <a:ext cx="2019871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Straight Arrow Connector 10">
              <a:extLst>
                <a:ext uri="{FF2B5EF4-FFF2-40B4-BE49-F238E27FC236}">
                  <a16:creationId xmlns:a16="http://schemas.microsoft.com/office/drawing/2014/main" id="{317DA687-0224-F207-94D2-49C693E5A7FF}"/>
                </a:ext>
              </a:extLst>
            </xdr:cNvPr>
            <xdr:cNvCxnSpPr/>
          </xdr:nvCxnSpPr>
          <xdr:spPr>
            <a:xfrm>
              <a:off x="1067923" y="383561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Straight Arrow Connector 11">
              <a:extLst>
                <a:ext uri="{FF2B5EF4-FFF2-40B4-BE49-F238E27FC236}">
                  <a16:creationId xmlns:a16="http://schemas.microsoft.com/office/drawing/2014/main" id="{1A4AA069-C9DD-B616-3495-5DB12C4FBAC6}"/>
                </a:ext>
              </a:extLst>
            </xdr:cNvPr>
            <xdr:cNvCxnSpPr/>
          </xdr:nvCxnSpPr>
          <xdr:spPr>
            <a:xfrm>
              <a:off x="1078306" y="672170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Straight Arrow Connector 12">
              <a:extLst>
                <a:ext uri="{FF2B5EF4-FFF2-40B4-BE49-F238E27FC236}">
                  <a16:creationId xmlns:a16="http://schemas.microsoft.com/office/drawing/2014/main" id="{A40086C3-2E5B-A8F2-1147-919B2C2D3635}"/>
                </a:ext>
              </a:extLst>
            </xdr:cNvPr>
            <xdr:cNvCxnSpPr/>
          </xdr:nvCxnSpPr>
          <xdr:spPr>
            <a:xfrm>
              <a:off x="1082466" y="1027510"/>
              <a:ext cx="2019871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" name="TextBox 149">
              <a:extLst>
                <a:ext uri="{FF2B5EF4-FFF2-40B4-BE49-F238E27FC236}">
                  <a16:creationId xmlns:a16="http://schemas.microsoft.com/office/drawing/2014/main" id="{78869404-1642-64A8-A2A0-CF6675AB240E}"/>
                </a:ext>
              </a:extLst>
            </xdr:cNvPr>
            <xdr:cNvSpPr txBox="1"/>
          </xdr:nvSpPr>
          <xdr:spPr>
            <a:xfrm>
              <a:off x="1740258" y="-14161"/>
              <a:ext cx="656298" cy="2355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5" name="TextBox 150">
              <a:extLst>
                <a:ext uri="{FF2B5EF4-FFF2-40B4-BE49-F238E27FC236}">
                  <a16:creationId xmlns:a16="http://schemas.microsoft.com/office/drawing/2014/main" id="{CB42D6D8-2648-196D-F630-690B105C1321}"/>
                </a:ext>
              </a:extLst>
            </xdr:cNvPr>
            <xdr:cNvSpPr txBox="1"/>
          </xdr:nvSpPr>
          <xdr:spPr>
            <a:xfrm>
              <a:off x="1755308" y="275563"/>
              <a:ext cx="657417" cy="2250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6" name="TextBox 151">
              <a:extLst>
                <a:ext uri="{FF2B5EF4-FFF2-40B4-BE49-F238E27FC236}">
                  <a16:creationId xmlns:a16="http://schemas.microsoft.com/office/drawing/2014/main" id="{07D5A0E0-9C91-66DD-E933-93AA7D28FD42}"/>
                </a:ext>
              </a:extLst>
            </xdr:cNvPr>
            <xdr:cNvSpPr txBox="1"/>
          </xdr:nvSpPr>
          <xdr:spPr>
            <a:xfrm>
              <a:off x="1752865" y="550316"/>
              <a:ext cx="659283" cy="24377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17" name="TextBox 152">
              <a:extLst>
                <a:ext uri="{FF2B5EF4-FFF2-40B4-BE49-F238E27FC236}">
                  <a16:creationId xmlns:a16="http://schemas.microsoft.com/office/drawing/2014/main" id="{97C17096-BD31-6338-8147-A1A16BB88713}"/>
                </a:ext>
              </a:extLst>
            </xdr:cNvPr>
            <xdr:cNvSpPr txBox="1"/>
          </xdr:nvSpPr>
          <xdr:spPr>
            <a:xfrm>
              <a:off x="1559414" y="883429"/>
              <a:ext cx="1064877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18" name="Straight Arrow Connector 17">
              <a:extLst>
                <a:ext uri="{FF2B5EF4-FFF2-40B4-BE49-F238E27FC236}">
                  <a16:creationId xmlns:a16="http://schemas.microsoft.com/office/drawing/2014/main" id="{834FE21E-5B5E-2516-03E8-22BA4B1B8350}"/>
                </a:ext>
              </a:extLst>
            </xdr:cNvPr>
            <xdr:cNvCxnSpPr/>
          </xdr:nvCxnSpPr>
          <xdr:spPr>
            <a:xfrm>
              <a:off x="3258203" y="177050"/>
              <a:ext cx="2540992" cy="27623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33016197-CED7-CF92-22E7-2A338F513DD7}"/>
                </a:ext>
              </a:extLst>
            </xdr:cNvPr>
            <xdr:cNvCxnSpPr/>
          </xdr:nvCxnSpPr>
          <xdr:spPr>
            <a:xfrm flipV="1">
              <a:off x="3253155" y="384536"/>
              <a:ext cx="2545140" cy="356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7B42ADD2-5512-74F2-EEE1-50B138688AF8}"/>
                </a:ext>
              </a:extLst>
            </xdr:cNvPr>
            <xdr:cNvCxnSpPr/>
          </xdr:nvCxnSpPr>
          <xdr:spPr>
            <a:xfrm flipV="1">
              <a:off x="5963797" y="388108"/>
              <a:ext cx="2326927" cy="7439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E32D5A81-F845-9711-0585-64D9663A0F81}"/>
                </a:ext>
              </a:extLst>
            </xdr:cNvPr>
            <xdr:cNvCxnSpPr/>
          </xdr:nvCxnSpPr>
          <xdr:spPr>
            <a:xfrm>
              <a:off x="3229695" y="663059"/>
              <a:ext cx="2575704" cy="19307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1F827AFC-448D-E63B-FCF6-C2E7508AD120}"/>
                </a:ext>
              </a:extLst>
            </xdr:cNvPr>
            <xdr:cNvCxnSpPr/>
          </xdr:nvCxnSpPr>
          <xdr:spPr>
            <a:xfrm>
              <a:off x="5966282" y="677556"/>
              <a:ext cx="2332938" cy="495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0070F25A-3B3B-079F-B84C-68422156588F}"/>
                </a:ext>
              </a:extLst>
            </xdr:cNvPr>
            <xdr:cNvCxnSpPr/>
          </xdr:nvCxnSpPr>
          <xdr:spPr>
            <a:xfrm>
              <a:off x="3231316" y="1026686"/>
              <a:ext cx="2586744" cy="20319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1FC72997-A367-D0BC-F305-C3E46B3C2598}"/>
                </a:ext>
              </a:extLst>
            </xdr:cNvPr>
            <xdr:cNvCxnSpPr/>
          </xdr:nvCxnSpPr>
          <xdr:spPr>
            <a:xfrm>
              <a:off x="5983967" y="1047205"/>
              <a:ext cx="2315253" cy="4965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" name="TextBox 160">
              <a:extLst>
                <a:ext uri="{FF2B5EF4-FFF2-40B4-BE49-F238E27FC236}">
                  <a16:creationId xmlns:a16="http://schemas.microsoft.com/office/drawing/2014/main" id="{01171BB8-6AE0-546E-AF00-8C14A857C406}"/>
                </a:ext>
              </a:extLst>
            </xdr:cNvPr>
            <xdr:cNvSpPr txBox="1"/>
          </xdr:nvSpPr>
          <xdr:spPr>
            <a:xfrm>
              <a:off x="3837482" y="10082"/>
              <a:ext cx="1482209" cy="27544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26" name="TextBox 161">
              <a:extLst>
                <a:ext uri="{FF2B5EF4-FFF2-40B4-BE49-F238E27FC236}">
                  <a16:creationId xmlns:a16="http://schemas.microsoft.com/office/drawing/2014/main" id="{E588D34A-D719-D34C-D425-B80517574C65}"/>
                </a:ext>
              </a:extLst>
            </xdr:cNvPr>
            <xdr:cNvSpPr txBox="1"/>
          </xdr:nvSpPr>
          <xdr:spPr>
            <a:xfrm>
              <a:off x="6622030" y="30798"/>
              <a:ext cx="1437748" cy="24657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27" name="TextBox 162">
              <a:extLst>
                <a:ext uri="{FF2B5EF4-FFF2-40B4-BE49-F238E27FC236}">
                  <a16:creationId xmlns:a16="http://schemas.microsoft.com/office/drawing/2014/main" id="{ADAF6D6D-BCFB-C4EA-6A4E-1E66C78BEB7F}"/>
                </a:ext>
              </a:extLst>
            </xdr:cNvPr>
            <xdr:cNvSpPr txBox="1"/>
          </xdr:nvSpPr>
          <xdr:spPr>
            <a:xfrm>
              <a:off x="4142282" y="297230"/>
              <a:ext cx="659284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28" name="TextBox 163">
              <a:extLst>
                <a:ext uri="{FF2B5EF4-FFF2-40B4-BE49-F238E27FC236}">
                  <a16:creationId xmlns:a16="http://schemas.microsoft.com/office/drawing/2014/main" id="{31EC4331-D711-0012-44F9-D6801E10359B}"/>
                </a:ext>
              </a:extLst>
            </xdr:cNvPr>
            <xdr:cNvSpPr txBox="1"/>
          </xdr:nvSpPr>
          <xdr:spPr>
            <a:xfrm>
              <a:off x="6906809" y="308599"/>
              <a:ext cx="659283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29" name="TextBox 164">
              <a:extLst>
                <a:ext uri="{FF2B5EF4-FFF2-40B4-BE49-F238E27FC236}">
                  <a16:creationId xmlns:a16="http://schemas.microsoft.com/office/drawing/2014/main" id="{DF74143E-5096-CBC8-3132-0F73ED0F888B}"/>
                </a:ext>
              </a:extLst>
            </xdr:cNvPr>
            <xdr:cNvSpPr txBox="1"/>
          </xdr:nvSpPr>
          <xdr:spPr>
            <a:xfrm>
              <a:off x="4127991" y="565519"/>
              <a:ext cx="659284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0" name="TextBox 165">
              <a:extLst>
                <a:ext uri="{FF2B5EF4-FFF2-40B4-BE49-F238E27FC236}">
                  <a16:creationId xmlns:a16="http://schemas.microsoft.com/office/drawing/2014/main" id="{0C3070CA-D68C-87F5-EA96-C316D26D8283}"/>
                </a:ext>
              </a:extLst>
            </xdr:cNvPr>
            <xdr:cNvSpPr txBox="1"/>
          </xdr:nvSpPr>
          <xdr:spPr>
            <a:xfrm>
              <a:off x="6908649" y="580167"/>
              <a:ext cx="659283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1" name="TextBox 166">
              <a:extLst>
                <a:ext uri="{FF2B5EF4-FFF2-40B4-BE49-F238E27FC236}">
                  <a16:creationId xmlns:a16="http://schemas.microsoft.com/office/drawing/2014/main" id="{15647C88-7126-B901-32B1-E10A840F946C}"/>
                </a:ext>
              </a:extLst>
            </xdr:cNvPr>
            <xdr:cNvSpPr txBox="1"/>
          </xdr:nvSpPr>
          <xdr:spPr>
            <a:xfrm>
              <a:off x="3983366" y="924842"/>
              <a:ext cx="1069571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32" name="TextBox 167">
              <a:extLst>
                <a:ext uri="{FF2B5EF4-FFF2-40B4-BE49-F238E27FC236}">
                  <a16:creationId xmlns:a16="http://schemas.microsoft.com/office/drawing/2014/main" id="{58C2F725-D886-D414-7CF8-67903BA74C39}"/>
                </a:ext>
              </a:extLst>
            </xdr:cNvPr>
            <xdr:cNvSpPr txBox="1"/>
          </xdr:nvSpPr>
          <xdr:spPr>
            <a:xfrm>
              <a:off x="6722571" y="901514"/>
              <a:ext cx="1169906" cy="26554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</cdr:x>
      <cdr:y>0.00064</cdr:y>
    </cdr:from>
    <cdr:to>
      <cdr:x>1</cdr:x>
      <cdr:y>0.06767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45E3179C-10BD-C7FB-8EBE-6CA15EB166A1}"/>
            </a:ext>
          </a:extLst>
        </cdr:cNvPr>
        <cdr:cNvSpPr txBox="1"/>
      </cdr:nvSpPr>
      <cdr:spPr>
        <a:xfrm xmlns:a="http://schemas.openxmlformats.org/drawingml/2006/main">
          <a:off x="0" y="3480"/>
          <a:ext cx="7696706" cy="362051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Sedimentation of HPS Product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42</xdr:col>
      <xdr:colOff>14767</xdr:colOff>
      <xdr:row>48</xdr:row>
      <xdr:rowOff>103372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8D36F1-C51B-4255-BDD0-40E51E445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251048</xdr:colOff>
      <xdr:row>2</xdr:row>
      <xdr:rowOff>2116</xdr:rowOff>
    </xdr:from>
    <xdr:to>
      <xdr:col>20</xdr:col>
      <xdr:colOff>280582</xdr:colOff>
      <xdr:row>48</xdr:row>
      <xdr:rowOff>14767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7BB1EEFD-F808-AC6A-DC51-AB30FB8A4D3D}"/>
            </a:ext>
          </a:extLst>
        </xdr:cNvPr>
        <xdr:cNvGrpSpPr/>
      </xdr:nvGrpSpPr>
      <xdr:grpSpPr>
        <a:xfrm>
          <a:off x="251048" y="400837"/>
          <a:ext cx="11991162" cy="9183232"/>
          <a:chOff x="251048" y="356535"/>
          <a:chExt cx="12434185" cy="8164279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3CB05423-1A5A-4C35-B9F2-1B11A4D47E8C}"/>
              </a:ext>
            </a:extLst>
          </xdr:cNvPr>
          <xdr:cNvGraphicFramePr>
            <a:graphicFrameLocks/>
          </xdr:cNvGraphicFramePr>
        </xdr:nvGraphicFramePr>
        <xdr:xfrm>
          <a:off x="265895" y="356535"/>
          <a:ext cx="12419338" cy="81642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3A40B83-61DB-4C3F-A786-421B1776803F}"/>
              </a:ext>
            </a:extLst>
          </xdr:cNvPr>
          <xdr:cNvGrpSpPr/>
        </xdr:nvGrpSpPr>
        <xdr:grpSpPr>
          <a:xfrm>
            <a:off x="251048" y="867569"/>
            <a:ext cx="10721992" cy="1240510"/>
            <a:chOff x="0" y="-12120"/>
            <a:chExt cx="6411532" cy="1019925"/>
          </a:xfrm>
          <a:solidFill>
            <a:schemeClr val="accent1">
              <a:lumMod val="20000"/>
              <a:lumOff val="80000"/>
            </a:schemeClr>
          </a:solidFill>
        </xdr:grpSpPr>
        <xdr:cxnSp macro="">
          <xdr:nvCxnSpPr>
            <xdr:cNvPr id="5" name="Straight Arrow Connector 4">
              <a:extLst>
                <a:ext uri="{FF2B5EF4-FFF2-40B4-BE49-F238E27FC236}">
                  <a16:creationId xmlns:a16="http://schemas.microsoft.com/office/drawing/2014/main" id="{D76AFF7E-AE0E-9899-25DF-9CC8409C20A9}"/>
                </a:ext>
              </a:extLst>
            </xdr:cNvPr>
            <xdr:cNvCxnSpPr/>
          </xdr:nvCxnSpPr>
          <xdr:spPr>
            <a:xfrm>
              <a:off x="4616402" y="161283"/>
              <a:ext cx="1795129" cy="2785"/>
            </a:xfrm>
            <a:prstGeom prst="straightConnector1">
              <a:avLst/>
            </a:prstGeom>
            <a:grpFill/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12F8BD1B-DD9B-7926-8DD3-6DF118839553}"/>
                </a:ext>
              </a:extLst>
            </xdr:cNvPr>
            <xdr:cNvGrpSpPr/>
          </xdr:nvGrpSpPr>
          <xdr:grpSpPr>
            <a:xfrm>
              <a:off x="0" y="-12120"/>
              <a:ext cx="6411532" cy="1019925"/>
              <a:chOff x="0" y="-14161"/>
              <a:chExt cx="8299220" cy="1191664"/>
            </a:xfrm>
            <a:grpFill/>
          </xdr:grpSpPr>
          <xdr:sp macro="" textlink="">
            <xdr:nvSpPr>
              <xdr:cNvPr id="7" name="TextBox 141">
                <a:extLst>
                  <a:ext uri="{FF2B5EF4-FFF2-40B4-BE49-F238E27FC236}">
                    <a16:creationId xmlns:a16="http://schemas.microsoft.com/office/drawing/2014/main" id="{EBCBFF64-70E2-882F-ED8C-EB45B904FD04}"/>
                  </a:ext>
                </a:extLst>
              </xdr:cNvPr>
              <xdr:cNvSpPr txBox="1"/>
            </xdr:nvSpPr>
            <xdr:spPr>
              <a:xfrm>
                <a:off x="12088" y="28221"/>
                <a:ext cx="883021" cy="20071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SR Feed</a:t>
                </a:r>
              </a:p>
            </xdr:txBody>
          </xdr:sp>
          <xdr:sp macro="" textlink="">
            <xdr:nvSpPr>
              <xdr:cNvPr id="8" name="TextBox 142">
                <a:extLst>
                  <a:ext uri="{FF2B5EF4-FFF2-40B4-BE49-F238E27FC236}">
                    <a16:creationId xmlns:a16="http://schemas.microsoft.com/office/drawing/2014/main" id="{5C0D6F8A-B6B5-4E27-999D-56571635DB7F}"/>
                  </a:ext>
                </a:extLst>
              </xdr:cNvPr>
              <xdr:cNvSpPr txBox="1"/>
            </xdr:nvSpPr>
            <xdr:spPr>
              <a:xfrm>
                <a:off x="0" y="275562"/>
                <a:ext cx="883021" cy="20071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SR Split</a:t>
                </a:r>
              </a:p>
            </xdr:txBody>
          </xdr:sp>
          <xdr:sp macro="" textlink="">
            <xdr:nvSpPr>
              <xdr:cNvPr id="9" name="TextBox 143">
                <a:extLst>
                  <a:ext uri="{FF2B5EF4-FFF2-40B4-BE49-F238E27FC236}">
                    <a16:creationId xmlns:a16="http://schemas.microsoft.com/office/drawing/2014/main" id="{5280FB69-F1BD-9F2F-267E-2A8F80CA7849}"/>
                  </a:ext>
                </a:extLst>
              </xdr:cNvPr>
              <xdr:cNvSpPr txBox="1"/>
            </xdr:nvSpPr>
            <xdr:spPr>
              <a:xfrm>
                <a:off x="7271" y="538185"/>
                <a:ext cx="1148121" cy="26641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LCF LHSV</a:t>
                </a:r>
              </a:p>
            </xdr:txBody>
          </xdr:sp>
          <xdr:sp macro="" textlink="">
            <xdr:nvSpPr>
              <xdr:cNvPr id="10" name="TextBox 144">
                <a:extLst>
                  <a:ext uri="{FF2B5EF4-FFF2-40B4-BE49-F238E27FC236}">
                    <a16:creationId xmlns:a16="http://schemas.microsoft.com/office/drawing/2014/main" id="{CE20DE52-1DBF-9010-E43D-7898AAE729E6}"/>
                  </a:ext>
                </a:extLst>
              </xdr:cNvPr>
              <xdr:cNvSpPr txBox="1"/>
            </xdr:nvSpPr>
            <xdr:spPr>
              <a:xfrm>
                <a:off x="559" y="867035"/>
                <a:ext cx="1148121" cy="26641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Temperature</a:t>
                </a:r>
              </a:p>
              <a:p>
                <a:r>
                  <a:rPr lang="en-US" sz="1100" b="1"/>
                  <a:t>(Rx1/2/3)</a:t>
                </a:r>
              </a:p>
            </xdr:txBody>
          </xdr:sp>
          <xdr:cxnSp macro="">
            <xdr:nvCxnSpPr>
              <xdr:cNvPr id="11" name="Straight Arrow Connector 10">
                <a:extLst>
                  <a:ext uri="{FF2B5EF4-FFF2-40B4-BE49-F238E27FC236}">
                    <a16:creationId xmlns:a16="http://schemas.microsoft.com/office/drawing/2014/main" id="{CC872E6E-969E-F1A9-8280-D09381E428CB}"/>
                  </a:ext>
                </a:extLst>
              </xdr:cNvPr>
              <xdr:cNvCxnSpPr/>
            </xdr:nvCxnSpPr>
            <xdr:spPr>
              <a:xfrm>
                <a:off x="1074638" y="163478"/>
                <a:ext cx="2019871" cy="0"/>
              </a:xfrm>
              <a:prstGeom prst="straightConnector1">
                <a:avLst/>
              </a:prstGeom>
              <a:grpFill/>
              <a:ln>
                <a:solidFill>
                  <a:schemeClr val="tx1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Straight Arrow Connector 11">
                <a:extLst>
                  <a:ext uri="{FF2B5EF4-FFF2-40B4-BE49-F238E27FC236}">
                    <a16:creationId xmlns:a16="http://schemas.microsoft.com/office/drawing/2014/main" id="{4DE96DCE-1600-79CD-7A62-5426B6BC2FD9}"/>
                  </a:ext>
                </a:extLst>
              </xdr:cNvPr>
              <xdr:cNvCxnSpPr/>
            </xdr:nvCxnSpPr>
            <xdr:spPr>
              <a:xfrm>
                <a:off x="1067923" y="383561"/>
                <a:ext cx="2019871" cy="0"/>
              </a:xfrm>
              <a:prstGeom prst="straightConnector1">
                <a:avLst/>
              </a:prstGeom>
              <a:grpFill/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Straight Arrow Connector 12">
                <a:extLst>
                  <a:ext uri="{FF2B5EF4-FFF2-40B4-BE49-F238E27FC236}">
                    <a16:creationId xmlns:a16="http://schemas.microsoft.com/office/drawing/2014/main" id="{6F9DE23A-B89B-4BFE-DA22-4E58C08E9CB2}"/>
                  </a:ext>
                </a:extLst>
              </xdr:cNvPr>
              <xdr:cNvCxnSpPr/>
            </xdr:nvCxnSpPr>
            <xdr:spPr>
              <a:xfrm>
                <a:off x="1078306" y="672170"/>
                <a:ext cx="2019871" cy="0"/>
              </a:xfrm>
              <a:prstGeom prst="straightConnector1">
                <a:avLst/>
              </a:prstGeom>
              <a:grpFill/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4" name="Straight Arrow Connector 13">
                <a:extLst>
                  <a:ext uri="{FF2B5EF4-FFF2-40B4-BE49-F238E27FC236}">
                    <a16:creationId xmlns:a16="http://schemas.microsoft.com/office/drawing/2014/main" id="{34AD540D-4465-70C6-4359-95F28CCF1099}"/>
                  </a:ext>
                </a:extLst>
              </xdr:cNvPr>
              <xdr:cNvCxnSpPr/>
            </xdr:nvCxnSpPr>
            <xdr:spPr>
              <a:xfrm>
                <a:off x="1082466" y="1027510"/>
                <a:ext cx="2019871" cy="0"/>
              </a:xfrm>
              <a:prstGeom prst="straightConnector1">
                <a:avLst/>
              </a:prstGeom>
              <a:grpFill/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5" name="TextBox 149">
                <a:extLst>
                  <a:ext uri="{FF2B5EF4-FFF2-40B4-BE49-F238E27FC236}">
                    <a16:creationId xmlns:a16="http://schemas.microsoft.com/office/drawing/2014/main" id="{A278099C-B03C-6969-11B5-DC414C8ED7A0}"/>
                  </a:ext>
                </a:extLst>
              </xdr:cNvPr>
              <xdr:cNvSpPr txBox="1"/>
            </xdr:nvSpPr>
            <xdr:spPr>
              <a:xfrm>
                <a:off x="1740258" y="-14161"/>
                <a:ext cx="656298" cy="235567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ME SR</a:t>
                </a:r>
              </a:p>
            </xdr:txBody>
          </xdr:sp>
          <xdr:sp macro="" textlink="">
            <xdr:nvSpPr>
              <xdr:cNvPr id="16" name="TextBox 150">
                <a:extLst>
                  <a:ext uri="{FF2B5EF4-FFF2-40B4-BE49-F238E27FC236}">
                    <a16:creationId xmlns:a16="http://schemas.microsoft.com/office/drawing/2014/main" id="{07B048DB-FDA6-D985-135D-B6DE50F5B1D9}"/>
                  </a:ext>
                </a:extLst>
              </xdr:cNvPr>
              <xdr:cNvSpPr txBox="1"/>
            </xdr:nvSpPr>
            <xdr:spPr>
              <a:xfrm>
                <a:off x="1755308" y="275563"/>
                <a:ext cx="657417" cy="225005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70/30</a:t>
                </a:r>
              </a:p>
            </xdr:txBody>
          </xdr:sp>
          <xdr:sp macro="" textlink="">
            <xdr:nvSpPr>
              <xdr:cNvPr id="17" name="TextBox 151">
                <a:extLst>
                  <a:ext uri="{FF2B5EF4-FFF2-40B4-BE49-F238E27FC236}">
                    <a16:creationId xmlns:a16="http://schemas.microsoft.com/office/drawing/2014/main" id="{CBDAC886-93C0-4F05-B417-B729AAC92233}"/>
                  </a:ext>
                </a:extLst>
              </xdr:cNvPr>
              <xdr:cNvSpPr txBox="1"/>
            </xdr:nvSpPr>
            <xdr:spPr>
              <a:xfrm>
                <a:off x="1752865" y="550316"/>
                <a:ext cx="659283" cy="243776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0.378</a:t>
                </a:r>
              </a:p>
            </xdr:txBody>
          </xdr:sp>
          <xdr:sp macro="" textlink="">
            <xdr:nvSpPr>
              <xdr:cNvPr id="18" name="TextBox 152">
                <a:extLst>
                  <a:ext uri="{FF2B5EF4-FFF2-40B4-BE49-F238E27FC236}">
                    <a16:creationId xmlns:a16="http://schemas.microsoft.com/office/drawing/2014/main" id="{02D1250D-CF83-1BCC-4417-24EBEF97F134}"/>
                  </a:ext>
                </a:extLst>
              </xdr:cNvPr>
              <xdr:cNvSpPr txBox="1"/>
            </xdr:nvSpPr>
            <xdr:spPr>
              <a:xfrm>
                <a:off x="1627946" y="871026"/>
                <a:ext cx="1064877" cy="252661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399/405/407</a:t>
                </a:r>
              </a:p>
            </xdr:txBody>
          </xdr:sp>
          <xdr:cxnSp macro="">
            <xdr:nvCxnSpPr>
              <xdr:cNvPr id="19" name="Straight Arrow Connector 18">
                <a:extLst>
                  <a:ext uri="{FF2B5EF4-FFF2-40B4-BE49-F238E27FC236}">
                    <a16:creationId xmlns:a16="http://schemas.microsoft.com/office/drawing/2014/main" id="{1924D1FB-EADE-1634-70A1-8B3A3615C8A7}"/>
                  </a:ext>
                </a:extLst>
              </xdr:cNvPr>
              <xdr:cNvCxnSpPr/>
            </xdr:nvCxnSpPr>
            <xdr:spPr>
              <a:xfrm>
                <a:off x="3258203" y="177050"/>
                <a:ext cx="2540992" cy="27623"/>
              </a:xfrm>
              <a:prstGeom prst="straightConnector1">
                <a:avLst/>
              </a:prstGeom>
              <a:grpFill/>
              <a:ln>
                <a:solidFill>
                  <a:schemeClr val="tx1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0" name="Straight Arrow Connector 19">
                <a:extLst>
                  <a:ext uri="{FF2B5EF4-FFF2-40B4-BE49-F238E27FC236}">
                    <a16:creationId xmlns:a16="http://schemas.microsoft.com/office/drawing/2014/main" id="{84ACE4A6-564A-0352-7DB4-41C8424023C7}"/>
                  </a:ext>
                </a:extLst>
              </xdr:cNvPr>
              <xdr:cNvCxnSpPr/>
            </xdr:nvCxnSpPr>
            <xdr:spPr>
              <a:xfrm flipV="1">
                <a:off x="3253155" y="384536"/>
                <a:ext cx="2545140" cy="3560"/>
              </a:xfrm>
              <a:prstGeom prst="straightConnector1">
                <a:avLst/>
              </a:prstGeom>
              <a:grpFill/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1" name="Straight Arrow Connector 20">
                <a:extLst>
                  <a:ext uri="{FF2B5EF4-FFF2-40B4-BE49-F238E27FC236}">
                    <a16:creationId xmlns:a16="http://schemas.microsoft.com/office/drawing/2014/main" id="{F8FC7D35-FCA3-F50C-7FFD-4050BE98CBD7}"/>
                  </a:ext>
                </a:extLst>
              </xdr:cNvPr>
              <xdr:cNvCxnSpPr/>
            </xdr:nvCxnSpPr>
            <xdr:spPr>
              <a:xfrm flipV="1">
                <a:off x="5963797" y="388108"/>
                <a:ext cx="2326927" cy="7439"/>
              </a:xfrm>
              <a:prstGeom prst="straightConnector1">
                <a:avLst/>
              </a:prstGeom>
              <a:grpFill/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2" name="Straight Arrow Connector 21">
                <a:extLst>
                  <a:ext uri="{FF2B5EF4-FFF2-40B4-BE49-F238E27FC236}">
                    <a16:creationId xmlns:a16="http://schemas.microsoft.com/office/drawing/2014/main" id="{70F5EEC8-4D20-E179-E7CF-A0FD30CD627D}"/>
                  </a:ext>
                </a:extLst>
              </xdr:cNvPr>
              <xdr:cNvCxnSpPr/>
            </xdr:nvCxnSpPr>
            <xdr:spPr>
              <a:xfrm>
                <a:off x="3229695" y="663059"/>
                <a:ext cx="2575704" cy="19307"/>
              </a:xfrm>
              <a:prstGeom prst="straightConnector1">
                <a:avLst/>
              </a:prstGeom>
              <a:grpFill/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3" name="Straight Arrow Connector 22">
                <a:extLst>
                  <a:ext uri="{FF2B5EF4-FFF2-40B4-BE49-F238E27FC236}">
                    <a16:creationId xmlns:a16="http://schemas.microsoft.com/office/drawing/2014/main" id="{80F72B57-81E8-4DF3-AD9D-D4E991A05464}"/>
                  </a:ext>
                </a:extLst>
              </xdr:cNvPr>
              <xdr:cNvCxnSpPr/>
            </xdr:nvCxnSpPr>
            <xdr:spPr>
              <a:xfrm>
                <a:off x="5966282" y="677556"/>
                <a:ext cx="2332938" cy="495"/>
              </a:xfrm>
              <a:prstGeom prst="straightConnector1">
                <a:avLst/>
              </a:prstGeom>
              <a:grpFill/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" name="Straight Arrow Connector 23">
                <a:extLst>
                  <a:ext uri="{FF2B5EF4-FFF2-40B4-BE49-F238E27FC236}">
                    <a16:creationId xmlns:a16="http://schemas.microsoft.com/office/drawing/2014/main" id="{4358D131-9477-43EC-9850-4181C6726975}"/>
                  </a:ext>
                </a:extLst>
              </xdr:cNvPr>
              <xdr:cNvCxnSpPr/>
            </xdr:nvCxnSpPr>
            <xdr:spPr>
              <a:xfrm>
                <a:off x="3231316" y="1026686"/>
                <a:ext cx="2586744" cy="20319"/>
              </a:xfrm>
              <a:prstGeom prst="straightConnector1">
                <a:avLst/>
              </a:prstGeom>
              <a:grpFill/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5" name="Straight Arrow Connector 24">
                <a:extLst>
                  <a:ext uri="{FF2B5EF4-FFF2-40B4-BE49-F238E27FC236}">
                    <a16:creationId xmlns:a16="http://schemas.microsoft.com/office/drawing/2014/main" id="{484A1635-B351-EC0B-0DDF-F34472797D4C}"/>
                  </a:ext>
                </a:extLst>
              </xdr:cNvPr>
              <xdr:cNvCxnSpPr/>
            </xdr:nvCxnSpPr>
            <xdr:spPr>
              <a:xfrm>
                <a:off x="5983967" y="1047205"/>
                <a:ext cx="2315253" cy="4965"/>
              </a:xfrm>
              <a:prstGeom prst="straightConnector1">
                <a:avLst/>
              </a:prstGeom>
              <a:grpFill/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6" name="TextBox 160">
                <a:extLst>
                  <a:ext uri="{FF2B5EF4-FFF2-40B4-BE49-F238E27FC236}">
                    <a16:creationId xmlns:a16="http://schemas.microsoft.com/office/drawing/2014/main" id="{64CA11A6-B046-3B98-3514-29C36D696E4C}"/>
                  </a:ext>
                </a:extLst>
              </xdr:cNvPr>
              <xdr:cNvSpPr txBox="1"/>
            </xdr:nvSpPr>
            <xdr:spPr>
              <a:xfrm>
                <a:off x="3837482" y="10082"/>
                <a:ext cx="1482209" cy="275443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Low Sedimentation</a:t>
                </a:r>
              </a:p>
            </xdr:txBody>
          </xdr:sp>
          <xdr:sp macro="" textlink="">
            <xdr:nvSpPr>
              <xdr:cNvPr id="27" name="TextBox 161">
                <a:extLst>
                  <a:ext uri="{FF2B5EF4-FFF2-40B4-BE49-F238E27FC236}">
                    <a16:creationId xmlns:a16="http://schemas.microsoft.com/office/drawing/2014/main" id="{005279E1-2207-0CBC-12A8-C53F46403406}"/>
                  </a:ext>
                </a:extLst>
              </xdr:cNvPr>
              <xdr:cNvSpPr txBox="1"/>
            </xdr:nvSpPr>
            <xdr:spPr>
              <a:xfrm>
                <a:off x="6622030" y="30798"/>
                <a:ext cx="1437748" cy="246579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HighSedimentation</a:t>
                </a:r>
              </a:p>
            </xdr:txBody>
          </xdr:sp>
          <xdr:sp macro="" textlink="">
            <xdr:nvSpPr>
              <xdr:cNvPr id="28" name="TextBox 162">
                <a:extLst>
                  <a:ext uri="{FF2B5EF4-FFF2-40B4-BE49-F238E27FC236}">
                    <a16:creationId xmlns:a16="http://schemas.microsoft.com/office/drawing/2014/main" id="{16C5168E-EF22-F5A2-2372-1DB6B36D097C}"/>
                  </a:ext>
                </a:extLst>
              </xdr:cNvPr>
              <xdr:cNvSpPr txBox="1"/>
            </xdr:nvSpPr>
            <xdr:spPr>
              <a:xfrm>
                <a:off x="4142282" y="297230"/>
                <a:ext cx="659284" cy="247411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100/0</a:t>
                </a:r>
              </a:p>
            </xdr:txBody>
          </xdr:sp>
          <xdr:sp macro="" textlink="">
            <xdr:nvSpPr>
              <xdr:cNvPr id="29" name="TextBox 163">
                <a:extLst>
                  <a:ext uri="{FF2B5EF4-FFF2-40B4-BE49-F238E27FC236}">
                    <a16:creationId xmlns:a16="http://schemas.microsoft.com/office/drawing/2014/main" id="{914C8828-1101-2FC1-C3F2-D452DD90DE47}"/>
                  </a:ext>
                </a:extLst>
              </xdr:cNvPr>
              <xdr:cNvSpPr txBox="1"/>
            </xdr:nvSpPr>
            <xdr:spPr>
              <a:xfrm>
                <a:off x="6906809" y="308599"/>
                <a:ext cx="659283" cy="247411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100/0</a:t>
                </a:r>
              </a:p>
            </xdr:txBody>
          </xdr:sp>
          <xdr:sp macro="" textlink="">
            <xdr:nvSpPr>
              <xdr:cNvPr id="30" name="TextBox 164">
                <a:extLst>
                  <a:ext uri="{FF2B5EF4-FFF2-40B4-BE49-F238E27FC236}">
                    <a16:creationId xmlns:a16="http://schemas.microsoft.com/office/drawing/2014/main" id="{D769E8D5-42D1-CB32-BDE0-3AE2BA611EF2}"/>
                  </a:ext>
                </a:extLst>
              </xdr:cNvPr>
              <xdr:cNvSpPr txBox="1"/>
            </xdr:nvSpPr>
            <xdr:spPr>
              <a:xfrm>
                <a:off x="4127991" y="565519"/>
                <a:ext cx="659284" cy="242964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0.21</a:t>
                </a:r>
              </a:p>
            </xdr:txBody>
          </xdr:sp>
          <xdr:sp macro="" textlink="">
            <xdr:nvSpPr>
              <xdr:cNvPr id="31" name="TextBox 165">
                <a:extLst>
                  <a:ext uri="{FF2B5EF4-FFF2-40B4-BE49-F238E27FC236}">
                    <a16:creationId xmlns:a16="http://schemas.microsoft.com/office/drawing/2014/main" id="{6F413463-7B99-96DE-0DE6-6FF5842ADB12}"/>
                  </a:ext>
                </a:extLst>
              </xdr:cNvPr>
              <xdr:cNvSpPr txBox="1"/>
            </xdr:nvSpPr>
            <xdr:spPr>
              <a:xfrm>
                <a:off x="6908649" y="580167"/>
                <a:ext cx="659283" cy="242964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0.21</a:t>
                </a:r>
              </a:p>
            </xdr:txBody>
          </xdr:sp>
          <xdr:sp macro="" textlink="">
            <xdr:nvSpPr>
              <xdr:cNvPr id="32" name="TextBox 166">
                <a:extLst>
                  <a:ext uri="{FF2B5EF4-FFF2-40B4-BE49-F238E27FC236}">
                    <a16:creationId xmlns:a16="http://schemas.microsoft.com/office/drawing/2014/main" id="{66914484-DFC9-B4B0-1F5C-E4842B76A751}"/>
                  </a:ext>
                </a:extLst>
              </xdr:cNvPr>
              <xdr:cNvSpPr txBox="1"/>
            </xdr:nvSpPr>
            <xdr:spPr>
              <a:xfrm>
                <a:off x="3983366" y="924842"/>
                <a:ext cx="1069571" cy="252661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415/419/419</a:t>
                </a:r>
              </a:p>
            </xdr:txBody>
          </xdr:sp>
          <xdr:sp macro="" textlink="">
            <xdr:nvSpPr>
              <xdr:cNvPr id="33" name="TextBox 167">
                <a:extLst>
                  <a:ext uri="{FF2B5EF4-FFF2-40B4-BE49-F238E27FC236}">
                    <a16:creationId xmlns:a16="http://schemas.microsoft.com/office/drawing/2014/main" id="{6A74C544-4FDA-0328-048E-A3D0C5AE017A}"/>
                  </a:ext>
                </a:extLst>
              </xdr:cNvPr>
              <xdr:cNvSpPr txBox="1"/>
            </xdr:nvSpPr>
            <xdr:spPr>
              <a:xfrm>
                <a:off x="6722571" y="901514"/>
                <a:ext cx="1169906" cy="265545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420/421/423</a:t>
                </a:r>
              </a:p>
            </xdr:txBody>
          </xdr:sp>
        </xdr:grpSp>
      </xdr:grpSp>
    </xdr:grpSp>
    <xdr:clientData/>
  </xdr:twoCellAnchor>
  <xdr:twoCellAnchor>
    <xdr:from>
      <xdr:col>21</xdr:col>
      <xdr:colOff>610192</xdr:colOff>
      <xdr:row>5</xdr:row>
      <xdr:rowOff>137632</xdr:rowOff>
    </xdr:from>
    <xdr:to>
      <xdr:col>39</xdr:col>
      <xdr:colOff>167168</xdr:colOff>
      <xdr:row>12</xdr:row>
      <xdr:rowOff>137632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A976B920-D0AA-4D38-BA70-60A49058AC75}"/>
            </a:ext>
          </a:extLst>
        </xdr:cNvPr>
        <xdr:cNvGrpSpPr/>
      </xdr:nvGrpSpPr>
      <xdr:grpSpPr>
        <a:xfrm>
          <a:off x="13150851" y="1134434"/>
          <a:ext cx="10341491" cy="1395524"/>
          <a:chOff x="0" y="-12120"/>
          <a:chExt cx="6411532" cy="1019925"/>
        </a:xfrm>
        <a:solidFill>
          <a:schemeClr val="accent1">
            <a:lumMod val="20000"/>
            <a:lumOff val="80000"/>
          </a:schemeClr>
        </a:solidFill>
      </xdr:grpSpPr>
      <xdr:cxnSp macro="">
        <xdr:nvCxnSpPr>
          <xdr:cNvPr id="35" name="Straight Arrow Connector 34">
            <a:extLst>
              <a:ext uri="{FF2B5EF4-FFF2-40B4-BE49-F238E27FC236}">
                <a16:creationId xmlns:a16="http://schemas.microsoft.com/office/drawing/2014/main" id="{F88BEB45-2883-575C-B6F5-23FD37208D86}"/>
              </a:ext>
            </a:extLst>
          </xdr:cNvPr>
          <xdr:cNvCxnSpPr/>
        </xdr:nvCxnSpPr>
        <xdr:spPr>
          <a:xfrm>
            <a:off x="4616402" y="161283"/>
            <a:ext cx="1795129" cy="2785"/>
          </a:xfrm>
          <a:prstGeom prst="straightConnector1">
            <a:avLst/>
          </a:prstGeom>
          <a:grpFill/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36" name="Group 35">
            <a:extLst>
              <a:ext uri="{FF2B5EF4-FFF2-40B4-BE49-F238E27FC236}">
                <a16:creationId xmlns:a16="http://schemas.microsoft.com/office/drawing/2014/main" id="{5968ACE8-F9E0-31DA-8AA9-FFBEB368320F}"/>
              </a:ext>
            </a:extLst>
          </xdr:cNvPr>
          <xdr:cNvGrpSpPr/>
        </xdr:nvGrpSpPr>
        <xdr:grpSpPr>
          <a:xfrm>
            <a:off x="0" y="-12120"/>
            <a:ext cx="6411532" cy="1019925"/>
            <a:chOff x="0" y="-14161"/>
            <a:chExt cx="8299220" cy="1191664"/>
          </a:xfrm>
          <a:grpFill/>
        </xdr:grpSpPr>
        <xdr:sp macro="" textlink="">
          <xdr:nvSpPr>
            <xdr:cNvPr id="37" name="TextBox 141">
              <a:extLst>
                <a:ext uri="{FF2B5EF4-FFF2-40B4-BE49-F238E27FC236}">
                  <a16:creationId xmlns:a16="http://schemas.microsoft.com/office/drawing/2014/main" id="{84A71882-C077-0369-C8EA-469972AF990E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38" name="TextBox 142">
              <a:extLst>
                <a:ext uri="{FF2B5EF4-FFF2-40B4-BE49-F238E27FC236}">
                  <a16:creationId xmlns:a16="http://schemas.microsoft.com/office/drawing/2014/main" id="{E9AEEBAE-2B83-434C-C7E3-E86831872CEF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39" name="TextBox 143">
              <a:extLst>
                <a:ext uri="{FF2B5EF4-FFF2-40B4-BE49-F238E27FC236}">
                  <a16:creationId xmlns:a16="http://schemas.microsoft.com/office/drawing/2014/main" id="{3AF3CFFC-58CF-D536-4B2B-88CBDE2A7561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40" name="TextBox 144">
              <a:extLst>
                <a:ext uri="{FF2B5EF4-FFF2-40B4-BE49-F238E27FC236}">
                  <a16:creationId xmlns:a16="http://schemas.microsoft.com/office/drawing/2014/main" id="{05F0A0EE-774E-3E2E-7B81-7E1793100AAF}"/>
                </a:ext>
              </a:extLst>
            </xdr:cNvPr>
            <xdr:cNvSpPr txBox="1"/>
          </xdr:nvSpPr>
          <xdr:spPr>
            <a:xfrm>
              <a:off x="559" y="86703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996ADE0D-63F1-0435-ED23-523C762DEC4E}"/>
                </a:ext>
              </a:extLst>
            </xdr:cNvPr>
            <xdr:cNvCxnSpPr/>
          </xdr:nvCxnSpPr>
          <xdr:spPr>
            <a:xfrm>
              <a:off x="1074638" y="163478"/>
              <a:ext cx="2019871" cy="0"/>
            </a:xfrm>
            <a:prstGeom prst="straightConnector1">
              <a:avLst/>
            </a:prstGeom>
            <a:grpFill/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" name="Straight Arrow Connector 41">
              <a:extLst>
                <a:ext uri="{FF2B5EF4-FFF2-40B4-BE49-F238E27FC236}">
                  <a16:creationId xmlns:a16="http://schemas.microsoft.com/office/drawing/2014/main" id="{88FFEA4B-74AF-BAB7-FDA0-462AC7D4DC05}"/>
                </a:ext>
              </a:extLst>
            </xdr:cNvPr>
            <xdr:cNvCxnSpPr/>
          </xdr:nvCxnSpPr>
          <xdr:spPr>
            <a:xfrm>
              <a:off x="1067923" y="383561"/>
              <a:ext cx="2019871" cy="0"/>
            </a:xfrm>
            <a:prstGeom prst="straightConnector1">
              <a:avLst/>
            </a:prstGeom>
            <a:grpFill/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" name="Straight Arrow Connector 42">
              <a:extLst>
                <a:ext uri="{FF2B5EF4-FFF2-40B4-BE49-F238E27FC236}">
                  <a16:creationId xmlns:a16="http://schemas.microsoft.com/office/drawing/2014/main" id="{56589A83-C05E-46D7-AD83-9252FECF145F}"/>
                </a:ext>
              </a:extLst>
            </xdr:cNvPr>
            <xdr:cNvCxnSpPr/>
          </xdr:nvCxnSpPr>
          <xdr:spPr>
            <a:xfrm>
              <a:off x="1078306" y="672170"/>
              <a:ext cx="2019871" cy="0"/>
            </a:xfrm>
            <a:prstGeom prst="straightConnector1">
              <a:avLst/>
            </a:prstGeom>
            <a:grpFill/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Straight Arrow Connector 43">
              <a:extLst>
                <a:ext uri="{FF2B5EF4-FFF2-40B4-BE49-F238E27FC236}">
                  <a16:creationId xmlns:a16="http://schemas.microsoft.com/office/drawing/2014/main" id="{2296465B-168D-4868-ED40-62637CE405E5}"/>
                </a:ext>
              </a:extLst>
            </xdr:cNvPr>
            <xdr:cNvCxnSpPr/>
          </xdr:nvCxnSpPr>
          <xdr:spPr>
            <a:xfrm>
              <a:off x="1082466" y="1027510"/>
              <a:ext cx="2019871" cy="0"/>
            </a:xfrm>
            <a:prstGeom prst="straightConnector1">
              <a:avLst/>
            </a:prstGeom>
            <a:grpFill/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5" name="TextBox 149">
              <a:extLst>
                <a:ext uri="{FF2B5EF4-FFF2-40B4-BE49-F238E27FC236}">
                  <a16:creationId xmlns:a16="http://schemas.microsoft.com/office/drawing/2014/main" id="{3AB498D0-79D9-793F-7FC1-CF1327657B30}"/>
                </a:ext>
              </a:extLst>
            </xdr:cNvPr>
            <xdr:cNvSpPr txBox="1"/>
          </xdr:nvSpPr>
          <xdr:spPr>
            <a:xfrm>
              <a:off x="1740258" y="-14161"/>
              <a:ext cx="656298" cy="235567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46" name="TextBox 150">
              <a:extLst>
                <a:ext uri="{FF2B5EF4-FFF2-40B4-BE49-F238E27FC236}">
                  <a16:creationId xmlns:a16="http://schemas.microsoft.com/office/drawing/2014/main" id="{7B773E42-3010-54E2-68BA-BDA79E01432B}"/>
                </a:ext>
              </a:extLst>
            </xdr:cNvPr>
            <xdr:cNvSpPr txBox="1"/>
          </xdr:nvSpPr>
          <xdr:spPr>
            <a:xfrm>
              <a:off x="1755308" y="275563"/>
              <a:ext cx="657417" cy="225005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47" name="TextBox 151">
              <a:extLst>
                <a:ext uri="{FF2B5EF4-FFF2-40B4-BE49-F238E27FC236}">
                  <a16:creationId xmlns:a16="http://schemas.microsoft.com/office/drawing/2014/main" id="{E6ADBD05-C914-8A9D-15DE-7432134B48EB}"/>
                </a:ext>
              </a:extLst>
            </xdr:cNvPr>
            <xdr:cNvSpPr txBox="1"/>
          </xdr:nvSpPr>
          <xdr:spPr>
            <a:xfrm>
              <a:off x="1752865" y="550316"/>
              <a:ext cx="659283" cy="243776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48" name="TextBox 152">
              <a:extLst>
                <a:ext uri="{FF2B5EF4-FFF2-40B4-BE49-F238E27FC236}">
                  <a16:creationId xmlns:a16="http://schemas.microsoft.com/office/drawing/2014/main" id="{5E08241F-7FEA-9D9B-EF87-DACDD8481A01}"/>
                </a:ext>
              </a:extLst>
            </xdr:cNvPr>
            <xdr:cNvSpPr txBox="1"/>
          </xdr:nvSpPr>
          <xdr:spPr>
            <a:xfrm>
              <a:off x="1627946" y="871026"/>
              <a:ext cx="1064877" cy="252661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49" name="Straight Arrow Connector 48">
              <a:extLst>
                <a:ext uri="{FF2B5EF4-FFF2-40B4-BE49-F238E27FC236}">
                  <a16:creationId xmlns:a16="http://schemas.microsoft.com/office/drawing/2014/main" id="{86755027-FB5A-A077-AB0E-AF3BE9B946B2}"/>
                </a:ext>
              </a:extLst>
            </xdr:cNvPr>
            <xdr:cNvCxnSpPr/>
          </xdr:nvCxnSpPr>
          <xdr:spPr>
            <a:xfrm>
              <a:off x="3258203" y="177050"/>
              <a:ext cx="2540992" cy="27623"/>
            </a:xfrm>
            <a:prstGeom prst="straightConnector1">
              <a:avLst/>
            </a:prstGeom>
            <a:grpFill/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" name="Straight Arrow Connector 49">
              <a:extLst>
                <a:ext uri="{FF2B5EF4-FFF2-40B4-BE49-F238E27FC236}">
                  <a16:creationId xmlns:a16="http://schemas.microsoft.com/office/drawing/2014/main" id="{77249803-E633-CDED-728F-1066F0EA3D6F}"/>
                </a:ext>
              </a:extLst>
            </xdr:cNvPr>
            <xdr:cNvCxnSpPr/>
          </xdr:nvCxnSpPr>
          <xdr:spPr>
            <a:xfrm flipV="1">
              <a:off x="3253155" y="384536"/>
              <a:ext cx="2545140" cy="3560"/>
            </a:xfrm>
            <a:prstGeom prst="straightConnector1">
              <a:avLst/>
            </a:prstGeom>
            <a:grpFill/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1" name="Straight Arrow Connector 50">
              <a:extLst>
                <a:ext uri="{FF2B5EF4-FFF2-40B4-BE49-F238E27FC236}">
                  <a16:creationId xmlns:a16="http://schemas.microsoft.com/office/drawing/2014/main" id="{6DEB8395-28A9-910C-7A96-92FE15E5D5C5}"/>
                </a:ext>
              </a:extLst>
            </xdr:cNvPr>
            <xdr:cNvCxnSpPr/>
          </xdr:nvCxnSpPr>
          <xdr:spPr>
            <a:xfrm flipV="1">
              <a:off x="5963797" y="388108"/>
              <a:ext cx="2326927" cy="7439"/>
            </a:xfrm>
            <a:prstGeom prst="straightConnector1">
              <a:avLst/>
            </a:prstGeom>
            <a:grpFill/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Straight Arrow Connector 51">
              <a:extLst>
                <a:ext uri="{FF2B5EF4-FFF2-40B4-BE49-F238E27FC236}">
                  <a16:creationId xmlns:a16="http://schemas.microsoft.com/office/drawing/2014/main" id="{C84878EF-45F2-DF8A-DFBD-952038AC5D15}"/>
                </a:ext>
              </a:extLst>
            </xdr:cNvPr>
            <xdr:cNvCxnSpPr/>
          </xdr:nvCxnSpPr>
          <xdr:spPr>
            <a:xfrm>
              <a:off x="3229695" y="663059"/>
              <a:ext cx="2575704" cy="19307"/>
            </a:xfrm>
            <a:prstGeom prst="straightConnector1">
              <a:avLst/>
            </a:prstGeom>
            <a:grpFill/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3" name="Straight Arrow Connector 52">
              <a:extLst>
                <a:ext uri="{FF2B5EF4-FFF2-40B4-BE49-F238E27FC236}">
                  <a16:creationId xmlns:a16="http://schemas.microsoft.com/office/drawing/2014/main" id="{C26A54BB-5985-64EA-8173-A8FB8F30D8EF}"/>
                </a:ext>
              </a:extLst>
            </xdr:cNvPr>
            <xdr:cNvCxnSpPr/>
          </xdr:nvCxnSpPr>
          <xdr:spPr>
            <a:xfrm>
              <a:off x="5966282" y="677556"/>
              <a:ext cx="2332938" cy="495"/>
            </a:xfrm>
            <a:prstGeom prst="straightConnector1">
              <a:avLst/>
            </a:prstGeom>
            <a:grpFill/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4" name="Straight Arrow Connector 53">
              <a:extLst>
                <a:ext uri="{FF2B5EF4-FFF2-40B4-BE49-F238E27FC236}">
                  <a16:creationId xmlns:a16="http://schemas.microsoft.com/office/drawing/2014/main" id="{058B443F-BAC8-BB57-A2BF-CBDCA6B18486}"/>
                </a:ext>
              </a:extLst>
            </xdr:cNvPr>
            <xdr:cNvCxnSpPr/>
          </xdr:nvCxnSpPr>
          <xdr:spPr>
            <a:xfrm>
              <a:off x="3231316" y="1026686"/>
              <a:ext cx="2586744" cy="20319"/>
            </a:xfrm>
            <a:prstGeom prst="straightConnector1">
              <a:avLst/>
            </a:prstGeom>
            <a:grpFill/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5" name="Straight Arrow Connector 54">
              <a:extLst>
                <a:ext uri="{FF2B5EF4-FFF2-40B4-BE49-F238E27FC236}">
                  <a16:creationId xmlns:a16="http://schemas.microsoft.com/office/drawing/2014/main" id="{FE5A64C9-C5A6-F219-6BA8-299772923A15}"/>
                </a:ext>
              </a:extLst>
            </xdr:cNvPr>
            <xdr:cNvCxnSpPr/>
          </xdr:nvCxnSpPr>
          <xdr:spPr>
            <a:xfrm>
              <a:off x="5983967" y="1047205"/>
              <a:ext cx="2315253" cy="4965"/>
            </a:xfrm>
            <a:prstGeom prst="straightConnector1">
              <a:avLst/>
            </a:prstGeom>
            <a:grpFill/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6" name="TextBox 160">
              <a:extLst>
                <a:ext uri="{FF2B5EF4-FFF2-40B4-BE49-F238E27FC236}">
                  <a16:creationId xmlns:a16="http://schemas.microsoft.com/office/drawing/2014/main" id="{60917BBA-6612-408C-F9B6-422BB484AFE2}"/>
                </a:ext>
              </a:extLst>
            </xdr:cNvPr>
            <xdr:cNvSpPr txBox="1"/>
          </xdr:nvSpPr>
          <xdr:spPr>
            <a:xfrm>
              <a:off x="3837482" y="10082"/>
              <a:ext cx="1482209" cy="275443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57" name="TextBox 161">
              <a:extLst>
                <a:ext uri="{FF2B5EF4-FFF2-40B4-BE49-F238E27FC236}">
                  <a16:creationId xmlns:a16="http://schemas.microsoft.com/office/drawing/2014/main" id="{F32DBE75-641B-199B-0320-F5766AE7436A}"/>
                </a:ext>
              </a:extLst>
            </xdr:cNvPr>
            <xdr:cNvSpPr txBox="1"/>
          </xdr:nvSpPr>
          <xdr:spPr>
            <a:xfrm>
              <a:off x="6622030" y="30798"/>
              <a:ext cx="1437748" cy="246579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58" name="TextBox 162">
              <a:extLst>
                <a:ext uri="{FF2B5EF4-FFF2-40B4-BE49-F238E27FC236}">
                  <a16:creationId xmlns:a16="http://schemas.microsoft.com/office/drawing/2014/main" id="{B6A37772-D95B-9173-7334-B66530E3F2EE}"/>
                </a:ext>
              </a:extLst>
            </xdr:cNvPr>
            <xdr:cNvSpPr txBox="1"/>
          </xdr:nvSpPr>
          <xdr:spPr>
            <a:xfrm>
              <a:off x="4142282" y="297230"/>
              <a:ext cx="659284" cy="247411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59" name="TextBox 163">
              <a:extLst>
                <a:ext uri="{FF2B5EF4-FFF2-40B4-BE49-F238E27FC236}">
                  <a16:creationId xmlns:a16="http://schemas.microsoft.com/office/drawing/2014/main" id="{FEAD6FA8-A01D-AAC2-D409-B166C0A2CCC2}"/>
                </a:ext>
              </a:extLst>
            </xdr:cNvPr>
            <xdr:cNvSpPr txBox="1"/>
          </xdr:nvSpPr>
          <xdr:spPr>
            <a:xfrm>
              <a:off x="6906809" y="308599"/>
              <a:ext cx="659283" cy="247411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60" name="TextBox 164">
              <a:extLst>
                <a:ext uri="{FF2B5EF4-FFF2-40B4-BE49-F238E27FC236}">
                  <a16:creationId xmlns:a16="http://schemas.microsoft.com/office/drawing/2014/main" id="{F2EA9CF1-9698-9AC6-3AFE-8AE973AB9337}"/>
                </a:ext>
              </a:extLst>
            </xdr:cNvPr>
            <xdr:cNvSpPr txBox="1"/>
          </xdr:nvSpPr>
          <xdr:spPr>
            <a:xfrm>
              <a:off x="4127991" y="565519"/>
              <a:ext cx="659284" cy="242964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61" name="TextBox 165">
              <a:extLst>
                <a:ext uri="{FF2B5EF4-FFF2-40B4-BE49-F238E27FC236}">
                  <a16:creationId xmlns:a16="http://schemas.microsoft.com/office/drawing/2014/main" id="{0776B99C-F1C7-F67C-03CB-86FA352C5BD6}"/>
                </a:ext>
              </a:extLst>
            </xdr:cNvPr>
            <xdr:cNvSpPr txBox="1"/>
          </xdr:nvSpPr>
          <xdr:spPr>
            <a:xfrm>
              <a:off x="6908649" y="580167"/>
              <a:ext cx="659283" cy="242964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62" name="TextBox 166">
              <a:extLst>
                <a:ext uri="{FF2B5EF4-FFF2-40B4-BE49-F238E27FC236}">
                  <a16:creationId xmlns:a16="http://schemas.microsoft.com/office/drawing/2014/main" id="{545912B9-544D-19F4-988C-9584D77C7371}"/>
                </a:ext>
              </a:extLst>
            </xdr:cNvPr>
            <xdr:cNvSpPr txBox="1"/>
          </xdr:nvSpPr>
          <xdr:spPr>
            <a:xfrm>
              <a:off x="3983366" y="924842"/>
              <a:ext cx="1069571" cy="252661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63" name="TextBox 167">
              <a:extLst>
                <a:ext uri="{FF2B5EF4-FFF2-40B4-BE49-F238E27FC236}">
                  <a16:creationId xmlns:a16="http://schemas.microsoft.com/office/drawing/2014/main" id="{AF2E1E17-0387-1F79-3AC8-C24E971F5A99}"/>
                </a:ext>
              </a:extLst>
            </xdr:cNvPr>
            <xdr:cNvSpPr txBox="1"/>
          </xdr:nvSpPr>
          <xdr:spPr>
            <a:xfrm>
              <a:off x="6722571" y="901514"/>
              <a:ext cx="1169906" cy="265545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</xdr:wsDr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0.00408</cdr:x>
      <cdr:y>0.0039</cdr:y>
    </cdr:from>
    <cdr:to>
      <cdr:x>0.99964</cdr:x>
      <cdr:y>0.06736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FE14DDCC-C16C-18BE-CAE8-9D003DC3E779}"/>
            </a:ext>
          </a:extLst>
        </cdr:cNvPr>
        <cdr:cNvSpPr txBox="1"/>
      </cdr:nvSpPr>
      <cdr:spPr>
        <a:xfrm xmlns:a="http://schemas.openxmlformats.org/drawingml/2006/main">
          <a:off x="50512" y="33422"/>
          <a:ext cx="12325588" cy="543092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(Ni+V) on Catalyst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0.00408</cdr:x>
      <cdr:y>0</cdr:y>
    </cdr:from>
    <cdr:to>
      <cdr:x>0.99964</cdr:x>
      <cdr:y>0.06305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A8AD2DD2-67A2-EE43-CE8E-9F3F6FA79938}"/>
            </a:ext>
          </a:extLst>
        </cdr:cNvPr>
        <cdr:cNvSpPr txBox="1"/>
      </cdr:nvSpPr>
      <cdr:spPr>
        <a:xfrm xmlns:a="http://schemas.openxmlformats.org/drawingml/2006/main">
          <a:off x="50671" y="0"/>
          <a:ext cx="12364277" cy="51474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(Ni+V) 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327121</xdr:colOff>
      <xdr:row>1</xdr:row>
      <xdr:rowOff>57948</xdr:rowOff>
    </xdr:from>
    <xdr:to>
      <xdr:col>18</xdr:col>
      <xdr:colOff>355984</xdr:colOff>
      <xdr:row>38</xdr:row>
      <xdr:rowOff>57728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DF70E7-3155-4996-9B86-BF76900D1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341923</xdr:colOff>
      <xdr:row>1</xdr:row>
      <xdr:rowOff>78154</xdr:rowOff>
    </xdr:from>
    <xdr:to>
      <xdr:col>18</xdr:col>
      <xdr:colOff>365291</xdr:colOff>
      <xdr:row>3</xdr:row>
      <xdr:rowOff>10826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BEEB66-ECAB-774E-3D89-7CBD2BDBF2A8}"/>
            </a:ext>
          </a:extLst>
        </xdr:cNvPr>
        <xdr:cNvSpPr txBox="1"/>
      </xdr:nvSpPr>
      <xdr:spPr>
        <a:xfrm>
          <a:off x="341923" y="263769"/>
          <a:ext cx="11101676" cy="303903"/>
        </a:xfrm>
        <a:prstGeom prst="rect">
          <a:avLst/>
        </a:prstGeom>
        <a:solidFill>
          <a:srgbClr val="CCFFCC"/>
        </a:solidFill>
      </xdr:spPr>
      <xdr:txBody>
        <a:bodyPr wrap="square" rtlCol="0" anchor="ctr" anchorCtr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2400" b="1">
              <a:effectLst/>
            </a:rPr>
            <a:t>MCR</a:t>
          </a:r>
          <a:r>
            <a:rPr lang="en-US" sz="2400" b="1" baseline="0">
              <a:effectLst/>
            </a:rPr>
            <a:t> 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xdr:txBody>
    </xdr:sp>
    <xdr:clientData/>
  </xdr:twoCellAnchor>
  <xdr:twoCellAnchor>
    <xdr:from>
      <xdr:col>0</xdr:col>
      <xdr:colOff>341925</xdr:colOff>
      <xdr:row>3</xdr:row>
      <xdr:rowOff>39076</xdr:rowOff>
    </xdr:from>
    <xdr:to>
      <xdr:col>16</xdr:col>
      <xdr:colOff>9770</xdr:colOff>
      <xdr:row>10</xdr:row>
      <xdr:rowOff>34275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44E6C829-1003-49C6-A15F-0CF934136CA4}"/>
            </a:ext>
          </a:extLst>
        </xdr:cNvPr>
        <xdr:cNvGrpSpPr/>
      </xdr:nvGrpSpPr>
      <xdr:grpSpPr>
        <a:xfrm>
          <a:off x="341925" y="610576"/>
          <a:ext cx="9046307" cy="1328699"/>
          <a:chOff x="0" y="-12120"/>
          <a:chExt cx="6624199" cy="1019925"/>
        </a:xfrm>
      </xdr:grpSpPr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A3550DCA-B15C-1154-1D41-A96F09C86F2F}"/>
              </a:ext>
            </a:extLst>
          </xdr:cNvPr>
          <xdr:cNvCxnSpPr/>
        </xdr:nvCxnSpPr>
        <xdr:spPr>
          <a:xfrm>
            <a:off x="4829070" y="161283"/>
            <a:ext cx="1795129" cy="2785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D7B835A3-0EF8-90FC-2777-7BA0CC8436D6}"/>
              </a:ext>
            </a:extLst>
          </xdr:cNvPr>
          <xdr:cNvGrpSpPr/>
        </xdr:nvGrpSpPr>
        <xdr:grpSpPr>
          <a:xfrm>
            <a:off x="0" y="-12120"/>
            <a:ext cx="6624197" cy="1019925"/>
            <a:chOff x="0" y="-14161"/>
            <a:chExt cx="8574500" cy="1191664"/>
          </a:xfrm>
        </xdr:grpSpPr>
        <xdr:sp macro="" textlink="">
          <xdr:nvSpPr>
            <xdr:cNvPr id="7" name="TextBox 141">
              <a:extLst>
                <a:ext uri="{FF2B5EF4-FFF2-40B4-BE49-F238E27FC236}">
                  <a16:creationId xmlns:a16="http://schemas.microsoft.com/office/drawing/2014/main" id="{23606B00-DE60-BEF6-ED81-8F5B2FCACD35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8" name="TextBox 142">
              <a:extLst>
                <a:ext uri="{FF2B5EF4-FFF2-40B4-BE49-F238E27FC236}">
                  <a16:creationId xmlns:a16="http://schemas.microsoft.com/office/drawing/2014/main" id="{0638E081-CF46-911A-E693-A075619B9C51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9" name="TextBox 143">
              <a:extLst>
                <a:ext uri="{FF2B5EF4-FFF2-40B4-BE49-F238E27FC236}">
                  <a16:creationId xmlns:a16="http://schemas.microsoft.com/office/drawing/2014/main" id="{C132EC22-FA04-F7C1-7920-397450C13E1C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0" name="TextBox 144">
              <a:extLst>
                <a:ext uri="{FF2B5EF4-FFF2-40B4-BE49-F238E27FC236}">
                  <a16:creationId xmlns:a16="http://schemas.microsoft.com/office/drawing/2014/main" id="{1B556C6D-6AB0-B620-4E35-A00CA291B8E9}"/>
                </a:ext>
              </a:extLst>
            </xdr:cNvPr>
            <xdr:cNvSpPr txBox="1"/>
          </xdr:nvSpPr>
          <xdr:spPr>
            <a:xfrm>
              <a:off x="559" y="86703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xdr:txBody>
        </xdr:sp>
        <xdr:cxnSp macro="">
          <xdr:nvCxnSpPr>
            <xdr:cNvPr id="11" name="Straight Arrow Connector 10">
              <a:extLst>
                <a:ext uri="{FF2B5EF4-FFF2-40B4-BE49-F238E27FC236}">
                  <a16:creationId xmlns:a16="http://schemas.microsoft.com/office/drawing/2014/main" id="{AF3F12DC-2280-8E60-D81E-9A57870784E1}"/>
                </a:ext>
              </a:extLst>
            </xdr:cNvPr>
            <xdr:cNvCxnSpPr/>
          </xdr:nvCxnSpPr>
          <xdr:spPr>
            <a:xfrm>
              <a:off x="1074638" y="163478"/>
              <a:ext cx="2019871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Straight Arrow Connector 11">
              <a:extLst>
                <a:ext uri="{FF2B5EF4-FFF2-40B4-BE49-F238E27FC236}">
                  <a16:creationId xmlns:a16="http://schemas.microsoft.com/office/drawing/2014/main" id="{56B42347-97A7-0BA4-FAAA-C9AC4B50368B}"/>
                </a:ext>
              </a:extLst>
            </xdr:cNvPr>
            <xdr:cNvCxnSpPr/>
          </xdr:nvCxnSpPr>
          <xdr:spPr>
            <a:xfrm>
              <a:off x="1067923" y="383561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Straight Arrow Connector 12">
              <a:extLst>
                <a:ext uri="{FF2B5EF4-FFF2-40B4-BE49-F238E27FC236}">
                  <a16:creationId xmlns:a16="http://schemas.microsoft.com/office/drawing/2014/main" id="{98010596-32CE-C649-C520-5BC4FF65C0F0}"/>
                </a:ext>
              </a:extLst>
            </xdr:cNvPr>
            <xdr:cNvCxnSpPr/>
          </xdr:nvCxnSpPr>
          <xdr:spPr>
            <a:xfrm>
              <a:off x="1078306" y="672170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Straight Arrow Connector 13">
              <a:extLst>
                <a:ext uri="{FF2B5EF4-FFF2-40B4-BE49-F238E27FC236}">
                  <a16:creationId xmlns:a16="http://schemas.microsoft.com/office/drawing/2014/main" id="{2751ED04-7E4E-7BCD-7463-0BA4D224B3BE}"/>
                </a:ext>
              </a:extLst>
            </xdr:cNvPr>
            <xdr:cNvCxnSpPr/>
          </xdr:nvCxnSpPr>
          <xdr:spPr>
            <a:xfrm>
              <a:off x="1082466" y="1027510"/>
              <a:ext cx="2019871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" name="TextBox 149">
              <a:extLst>
                <a:ext uri="{FF2B5EF4-FFF2-40B4-BE49-F238E27FC236}">
                  <a16:creationId xmlns:a16="http://schemas.microsoft.com/office/drawing/2014/main" id="{742A57D6-53DB-D454-C0CA-6CD1498B6150}"/>
                </a:ext>
              </a:extLst>
            </xdr:cNvPr>
            <xdr:cNvSpPr txBox="1"/>
          </xdr:nvSpPr>
          <xdr:spPr>
            <a:xfrm>
              <a:off x="1740258" y="-14161"/>
              <a:ext cx="656298" cy="2355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6" name="TextBox 150">
              <a:extLst>
                <a:ext uri="{FF2B5EF4-FFF2-40B4-BE49-F238E27FC236}">
                  <a16:creationId xmlns:a16="http://schemas.microsoft.com/office/drawing/2014/main" id="{8ABBECC0-A529-026F-B4B7-F2EAE77D7D4D}"/>
                </a:ext>
              </a:extLst>
            </xdr:cNvPr>
            <xdr:cNvSpPr txBox="1"/>
          </xdr:nvSpPr>
          <xdr:spPr>
            <a:xfrm>
              <a:off x="1755308" y="275563"/>
              <a:ext cx="657417" cy="2250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7" name="TextBox 151">
              <a:extLst>
                <a:ext uri="{FF2B5EF4-FFF2-40B4-BE49-F238E27FC236}">
                  <a16:creationId xmlns:a16="http://schemas.microsoft.com/office/drawing/2014/main" id="{BA318203-9D4B-E4BE-668C-BE51F670CD0F}"/>
                </a:ext>
              </a:extLst>
            </xdr:cNvPr>
            <xdr:cNvSpPr txBox="1"/>
          </xdr:nvSpPr>
          <xdr:spPr>
            <a:xfrm>
              <a:off x="1752865" y="550316"/>
              <a:ext cx="659283" cy="24377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18" name="TextBox 152">
              <a:extLst>
                <a:ext uri="{FF2B5EF4-FFF2-40B4-BE49-F238E27FC236}">
                  <a16:creationId xmlns:a16="http://schemas.microsoft.com/office/drawing/2014/main" id="{EA3C7EBE-76BE-4E25-3B3F-92E1FCAAE9AC}"/>
                </a:ext>
              </a:extLst>
            </xdr:cNvPr>
            <xdr:cNvSpPr txBox="1"/>
          </xdr:nvSpPr>
          <xdr:spPr>
            <a:xfrm>
              <a:off x="1627946" y="871026"/>
              <a:ext cx="1064877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E6BDDB52-40BE-BE8A-22F2-85AC9DF2E84A}"/>
                </a:ext>
              </a:extLst>
            </xdr:cNvPr>
            <xdr:cNvCxnSpPr/>
          </xdr:nvCxnSpPr>
          <xdr:spPr>
            <a:xfrm>
              <a:off x="3374196" y="179495"/>
              <a:ext cx="2700277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05BE369F-31FB-D9ED-163D-375C1B78E034}"/>
                </a:ext>
              </a:extLst>
            </xdr:cNvPr>
            <xdr:cNvCxnSpPr/>
          </xdr:nvCxnSpPr>
          <xdr:spPr>
            <a:xfrm>
              <a:off x="3366331" y="353787"/>
              <a:ext cx="2707244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2054F94C-9D80-A6AE-3DCD-EC100AF3F338}"/>
                </a:ext>
              </a:extLst>
            </xdr:cNvPr>
            <xdr:cNvCxnSpPr/>
          </xdr:nvCxnSpPr>
          <xdr:spPr>
            <a:xfrm flipV="1">
              <a:off x="6239077" y="388108"/>
              <a:ext cx="2326927" cy="7439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E42C1F42-A2AC-0A67-8AA4-4890401C6123}"/>
                </a:ext>
              </a:extLst>
            </xdr:cNvPr>
            <xdr:cNvCxnSpPr/>
          </xdr:nvCxnSpPr>
          <xdr:spPr>
            <a:xfrm>
              <a:off x="3350601" y="644272"/>
              <a:ext cx="2730077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706D66A6-5F3D-1DF3-EDF9-37DAE2B30955}"/>
                </a:ext>
              </a:extLst>
            </xdr:cNvPr>
            <xdr:cNvCxnSpPr/>
          </xdr:nvCxnSpPr>
          <xdr:spPr>
            <a:xfrm>
              <a:off x="6241560" y="677556"/>
              <a:ext cx="2332938" cy="495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01F366D3-4B8F-3FED-5FEB-8AA79704D6FF}"/>
                </a:ext>
              </a:extLst>
            </xdr:cNvPr>
            <xdr:cNvCxnSpPr/>
          </xdr:nvCxnSpPr>
          <xdr:spPr>
            <a:xfrm>
              <a:off x="3366331" y="1012220"/>
              <a:ext cx="2727007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2B8AF35C-9893-0139-AA78-77294DE41D05}"/>
                </a:ext>
              </a:extLst>
            </xdr:cNvPr>
            <xdr:cNvCxnSpPr/>
          </xdr:nvCxnSpPr>
          <xdr:spPr>
            <a:xfrm>
              <a:off x="6259247" y="1047205"/>
              <a:ext cx="2315253" cy="4965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" name="TextBox 160">
              <a:extLst>
                <a:ext uri="{FF2B5EF4-FFF2-40B4-BE49-F238E27FC236}">
                  <a16:creationId xmlns:a16="http://schemas.microsoft.com/office/drawing/2014/main" id="{EA2D399E-0CCA-5616-BFB1-9CDCE27AE46C}"/>
                </a:ext>
              </a:extLst>
            </xdr:cNvPr>
            <xdr:cNvSpPr txBox="1"/>
          </xdr:nvSpPr>
          <xdr:spPr>
            <a:xfrm>
              <a:off x="3837482" y="10082"/>
              <a:ext cx="1482209" cy="27544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27" name="TextBox 161">
              <a:extLst>
                <a:ext uri="{FF2B5EF4-FFF2-40B4-BE49-F238E27FC236}">
                  <a16:creationId xmlns:a16="http://schemas.microsoft.com/office/drawing/2014/main" id="{B0BD5AA2-07FB-FF84-A432-22D4C71CB315}"/>
                </a:ext>
              </a:extLst>
            </xdr:cNvPr>
            <xdr:cNvSpPr txBox="1"/>
          </xdr:nvSpPr>
          <xdr:spPr>
            <a:xfrm>
              <a:off x="6622030" y="30798"/>
              <a:ext cx="1437748" cy="24657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28" name="TextBox 162">
              <a:extLst>
                <a:ext uri="{FF2B5EF4-FFF2-40B4-BE49-F238E27FC236}">
                  <a16:creationId xmlns:a16="http://schemas.microsoft.com/office/drawing/2014/main" id="{ED924498-20F1-DE01-35BC-12D7EA9FAE0B}"/>
                </a:ext>
              </a:extLst>
            </xdr:cNvPr>
            <xdr:cNvSpPr txBox="1"/>
          </xdr:nvSpPr>
          <xdr:spPr>
            <a:xfrm>
              <a:off x="4142282" y="297230"/>
              <a:ext cx="659284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29" name="TextBox 163">
              <a:extLst>
                <a:ext uri="{FF2B5EF4-FFF2-40B4-BE49-F238E27FC236}">
                  <a16:creationId xmlns:a16="http://schemas.microsoft.com/office/drawing/2014/main" id="{3BEFF271-4761-69F6-13F3-3168B5B2DF22}"/>
                </a:ext>
              </a:extLst>
            </xdr:cNvPr>
            <xdr:cNvSpPr txBox="1"/>
          </xdr:nvSpPr>
          <xdr:spPr>
            <a:xfrm>
              <a:off x="6906809" y="308599"/>
              <a:ext cx="659283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30" name="TextBox 164">
              <a:extLst>
                <a:ext uri="{FF2B5EF4-FFF2-40B4-BE49-F238E27FC236}">
                  <a16:creationId xmlns:a16="http://schemas.microsoft.com/office/drawing/2014/main" id="{D73D5A07-4284-1A8F-994B-EA3A80D8042A}"/>
                </a:ext>
              </a:extLst>
            </xdr:cNvPr>
            <xdr:cNvSpPr txBox="1"/>
          </xdr:nvSpPr>
          <xdr:spPr>
            <a:xfrm>
              <a:off x="4127991" y="565519"/>
              <a:ext cx="659284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1" name="TextBox 165">
              <a:extLst>
                <a:ext uri="{FF2B5EF4-FFF2-40B4-BE49-F238E27FC236}">
                  <a16:creationId xmlns:a16="http://schemas.microsoft.com/office/drawing/2014/main" id="{64866510-73D6-3D62-2C68-2BEFE8ED3295}"/>
                </a:ext>
              </a:extLst>
            </xdr:cNvPr>
            <xdr:cNvSpPr txBox="1"/>
          </xdr:nvSpPr>
          <xdr:spPr>
            <a:xfrm>
              <a:off x="6908649" y="580167"/>
              <a:ext cx="659283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2" name="TextBox 166">
              <a:extLst>
                <a:ext uri="{FF2B5EF4-FFF2-40B4-BE49-F238E27FC236}">
                  <a16:creationId xmlns:a16="http://schemas.microsoft.com/office/drawing/2014/main" id="{ED58121D-AD58-CF20-EB0E-9E98388FFFD4}"/>
                </a:ext>
              </a:extLst>
            </xdr:cNvPr>
            <xdr:cNvSpPr txBox="1"/>
          </xdr:nvSpPr>
          <xdr:spPr>
            <a:xfrm>
              <a:off x="3983366" y="924842"/>
              <a:ext cx="1069571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33" name="TextBox 167">
              <a:extLst>
                <a:ext uri="{FF2B5EF4-FFF2-40B4-BE49-F238E27FC236}">
                  <a16:creationId xmlns:a16="http://schemas.microsoft.com/office/drawing/2014/main" id="{0DFE72D7-B86C-8A7F-0964-1D025E202D62}"/>
                </a:ext>
              </a:extLst>
            </xdr:cNvPr>
            <xdr:cNvSpPr txBox="1"/>
          </xdr:nvSpPr>
          <xdr:spPr>
            <a:xfrm>
              <a:off x="6722571" y="901514"/>
              <a:ext cx="1169906" cy="26554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40704</xdr:colOff>
      <xdr:row>2</xdr:row>
      <xdr:rowOff>144729</xdr:rowOff>
    </xdr:from>
    <xdr:to>
      <xdr:col>22</xdr:col>
      <xdr:colOff>84227</xdr:colOff>
      <xdr:row>42</xdr:row>
      <xdr:rowOff>84408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131EB-E91E-4BFA-9CE7-7073DB9C1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0.0522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131782" cy="330480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LTO Split</a:t>
          </a:r>
        </a:p>
      </cdr:txBody>
    </cdr:sp>
  </cdr:relSizeAnchor>
  <cdr:relSizeAnchor xmlns:cdr="http://schemas.openxmlformats.org/drawingml/2006/chartDrawing">
    <cdr:from>
      <cdr:x>0.07091</cdr:x>
      <cdr:y>0.04396</cdr:y>
    </cdr:from>
    <cdr:to>
      <cdr:x>0.87953</cdr:x>
      <cdr:y>0.20795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11595391-CD8E-4AD7-9B26-587DB7020486}"/>
            </a:ext>
          </a:extLst>
        </cdr:cNvPr>
        <cdr:cNvGrpSpPr/>
      </cdr:nvGrpSpPr>
      <cdr:grpSpPr>
        <a:xfrm xmlns:a="http://schemas.openxmlformats.org/drawingml/2006/main">
          <a:off x="869006" y="319440"/>
          <a:ext cx="9909688" cy="1191650"/>
          <a:chOff x="0" y="0"/>
          <a:chExt cx="5113392" cy="938836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1B5390E4-EA97-AE53-8D62-008576BEF3DC}"/>
              </a:ext>
            </a:extLst>
          </cdr:cNvPr>
          <cdr:cNvCxnSpPr/>
        </cdr:nvCxnSpPr>
        <cdr:spPr>
          <a:xfrm xmlns:a="http://schemas.openxmlformats.org/drawingml/2006/main">
            <a:off x="2879810" y="136613"/>
            <a:ext cx="1070523" cy="2194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CBB4DF75-6BD7-F36B-4AB2-9D15F98A6E23}"/>
              </a:ext>
            </a:extLst>
          </cdr:cNvPr>
          <cdr:cNvGrpSpPr/>
        </cdr:nvGrpSpPr>
        <cdr:grpSpPr>
          <a:xfrm xmlns:a="http://schemas.openxmlformats.org/drawingml/2006/main">
            <a:off x="0" y="0"/>
            <a:ext cx="5113392" cy="938836"/>
            <a:chOff x="0" y="0"/>
            <a:chExt cx="11099002" cy="1392319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cdr:cNvPr>
            <cdr:cNvSpPr txBox="1"/>
          </cdr:nvSpPr>
          <cdr:spPr>
            <a:xfrm xmlns:a="http://schemas.openxmlformats.org/drawingml/2006/main">
              <a:off x="15647" y="49518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cdr:cNvPr>
            <cdr:cNvSpPr txBox="1"/>
          </cdr:nvSpPr>
          <cdr:spPr>
            <a:xfrm xmlns:a="http://schemas.openxmlformats.org/drawingml/2006/main">
              <a:off x="0" y="338507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cdr:cNvPr>
            <cdr:cNvSpPr txBox="1"/>
          </cdr:nvSpPr>
          <cdr:spPr>
            <a:xfrm xmlns:a="http://schemas.openxmlformats.org/drawingml/2006/main">
              <a:off x="9412" y="645352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cdr:cNvPr>
            <cdr:cNvSpPr txBox="1"/>
          </cdr:nvSpPr>
          <cdr:spPr>
            <a:xfrm xmlns:a="http://schemas.openxmlformats.org/drawingml/2006/main">
              <a:off x="724" y="1029574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cdr:cNvPr>
            <cdr:cNvCxnSpPr/>
          </cdr:nvCxnSpPr>
          <cdr:spPr>
            <a:xfrm xmlns:a="http://schemas.openxmlformats.org/drawingml/2006/main">
              <a:off x="1391033" y="207550"/>
              <a:ext cx="261456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cdr:cNvPr>
            <cdr:cNvCxnSpPr/>
          </cdr:nvCxnSpPr>
          <cdr:spPr>
            <a:xfrm xmlns:a="http://schemas.openxmlformats.org/drawingml/2006/main">
              <a:off x="1382341" y="464691"/>
              <a:ext cx="261456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cdr:cNvPr>
            <cdr:cNvCxnSpPr/>
          </cdr:nvCxnSpPr>
          <cdr:spPr>
            <a:xfrm xmlns:a="http://schemas.openxmlformats.org/drawingml/2006/main">
              <a:off x="1395781" y="801897"/>
              <a:ext cx="261456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cdr:cNvPr>
            <cdr:cNvCxnSpPr/>
          </cdr:nvCxnSpPr>
          <cdr:spPr>
            <a:xfrm xmlns:a="http://schemas.openxmlformats.org/drawingml/2006/main">
              <a:off x="1401166" y="1217070"/>
              <a:ext cx="261456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cdr:cNvPr>
            <cdr:cNvSpPr txBox="1"/>
          </cdr:nvSpPr>
          <cdr:spPr>
            <a:xfrm xmlns:a="http://schemas.openxmlformats.org/drawingml/2006/main">
              <a:off x="2252625" y="0"/>
              <a:ext cx="849525" cy="2752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cdr:cNvPr>
            <cdr:cNvSpPr txBox="1"/>
          </cdr:nvSpPr>
          <cdr:spPr>
            <a:xfrm xmlns:a="http://schemas.openxmlformats.org/drawingml/2006/main">
              <a:off x="2272106" y="338508"/>
              <a:ext cx="850974" cy="26289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cdr:cNvPr>
            <cdr:cNvSpPr txBox="1"/>
          </cdr:nvSpPr>
          <cdr:spPr>
            <a:xfrm xmlns:a="http://schemas.openxmlformats.org/drawingml/2006/main">
              <a:off x="2268943" y="659525"/>
              <a:ext cx="853389" cy="28482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cdr:cNvPr>
            <cdr:cNvSpPr txBox="1"/>
          </cdr:nvSpPr>
          <cdr:spPr>
            <a:xfrm xmlns:a="http://schemas.openxmlformats.org/drawingml/2006/main">
              <a:off x="2107246" y="1034237"/>
              <a:ext cx="1378398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cdr:cNvPr>
            <cdr:cNvCxnSpPr/>
          </cdr:nvCxnSpPr>
          <cdr:spPr>
            <a:xfrm xmlns:a="http://schemas.openxmlformats.org/drawingml/2006/main">
              <a:off x="4367626" y="226264"/>
              <a:ext cx="3495292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cdr:cNvPr>
            <cdr:cNvCxnSpPr/>
          </cdr:nvCxnSpPr>
          <cdr:spPr>
            <a:xfrm xmlns:a="http://schemas.openxmlformats.org/drawingml/2006/main">
              <a:off x="4357446" y="429904"/>
              <a:ext cx="3504310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cdr:cNvPr>
            <cdr:cNvCxnSpPr/>
          </cdr:nvCxnSpPr>
          <cdr:spPr>
            <a:xfrm xmlns:a="http://schemas.openxmlformats.org/drawingml/2006/main" flipV="1">
              <a:off x="8075985" y="470004"/>
              <a:ext cx="3012021" cy="8692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cdr:cNvPr>
            <cdr:cNvCxnSpPr/>
          </cdr:nvCxnSpPr>
          <cdr:spPr>
            <a:xfrm xmlns:a="http://schemas.openxmlformats.org/drawingml/2006/main">
              <a:off x="4337084" y="769301"/>
              <a:ext cx="3533866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cdr:cNvPr>
            <cdr:cNvCxnSpPr/>
          </cdr:nvCxnSpPr>
          <cdr:spPr>
            <a:xfrm xmlns:a="http://schemas.openxmlformats.org/drawingml/2006/main">
              <a:off x="8079198" y="808190"/>
              <a:ext cx="3019801" cy="57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cdr:cNvPr>
            <cdr:cNvCxnSpPr/>
          </cdr:nvCxnSpPr>
          <cdr:spPr>
            <a:xfrm xmlns:a="http://schemas.openxmlformats.org/drawingml/2006/main">
              <a:off x="4357445" y="1199205"/>
              <a:ext cx="3529892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cdr:cNvPr>
            <cdr:cNvCxnSpPr/>
          </cdr:nvCxnSpPr>
          <cdr:spPr>
            <a:xfrm xmlns:a="http://schemas.openxmlformats.org/drawingml/2006/main">
              <a:off x="8102093" y="1240081"/>
              <a:ext cx="2996909" cy="580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cdr:cNvPr>
            <cdr:cNvSpPr txBox="1"/>
          </cdr:nvSpPr>
          <cdr:spPr>
            <a:xfrm xmlns:a="http://schemas.openxmlformats.org/drawingml/2006/main">
              <a:off x="4967312" y="28325"/>
              <a:ext cx="1918601" cy="321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cdr:cNvPr>
            <cdr:cNvSpPr txBox="1"/>
          </cdr:nvSpPr>
          <cdr:spPr>
            <a:xfrm xmlns:a="http://schemas.openxmlformats.org/drawingml/2006/main">
              <a:off x="8571686" y="52529"/>
              <a:ext cx="1861049" cy="28809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cdr:cNvPr>
            <cdr:cNvSpPr txBox="1"/>
          </cdr:nvSpPr>
          <cdr:spPr>
            <a:xfrm xmlns:a="http://schemas.openxmlformats.org/drawingml/2006/main">
              <a:off x="5361852" y="363824"/>
              <a:ext cx="853390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cdr:cNvPr>
            <cdr:cNvSpPr txBox="1"/>
          </cdr:nvSpPr>
          <cdr:spPr>
            <a:xfrm xmlns:a="http://schemas.openxmlformats.org/drawingml/2006/main">
              <a:off x="8940310" y="377107"/>
              <a:ext cx="853389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cdr:cNvPr>
            <cdr:cNvSpPr txBox="1"/>
          </cdr:nvSpPr>
          <cdr:spPr>
            <a:xfrm xmlns:a="http://schemas.openxmlformats.org/drawingml/2006/main">
              <a:off x="5343353" y="677288"/>
              <a:ext cx="853390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cdr:cNvPr>
            <cdr:cNvSpPr txBox="1"/>
          </cdr:nvSpPr>
          <cdr:spPr>
            <a:xfrm xmlns:a="http://schemas.openxmlformats.org/drawingml/2006/main">
              <a:off x="8942692" y="694402"/>
              <a:ext cx="853389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cdr:cNvPr>
            <cdr:cNvSpPr txBox="1"/>
          </cdr:nvSpPr>
          <cdr:spPr>
            <a:xfrm xmlns:a="http://schemas.openxmlformats.org/drawingml/2006/main">
              <a:off x="5156148" y="1097114"/>
              <a:ext cx="1384474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cdr:cNvPr>
            <cdr:cNvSpPr txBox="1"/>
          </cdr:nvSpPr>
          <cdr:spPr>
            <a:xfrm xmlns:a="http://schemas.openxmlformats.org/drawingml/2006/main">
              <a:off x="8701829" y="1069858"/>
              <a:ext cx="1514349" cy="31025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24947</xdr:colOff>
      <xdr:row>4</xdr:row>
      <xdr:rowOff>296333</xdr:rowOff>
    </xdr:from>
    <xdr:to>
      <xdr:col>12</xdr:col>
      <xdr:colOff>0</xdr:colOff>
      <xdr:row>4</xdr:row>
      <xdr:rowOff>671285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36F382-5EE4-4D84-BD9B-3E9AEE659204}"/>
            </a:ext>
          </a:extLst>
        </xdr:cNvPr>
        <xdr:cNvSpPr txBox="1"/>
      </xdr:nvSpPr>
      <xdr:spPr>
        <a:xfrm>
          <a:off x="3537767" y="1698413"/>
          <a:ext cx="8913313" cy="374952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alpha val="84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600">
              <a:effectLst/>
            </a:rPr>
            <a:t>LIMS: -</a:t>
          </a:r>
          <a:endParaRPr lang="th-TH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507973</xdr:colOff>
      <xdr:row>5</xdr:row>
      <xdr:rowOff>331333</xdr:rowOff>
    </xdr:from>
    <xdr:to>
      <xdr:col>38</xdr:col>
      <xdr:colOff>559325</xdr:colOff>
      <xdr:row>26</xdr:row>
      <xdr:rowOff>100785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FC93DD-6A5F-460E-AA3E-6F60A8F3D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482057</xdr:colOff>
      <xdr:row>27</xdr:row>
      <xdr:rowOff>175218</xdr:rowOff>
    </xdr:from>
    <xdr:to>
      <xdr:col>33</xdr:col>
      <xdr:colOff>140174</xdr:colOff>
      <xdr:row>40</xdr:row>
      <xdr:rowOff>146694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F637B3-0FBB-1942-41FF-1E9BD8DD3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158512</xdr:colOff>
      <xdr:row>27</xdr:row>
      <xdr:rowOff>175219</xdr:rowOff>
    </xdr:from>
    <xdr:to>
      <xdr:col>41</xdr:col>
      <xdr:colOff>318654</xdr:colOff>
      <xdr:row>40</xdr:row>
      <xdr:rowOff>146695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FF7E14-7115-3747-BC97-03C64CB11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561283</xdr:colOff>
      <xdr:row>40</xdr:row>
      <xdr:rowOff>153448</xdr:rowOff>
    </xdr:from>
    <xdr:to>
      <xdr:col>33</xdr:col>
      <xdr:colOff>155369</xdr:colOff>
      <xdr:row>53</xdr:row>
      <xdr:rowOff>124924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D1A1EB-954A-44D4-838B-B5E0C2381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135256</xdr:colOff>
      <xdr:row>40</xdr:row>
      <xdr:rowOff>139594</xdr:rowOff>
    </xdr:from>
    <xdr:to>
      <xdr:col>41</xdr:col>
      <xdr:colOff>319892</xdr:colOff>
      <xdr:row>53</xdr:row>
      <xdr:rowOff>111070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31D2F7-3C98-A250-6647-421F8F8C3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51</xdr:col>
      <xdr:colOff>476249</xdr:colOff>
      <xdr:row>6</xdr:row>
      <xdr:rowOff>11339</xdr:rowOff>
    </xdr:from>
    <xdr:to>
      <xdr:col>68</xdr:col>
      <xdr:colOff>175157</xdr:colOff>
      <xdr:row>31</xdr:row>
      <xdr:rowOff>178193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2BB12AB-DF6C-4540-9444-0F4482F16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808182</xdr:colOff>
      <xdr:row>56</xdr:row>
      <xdr:rowOff>202045</xdr:rowOff>
    </xdr:from>
    <xdr:to>
      <xdr:col>39</xdr:col>
      <xdr:colOff>224534</xdr:colOff>
      <xdr:row>82</xdr:row>
      <xdr:rowOff>43656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2053B17-3FCB-4962-84E0-A35CE85CE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10</xdr:row>
      <xdr:rowOff>117475</xdr:rowOff>
    </xdr:from>
    <xdr:to>
      <xdr:col>10</xdr:col>
      <xdr:colOff>582293</xdr:colOff>
      <xdr:row>33</xdr:row>
      <xdr:rowOff>181377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7EBA7C-FAE8-4246-8494-A3C56765A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3550" y="2200275"/>
          <a:ext cx="4182743" cy="431840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278567</xdr:colOff>
      <xdr:row>0</xdr:row>
      <xdr:rowOff>169756</xdr:rowOff>
    </xdr:from>
    <xdr:to>
      <xdr:col>22</xdr:col>
      <xdr:colOff>233827</xdr:colOff>
      <xdr:row>28</xdr:row>
      <xdr:rowOff>179524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15A225-5EF9-B250-3288-7206D8495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34</xdr:col>
      <xdr:colOff>565520</xdr:colOff>
      <xdr:row>29</xdr:row>
      <xdr:rowOff>9768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9D63C4-4330-4DF1-AAC8-C3482941D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433918</xdr:colOff>
      <xdr:row>1</xdr:row>
      <xdr:rowOff>158750</xdr:rowOff>
    </xdr:from>
    <xdr:to>
      <xdr:col>15</xdr:col>
      <xdr:colOff>63421</xdr:colOff>
      <xdr:row>24</xdr:row>
      <xdr:rowOff>1619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14274E-9174-D6CC-6422-E3CA516C5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0054" y="346364"/>
          <a:ext cx="8469069" cy="4157982"/>
        </a:xfrm>
        <a:prstGeom prst="rect">
          <a:avLst/>
        </a:prstGeom>
      </xdr:spPr>
    </xdr:pic>
    <xdr:clientData/>
  </xdr:twoCellAnchor>
  <xdr:twoCellAnchor editAs="oneCell">
    <xdr:from>
      <xdr:col>16</xdr:col>
      <xdr:colOff>603250</xdr:colOff>
      <xdr:row>1</xdr:row>
      <xdr:rowOff>116416</xdr:rowOff>
    </xdr:from>
    <xdr:to>
      <xdr:col>29</xdr:col>
      <xdr:colOff>347226</xdr:colOff>
      <xdr:row>26</xdr:row>
      <xdr:rowOff>18500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066B9A-F5E3-2545-EE9E-0B25C7464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24583" y="296333"/>
          <a:ext cx="7723809" cy="44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137856</xdr:colOff>
      <xdr:row>25</xdr:row>
      <xdr:rowOff>78934</xdr:rowOff>
    </xdr:from>
    <xdr:to>
      <xdr:col>14</xdr:col>
      <xdr:colOff>26957</xdr:colOff>
      <xdr:row>33</xdr:row>
      <xdr:rowOff>92311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F0E3CF-937A-7524-DAEE-A6173A091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65247" y="4772412"/>
          <a:ext cx="496493" cy="1515290"/>
        </a:xfrm>
        <a:prstGeom prst="rect">
          <a:avLst/>
        </a:prstGeom>
      </xdr:spPr>
    </xdr:pic>
    <xdr:clientData/>
  </xdr:twoCellAnchor>
  <xdr:twoCellAnchor>
    <xdr:from>
      <xdr:col>13</xdr:col>
      <xdr:colOff>461819</xdr:colOff>
      <xdr:row>28</xdr:row>
      <xdr:rowOff>0</xdr:rowOff>
    </xdr:from>
    <xdr:to>
      <xdr:col>15</xdr:col>
      <xdr:colOff>14432</xdr:colOff>
      <xdr:row>28</xdr:row>
      <xdr:rowOff>129886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16153FC-0748-D31C-CBEA-6221DA9D5051}"/>
            </a:ext>
          </a:extLst>
        </xdr:cNvPr>
        <xdr:cNvCxnSpPr/>
      </xdr:nvCxnSpPr>
      <xdr:spPr>
        <a:xfrm flipH="1" flipV="1">
          <a:off x="8442614" y="5253182"/>
          <a:ext cx="764886" cy="12988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591705</xdr:colOff>
      <xdr:row>27</xdr:row>
      <xdr:rowOff>72159</xdr:rowOff>
    </xdr:from>
    <xdr:to>
      <xdr:col>13</xdr:col>
      <xdr:colOff>368012</xdr:colOff>
      <xdr:row>27</xdr:row>
      <xdr:rowOff>79375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36B6FCB-BDF9-ED5C-BF09-9129B4E43174}"/>
            </a:ext>
          </a:extLst>
        </xdr:cNvPr>
        <xdr:cNvCxnSpPr/>
      </xdr:nvCxnSpPr>
      <xdr:spPr>
        <a:xfrm flipV="1">
          <a:off x="7966364" y="5137727"/>
          <a:ext cx="382443" cy="721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122670</xdr:colOff>
      <xdr:row>10</xdr:row>
      <xdr:rowOff>173182</xdr:rowOff>
    </xdr:from>
    <xdr:to>
      <xdr:col>11</xdr:col>
      <xdr:colOff>288636</xdr:colOff>
      <xdr:row>13</xdr:row>
      <xdr:rowOff>50512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2BCAB75-F604-2163-5B50-3D6A5137E9E5}"/>
            </a:ext>
          </a:extLst>
        </xdr:cNvPr>
        <xdr:cNvSpPr/>
      </xdr:nvSpPr>
      <xdr:spPr>
        <a:xfrm>
          <a:off x="4365625" y="2049318"/>
          <a:ext cx="2691534" cy="440171"/>
        </a:xfrm>
        <a:prstGeom prst="rect">
          <a:avLst/>
        </a:prstGeom>
        <a:solidFill>
          <a:schemeClr val="accent2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469034</xdr:colOff>
      <xdr:row>10</xdr:row>
      <xdr:rowOff>21647</xdr:rowOff>
    </xdr:from>
    <xdr:to>
      <xdr:col>7</xdr:col>
      <xdr:colOff>129886</xdr:colOff>
      <xdr:row>14</xdr:row>
      <xdr:rowOff>7215</xdr:rowOff>
    </xdr:to>
    <xdr:sp macro="" textlink="">
      <xdr:nvSpPr>
        <xdr:cNvPr id="12" name="Trapezoid 11">
          <a:extLst>
            <a:ext uri="{FF2B5EF4-FFF2-40B4-BE49-F238E27FC236}">
              <a16:creationId xmlns:a16="http://schemas.microsoft.com/office/drawing/2014/main" id="{C3AD234C-1145-62BD-DC3C-63B4A964DB7C}"/>
            </a:ext>
          </a:extLst>
        </xdr:cNvPr>
        <xdr:cNvSpPr/>
      </xdr:nvSpPr>
      <xdr:spPr>
        <a:xfrm rot="5400000">
          <a:off x="3871335" y="2132300"/>
          <a:ext cx="736023" cy="266989"/>
        </a:xfrm>
        <a:prstGeom prst="trapezoid">
          <a:avLst>
            <a:gd name="adj" fmla="val 62838"/>
          </a:avLst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423334</xdr:colOff>
      <xdr:row>36</xdr:row>
      <xdr:rowOff>22280</xdr:rowOff>
    </xdr:from>
    <xdr:to>
      <xdr:col>16</xdr:col>
      <xdr:colOff>1027</xdr:colOff>
      <xdr:row>38</xdr:row>
      <xdr:rowOff>33984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04A5CA8-9C42-7A8B-9158-2E32B571E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65088" y="6840175"/>
          <a:ext cx="2028571" cy="390476"/>
        </a:xfrm>
        <a:prstGeom prst="rect">
          <a:avLst/>
        </a:prstGeom>
      </xdr:spPr>
    </xdr:pic>
    <xdr:clientData/>
  </xdr:twoCellAnchor>
  <xdr:twoCellAnchor>
    <xdr:from>
      <xdr:col>6</xdr:col>
      <xdr:colOff>21896</xdr:colOff>
      <xdr:row>10</xdr:row>
      <xdr:rowOff>10948</xdr:rowOff>
    </xdr:from>
    <xdr:to>
      <xdr:col>6</xdr:col>
      <xdr:colOff>459827</xdr:colOff>
      <xdr:row>14</xdr:row>
      <xdr:rowOff>10948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3EF946D-CC85-A798-1DDA-8B32CBFE520A}"/>
            </a:ext>
          </a:extLst>
        </xdr:cNvPr>
        <xdr:cNvSpPr/>
      </xdr:nvSpPr>
      <xdr:spPr>
        <a:xfrm>
          <a:off x="3700517" y="1872155"/>
          <a:ext cx="437931" cy="74448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18</xdr:col>
      <xdr:colOff>585611</xdr:colOff>
      <xdr:row>29</xdr:row>
      <xdr:rowOff>156449</xdr:rowOff>
    </xdr:from>
    <xdr:to>
      <xdr:col>27</xdr:col>
      <xdr:colOff>162947</xdr:colOff>
      <xdr:row>67</xdr:row>
      <xdr:rowOff>107208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1B7CAAF-A558-29BB-30A5-540E4B034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r="10940"/>
        <a:stretch/>
      </xdr:blipFill>
      <xdr:spPr>
        <a:xfrm>
          <a:off x="11619886" y="5494130"/>
          <a:ext cx="5043857" cy="6944962"/>
        </a:xfrm>
        <a:prstGeom prst="rect">
          <a:avLst/>
        </a:prstGeom>
      </xdr:spPr>
    </xdr:pic>
    <xdr:clientData/>
  </xdr:twoCellAnchor>
  <xdr:twoCellAnchor editAs="oneCell">
    <xdr:from>
      <xdr:col>30</xdr:col>
      <xdr:colOff>249837</xdr:colOff>
      <xdr:row>1</xdr:row>
      <xdr:rowOff>62459</xdr:rowOff>
    </xdr:from>
    <xdr:to>
      <xdr:col>33</xdr:col>
      <xdr:colOff>41640</xdr:colOff>
      <xdr:row>23</xdr:row>
      <xdr:rowOff>647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2247125-4952-5E30-92DB-2949F068B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18771" y="249836"/>
          <a:ext cx="1634344" cy="40604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haioilgroup0-my.sharepoint.com/personal/nikomc_thaioilgroup_com/Documents/Desktop/RHCU%20Pilot%20Unit/MEBU%20Acceptance%20Test/TBP%20CUTPOINTS%20ART%20&amp;%20TOP.xlsx" TargetMode="External"/><Relationship Id="rId1" Type="http://schemas.openxmlformats.org/officeDocument/2006/relationships/externalLinkPath" Target="https://thaioilgroup0-my.sharepoint.com/personal/nikomc_thaioilgroup_com/Documents/Desktop/RHCU%20Pilot%20Unit/MEBU%20Acceptance%20Test/TBP%20CUTPOINTS%20ART%20&amp;%20T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 TBP"/>
      <sheetName val="HPS Curve"/>
      <sheetName val="HPS Curve (2)"/>
      <sheetName val="TBP CURVE"/>
      <sheetName val="Cut Points Yield"/>
    </sheetNames>
    <sheetDataSet>
      <sheetData sheetId="0">
        <row r="2">
          <cell r="B2" t="str">
            <v>VR Feed ART</v>
          </cell>
          <cell r="H2" t="str">
            <v>d2 ART</v>
          </cell>
          <cell r="I2" t="str">
            <v>d3 ART</v>
          </cell>
          <cell r="J2" t="str">
            <v>d4 ART</v>
          </cell>
          <cell r="K2" t="str">
            <v>d5 ART</v>
          </cell>
          <cell r="L2" t="str">
            <v>d6 ART</v>
          </cell>
          <cell r="M2" t="str">
            <v>d7 ART</v>
          </cell>
          <cell r="AA2" t="str">
            <v>d2 TOP</v>
          </cell>
          <cell r="AB2" t="str">
            <v>d3 TOP</v>
          </cell>
          <cell r="AC2" t="str">
            <v>d4 TOP</v>
          </cell>
          <cell r="AD2" t="str">
            <v>d5 TOP</v>
          </cell>
          <cell r="AE2" t="str">
            <v>d6 TOP</v>
          </cell>
          <cell r="AF2" t="str">
            <v>d7 TOP</v>
          </cell>
          <cell r="AK2" t="str">
            <v>VR Feed TOP</v>
          </cell>
        </row>
        <row r="3">
          <cell r="A3">
            <v>0</v>
          </cell>
          <cell r="B3">
            <v>361</v>
          </cell>
          <cell r="H3">
            <v>108.67</v>
          </cell>
          <cell r="I3">
            <v>113.56</v>
          </cell>
          <cell r="J3">
            <v>112.17</v>
          </cell>
          <cell r="K3">
            <v>100.06</v>
          </cell>
          <cell r="L3">
            <v>99.94</v>
          </cell>
          <cell r="M3">
            <v>113.11</v>
          </cell>
          <cell r="U3">
            <v>69</v>
          </cell>
          <cell r="AA3">
            <v>94.4</v>
          </cell>
          <cell r="AB3">
            <v>97.26</v>
          </cell>
          <cell r="AC3">
            <v>95.55</v>
          </cell>
          <cell r="AD3">
            <v>99.9</v>
          </cell>
          <cell r="AE3">
            <v>162</v>
          </cell>
          <cell r="AK3">
            <v>375.98</v>
          </cell>
        </row>
        <row r="4">
          <cell r="A4">
            <v>1</v>
          </cell>
          <cell r="B4">
            <v>389</v>
          </cell>
          <cell r="H4">
            <v>131.38999999999999</v>
          </cell>
          <cell r="I4">
            <v>136.61000000000001</v>
          </cell>
          <cell r="J4">
            <v>135.22</v>
          </cell>
          <cell r="K4">
            <v>133.5</v>
          </cell>
          <cell r="L4">
            <v>134.78</v>
          </cell>
          <cell r="M4">
            <v>139.5</v>
          </cell>
          <cell r="U4">
            <v>76</v>
          </cell>
          <cell r="AA4">
            <v>119.27</v>
          </cell>
          <cell r="AB4">
            <v>122.15</v>
          </cell>
          <cell r="AC4">
            <v>121.33</v>
          </cell>
          <cell r="AD4">
            <v>127.72</v>
          </cell>
          <cell r="AE4">
            <v>172.5</v>
          </cell>
          <cell r="AK4">
            <v>402</v>
          </cell>
        </row>
        <row r="5">
          <cell r="A5">
            <v>2</v>
          </cell>
          <cell r="B5">
            <v>425</v>
          </cell>
          <cell r="H5">
            <v>159.06</v>
          </cell>
          <cell r="I5">
            <v>164</v>
          </cell>
          <cell r="J5">
            <v>164</v>
          </cell>
          <cell r="K5">
            <v>161.56</v>
          </cell>
          <cell r="L5">
            <v>163.72</v>
          </cell>
          <cell r="M5">
            <v>165.28</v>
          </cell>
          <cell r="U5">
            <v>122</v>
          </cell>
          <cell r="AA5">
            <v>148.83000000000001</v>
          </cell>
          <cell r="AB5">
            <v>154.13999999999999</v>
          </cell>
          <cell r="AC5">
            <v>152.68</v>
          </cell>
          <cell r="AD5">
            <v>158.43</v>
          </cell>
          <cell r="AE5">
            <v>190.5</v>
          </cell>
          <cell r="AK5">
            <v>422</v>
          </cell>
        </row>
        <row r="6">
          <cell r="A6">
            <v>3</v>
          </cell>
          <cell r="B6">
            <v>463</v>
          </cell>
          <cell r="H6">
            <v>178.83</v>
          </cell>
          <cell r="I6">
            <v>183</v>
          </cell>
          <cell r="J6">
            <v>183.39</v>
          </cell>
          <cell r="K6">
            <v>180.83</v>
          </cell>
          <cell r="L6">
            <v>182.67</v>
          </cell>
          <cell r="M6">
            <v>185.39</v>
          </cell>
          <cell r="U6">
            <v>147</v>
          </cell>
          <cell r="AA6">
            <v>170.14</v>
          </cell>
          <cell r="AB6">
            <v>173.44</v>
          </cell>
          <cell r="AC6">
            <v>172.57</v>
          </cell>
          <cell r="AD6">
            <v>177.31</v>
          </cell>
          <cell r="AE6">
            <v>204.5</v>
          </cell>
          <cell r="AK6">
            <v>462</v>
          </cell>
        </row>
        <row r="7">
          <cell r="A7">
            <v>4</v>
          </cell>
          <cell r="B7">
            <v>493</v>
          </cell>
          <cell r="H7">
            <v>195.72</v>
          </cell>
          <cell r="I7">
            <v>197.83</v>
          </cell>
          <cell r="J7">
            <v>198.72</v>
          </cell>
          <cell r="K7">
            <v>196.83</v>
          </cell>
          <cell r="L7">
            <v>197.72</v>
          </cell>
          <cell r="M7">
            <v>200.56</v>
          </cell>
          <cell r="U7">
            <v>164</v>
          </cell>
          <cell r="AA7">
            <v>185.01</v>
          </cell>
          <cell r="AB7">
            <v>190.25</v>
          </cell>
          <cell r="AC7">
            <v>189.45</v>
          </cell>
          <cell r="AD7">
            <v>194.12</v>
          </cell>
          <cell r="AE7">
            <v>217.5</v>
          </cell>
          <cell r="AK7">
            <v>489</v>
          </cell>
        </row>
        <row r="8">
          <cell r="A8">
            <v>5</v>
          </cell>
          <cell r="B8">
            <v>511</v>
          </cell>
          <cell r="H8">
            <v>208.33</v>
          </cell>
          <cell r="I8">
            <v>211.94</v>
          </cell>
          <cell r="J8">
            <v>213.5</v>
          </cell>
          <cell r="K8">
            <v>210.22</v>
          </cell>
          <cell r="L8">
            <v>212.39</v>
          </cell>
          <cell r="M8">
            <v>215.17</v>
          </cell>
          <cell r="U8">
            <v>177</v>
          </cell>
          <cell r="AA8">
            <v>199.54</v>
          </cell>
          <cell r="AB8">
            <v>203.42</v>
          </cell>
          <cell r="AC8">
            <v>203.23</v>
          </cell>
          <cell r="AD8">
            <v>207.74</v>
          </cell>
          <cell r="AE8">
            <v>229</v>
          </cell>
          <cell r="AK8">
            <v>510</v>
          </cell>
        </row>
        <row r="9">
          <cell r="A9">
            <v>6</v>
          </cell>
          <cell r="B9">
            <v>523</v>
          </cell>
          <cell r="H9">
            <v>219.11</v>
          </cell>
          <cell r="I9">
            <v>221.94</v>
          </cell>
          <cell r="J9">
            <v>223.67</v>
          </cell>
          <cell r="K9">
            <v>221.17</v>
          </cell>
          <cell r="L9">
            <v>222.67</v>
          </cell>
          <cell r="M9">
            <v>225.67</v>
          </cell>
          <cell r="U9">
            <v>192</v>
          </cell>
          <cell r="AA9">
            <v>211.85</v>
          </cell>
          <cell r="AB9">
            <v>215.86</v>
          </cell>
          <cell r="AC9">
            <v>215.87</v>
          </cell>
          <cell r="AD9">
            <v>220.1</v>
          </cell>
          <cell r="AE9">
            <v>240</v>
          </cell>
          <cell r="AK9">
            <v>518</v>
          </cell>
        </row>
        <row r="10">
          <cell r="A10">
            <v>7</v>
          </cell>
          <cell r="B10">
            <v>532</v>
          </cell>
          <cell r="H10">
            <v>229.72</v>
          </cell>
          <cell r="I10">
            <v>233.22</v>
          </cell>
          <cell r="J10">
            <v>234.28</v>
          </cell>
          <cell r="K10">
            <v>232.39</v>
          </cell>
          <cell r="L10">
            <v>234.22</v>
          </cell>
          <cell r="M10">
            <v>235.11</v>
          </cell>
          <cell r="U10">
            <v>202</v>
          </cell>
          <cell r="AA10">
            <v>222.31</v>
          </cell>
          <cell r="AB10">
            <v>226.8</v>
          </cell>
          <cell r="AC10">
            <v>226.97</v>
          </cell>
          <cell r="AD10">
            <v>231.49</v>
          </cell>
          <cell r="AE10">
            <v>251</v>
          </cell>
          <cell r="AK10">
            <v>525</v>
          </cell>
        </row>
        <row r="11">
          <cell r="A11">
            <v>8</v>
          </cell>
          <cell r="B11">
            <v>538</v>
          </cell>
          <cell r="H11">
            <v>239.28</v>
          </cell>
          <cell r="I11">
            <v>242.44</v>
          </cell>
          <cell r="J11">
            <v>244.39</v>
          </cell>
          <cell r="K11">
            <v>241.78</v>
          </cell>
          <cell r="L11">
            <v>244.11</v>
          </cell>
          <cell r="M11">
            <v>245.89</v>
          </cell>
          <cell r="U11">
            <v>213</v>
          </cell>
          <cell r="AA11">
            <v>232.37</v>
          </cell>
          <cell r="AB11">
            <v>236.7</v>
          </cell>
          <cell r="AC11">
            <v>237.07</v>
          </cell>
          <cell r="AD11">
            <v>241.99</v>
          </cell>
          <cell r="AE11">
            <v>260</v>
          </cell>
          <cell r="AK11">
            <v>533</v>
          </cell>
        </row>
        <row r="12">
          <cell r="A12">
            <v>9</v>
          </cell>
          <cell r="B12">
            <v>543</v>
          </cell>
          <cell r="H12">
            <v>249</v>
          </cell>
          <cell r="I12">
            <v>252.28</v>
          </cell>
          <cell r="J12">
            <v>253.5</v>
          </cell>
          <cell r="K12">
            <v>252.56</v>
          </cell>
          <cell r="L12">
            <v>253.61</v>
          </cell>
          <cell r="M12">
            <v>254.78</v>
          </cell>
          <cell r="U12">
            <v>223</v>
          </cell>
          <cell r="AA12">
            <v>242.16</v>
          </cell>
          <cell r="AB12">
            <v>247.63</v>
          </cell>
          <cell r="AC12">
            <v>248.03</v>
          </cell>
          <cell r="AD12">
            <v>251.72</v>
          </cell>
          <cell r="AE12">
            <v>269</v>
          </cell>
          <cell r="AK12">
            <v>538</v>
          </cell>
        </row>
        <row r="13">
          <cell r="A13">
            <v>10</v>
          </cell>
          <cell r="B13">
            <v>548</v>
          </cell>
          <cell r="H13">
            <v>256.94</v>
          </cell>
          <cell r="I13">
            <v>259.77999999999997</v>
          </cell>
          <cell r="J13">
            <v>262.06</v>
          </cell>
          <cell r="K13">
            <v>260.33</v>
          </cell>
          <cell r="L13">
            <v>262.22000000000003</v>
          </cell>
          <cell r="M13">
            <v>263.89</v>
          </cell>
          <cell r="U13">
            <v>232</v>
          </cell>
          <cell r="AA13">
            <v>251.34</v>
          </cell>
          <cell r="AB13">
            <v>256.39</v>
          </cell>
          <cell r="AC13">
            <v>256.95999999999998</v>
          </cell>
          <cell r="AD13">
            <v>260.95999999999998</v>
          </cell>
          <cell r="AE13">
            <v>277.5</v>
          </cell>
          <cell r="AK13">
            <v>543.5</v>
          </cell>
        </row>
        <row r="14">
          <cell r="A14">
            <v>11</v>
          </cell>
          <cell r="B14">
            <v>553</v>
          </cell>
          <cell r="H14">
            <v>265.44</v>
          </cell>
          <cell r="I14">
            <v>268.33</v>
          </cell>
          <cell r="J14">
            <v>270.22000000000003</v>
          </cell>
          <cell r="K14">
            <v>269.5</v>
          </cell>
          <cell r="L14">
            <v>270.56</v>
          </cell>
          <cell r="M14">
            <v>271.33</v>
          </cell>
          <cell r="U14">
            <v>241</v>
          </cell>
          <cell r="AA14">
            <v>259.73</v>
          </cell>
          <cell r="AB14">
            <v>265.20999999999998</v>
          </cell>
          <cell r="AC14">
            <v>265.81</v>
          </cell>
          <cell r="AD14">
            <v>269.26</v>
          </cell>
          <cell r="AE14">
            <v>285.5</v>
          </cell>
          <cell r="AK14">
            <v>548</v>
          </cell>
        </row>
        <row r="15">
          <cell r="A15">
            <v>12</v>
          </cell>
          <cell r="B15">
            <v>557</v>
          </cell>
          <cell r="H15">
            <v>272.44</v>
          </cell>
          <cell r="I15">
            <v>275.22000000000003</v>
          </cell>
          <cell r="J15">
            <v>277.72000000000003</v>
          </cell>
          <cell r="K15">
            <v>276.61</v>
          </cell>
          <cell r="L15">
            <v>278.44</v>
          </cell>
          <cell r="M15">
            <v>279.61</v>
          </cell>
          <cell r="U15">
            <v>250</v>
          </cell>
          <cell r="AA15">
            <v>268.02</v>
          </cell>
          <cell r="AB15">
            <v>273.23</v>
          </cell>
          <cell r="AC15">
            <v>273.86</v>
          </cell>
          <cell r="AD15">
            <v>277.69</v>
          </cell>
          <cell r="AE15">
            <v>293</v>
          </cell>
          <cell r="AK15">
            <v>553</v>
          </cell>
        </row>
        <row r="16">
          <cell r="A16">
            <v>13</v>
          </cell>
          <cell r="B16">
            <v>560</v>
          </cell>
          <cell r="H16">
            <v>280.17</v>
          </cell>
          <cell r="I16">
            <v>283.11</v>
          </cell>
          <cell r="J16">
            <v>285.83</v>
          </cell>
          <cell r="K16">
            <v>285.33</v>
          </cell>
          <cell r="L16">
            <v>286.5</v>
          </cell>
          <cell r="M16">
            <v>286.89</v>
          </cell>
          <cell r="U16">
            <v>257</v>
          </cell>
          <cell r="AA16">
            <v>275.39999999999998</v>
          </cell>
          <cell r="AB16">
            <v>281.17</v>
          </cell>
          <cell r="AC16">
            <v>281.76</v>
          </cell>
          <cell r="AD16">
            <v>285.26</v>
          </cell>
          <cell r="AE16">
            <v>300</v>
          </cell>
          <cell r="AK16">
            <v>556</v>
          </cell>
        </row>
        <row r="17">
          <cell r="A17">
            <v>14</v>
          </cell>
          <cell r="B17">
            <v>564</v>
          </cell>
          <cell r="H17">
            <v>287.17</v>
          </cell>
          <cell r="I17">
            <v>289.39</v>
          </cell>
          <cell r="J17">
            <v>292</v>
          </cell>
          <cell r="K17">
            <v>291.61</v>
          </cell>
          <cell r="L17">
            <v>293.27999999999997</v>
          </cell>
          <cell r="M17">
            <v>293.94</v>
          </cell>
          <cell r="U17">
            <v>265</v>
          </cell>
          <cell r="AA17">
            <v>282.79000000000002</v>
          </cell>
          <cell r="AB17">
            <v>288.68</v>
          </cell>
          <cell r="AC17">
            <v>289.23</v>
          </cell>
          <cell r="AD17">
            <v>292.89999999999998</v>
          </cell>
          <cell r="AE17">
            <v>307</v>
          </cell>
          <cell r="AK17">
            <v>560</v>
          </cell>
        </row>
        <row r="18">
          <cell r="A18">
            <v>15</v>
          </cell>
          <cell r="B18">
            <v>567</v>
          </cell>
          <cell r="H18">
            <v>293.67</v>
          </cell>
          <cell r="I18">
            <v>296</v>
          </cell>
          <cell r="J18">
            <v>298.94</v>
          </cell>
          <cell r="K18">
            <v>298.72000000000003</v>
          </cell>
          <cell r="L18">
            <v>300.5</v>
          </cell>
          <cell r="M18">
            <v>300.89</v>
          </cell>
          <cell r="U18">
            <v>273</v>
          </cell>
          <cell r="AA18">
            <v>289.75</v>
          </cell>
          <cell r="AB18">
            <v>295.58</v>
          </cell>
          <cell r="AC18">
            <v>296.06</v>
          </cell>
          <cell r="AD18">
            <v>299.66000000000003</v>
          </cell>
          <cell r="AE18">
            <v>313.5</v>
          </cell>
          <cell r="AK18">
            <v>563</v>
          </cell>
        </row>
        <row r="19">
          <cell r="A19">
            <v>16</v>
          </cell>
          <cell r="B19">
            <v>570</v>
          </cell>
          <cell r="H19">
            <v>300.27999999999997</v>
          </cell>
          <cell r="I19">
            <v>302.11</v>
          </cell>
          <cell r="J19">
            <v>304.61</v>
          </cell>
          <cell r="K19">
            <v>304.61</v>
          </cell>
          <cell r="L19">
            <v>306.33</v>
          </cell>
          <cell r="M19">
            <v>306.77999999999997</v>
          </cell>
          <cell r="U19">
            <v>280</v>
          </cell>
          <cell r="AA19">
            <v>296.07</v>
          </cell>
          <cell r="AB19">
            <v>301.73</v>
          </cell>
          <cell r="AC19">
            <v>302.16000000000003</v>
          </cell>
          <cell r="AD19">
            <v>306.08999999999997</v>
          </cell>
          <cell r="AE19">
            <v>319.5</v>
          </cell>
          <cell r="AK19">
            <v>566</v>
          </cell>
        </row>
        <row r="20">
          <cell r="A20">
            <v>17</v>
          </cell>
          <cell r="B20">
            <v>573</v>
          </cell>
          <cell r="H20">
            <v>305.61</v>
          </cell>
          <cell r="I20">
            <v>308.17</v>
          </cell>
          <cell r="J20">
            <v>310.83</v>
          </cell>
          <cell r="K20">
            <v>311</v>
          </cell>
          <cell r="L20">
            <v>312.72000000000003</v>
          </cell>
          <cell r="M20">
            <v>313.06</v>
          </cell>
          <cell r="U20">
            <v>287</v>
          </cell>
          <cell r="AA20">
            <v>301.81</v>
          </cell>
          <cell r="AB20">
            <v>308.52999999999997</v>
          </cell>
          <cell r="AC20">
            <v>308.88</v>
          </cell>
          <cell r="AD20">
            <v>312.62</v>
          </cell>
          <cell r="AE20">
            <v>326</v>
          </cell>
          <cell r="AK20">
            <v>569</v>
          </cell>
        </row>
        <row r="21">
          <cell r="A21">
            <v>18</v>
          </cell>
          <cell r="B21">
            <v>575</v>
          </cell>
          <cell r="H21">
            <v>311.5</v>
          </cell>
          <cell r="I21">
            <v>314.27999999999997</v>
          </cell>
          <cell r="J21">
            <v>316.44</v>
          </cell>
          <cell r="K21">
            <v>316.89</v>
          </cell>
          <cell r="L21">
            <v>318.27999999999997</v>
          </cell>
          <cell r="M21">
            <v>318.39</v>
          </cell>
          <cell r="U21">
            <v>294</v>
          </cell>
          <cell r="AA21">
            <v>308.24</v>
          </cell>
          <cell r="AB21">
            <v>314.43</v>
          </cell>
          <cell r="AC21">
            <v>314.67</v>
          </cell>
          <cell r="AD21">
            <v>318.37</v>
          </cell>
          <cell r="AE21">
            <v>332</v>
          </cell>
          <cell r="AK21">
            <v>572</v>
          </cell>
        </row>
        <row r="22">
          <cell r="A22">
            <v>19</v>
          </cell>
          <cell r="B22">
            <v>578</v>
          </cell>
          <cell r="H22">
            <v>316.94</v>
          </cell>
          <cell r="I22">
            <v>319.33</v>
          </cell>
          <cell r="J22">
            <v>322.33</v>
          </cell>
          <cell r="K22">
            <v>322.94</v>
          </cell>
          <cell r="L22">
            <v>324.61</v>
          </cell>
          <cell r="M22">
            <v>324.56</v>
          </cell>
          <cell r="U22">
            <v>300</v>
          </cell>
          <cell r="AA22">
            <v>314.02</v>
          </cell>
          <cell r="AB22">
            <v>320.76</v>
          </cell>
          <cell r="AC22">
            <v>321.02999999999997</v>
          </cell>
          <cell r="AD22">
            <v>324.67</v>
          </cell>
          <cell r="AE22">
            <v>338</v>
          </cell>
          <cell r="AK22">
            <v>575</v>
          </cell>
        </row>
        <row r="23">
          <cell r="A23">
            <v>20</v>
          </cell>
          <cell r="B23">
            <v>581</v>
          </cell>
          <cell r="H23">
            <v>322.67</v>
          </cell>
          <cell r="I23">
            <v>325.17</v>
          </cell>
          <cell r="J23">
            <v>328.33</v>
          </cell>
          <cell r="K23">
            <v>329.17</v>
          </cell>
          <cell r="L23">
            <v>330.28</v>
          </cell>
          <cell r="M23">
            <v>330</v>
          </cell>
          <cell r="U23">
            <v>306</v>
          </cell>
          <cell r="AA23">
            <v>319.83999999999997</v>
          </cell>
          <cell r="AB23">
            <v>327.08999999999997</v>
          </cell>
          <cell r="AC23">
            <v>327.3</v>
          </cell>
          <cell r="AD23">
            <v>330.23</v>
          </cell>
          <cell r="AE23">
            <v>343.5</v>
          </cell>
          <cell r="AK23">
            <v>578</v>
          </cell>
        </row>
        <row r="24">
          <cell r="A24">
            <v>21</v>
          </cell>
          <cell r="B24">
            <v>584</v>
          </cell>
          <cell r="H24">
            <v>328.5</v>
          </cell>
          <cell r="I24">
            <v>330.33</v>
          </cell>
          <cell r="J24">
            <v>333.44</v>
          </cell>
          <cell r="K24">
            <v>334.33</v>
          </cell>
          <cell r="L24">
            <v>335.72</v>
          </cell>
          <cell r="M24">
            <v>335.44</v>
          </cell>
          <cell r="U24">
            <v>313</v>
          </cell>
          <cell r="AA24">
            <v>325.8</v>
          </cell>
          <cell r="AB24">
            <v>332.57</v>
          </cell>
          <cell r="AC24">
            <v>332.78</v>
          </cell>
          <cell r="AD24">
            <v>336.37</v>
          </cell>
          <cell r="AE24">
            <v>349</v>
          </cell>
          <cell r="AK24">
            <v>581</v>
          </cell>
        </row>
        <row r="25">
          <cell r="A25">
            <v>22</v>
          </cell>
          <cell r="B25">
            <v>587</v>
          </cell>
          <cell r="H25">
            <v>333.39</v>
          </cell>
          <cell r="I25">
            <v>335.56</v>
          </cell>
          <cell r="J25">
            <v>338.78</v>
          </cell>
          <cell r="K25">
            <v>340</v>
          </cell>
          <cell r="L25">
            <v>341.83</v>
          </cell>
          <cell r="M25">
            <v>341.39</v>
          </cell>
          <cell r="U25">
            <v>318</v>
          </cell>
          <cell r="AA25">
            <v>330.94</v>
          </cell>
          <cell r="AB25">
            <v>338.35</v>
          </cell>
          <cell r="AC25">
            <v>338.53</v>
          </cell>
          <cell r="AD25">
            <v>341.91</v>
          </cell>
          <cell r="AE25">
            <v>354.5</v>
          </cell>
          <cell r="AK25">
            <v>584</v>
          </cell>
        </row>
        <row r="26">
          <cell r="A26">
            <v>23</v>
          </cell>
          <cell r="B26">
            <v>589</v>
          </cell>
          <cell r="H26">
            <v>338.61</v>
          </cell>
          <cell r="I26">
            <v>341.28</v>
          </cell>
          <cell r="J26">
            <v>344</v>
          </cell>
          <cell r="K26">
            <v>345.11</v>
          </cell>
          <cell r="L26">
            <v>346.78</v>
          </cell>
          <cell r="M26">
            <v>346.28</v>
          </cell>
          <cell r="U26">
            <v>324</v>
          </cell>
          <cell r="AA26">
            <v>336.61</v>
          </cell>
          <cell r="AB26">
            <v>343.58</v>
          </cell>
          <cell r="AC26">
            <v>343.73</v>
          </cell>
          <cell r="AD26">
            <v>347.34</v>
          </cell>
          <cell r="AE26">
            <v>360</v>
          </cell>
          <cell r="AK26">
            <v>587</v>
          </cell>
        </row>
        <row r="27">
          <cell r="A27">
            <v>24</v>
          </cell>
          <cell r="B27">
            <v>592</v>
          </cell>
          <cell r="H27">
            <v>343.89</v>
          </cell>
          <cell r="I27">
            <v>345.94</v>
          </cell>
          <cell r="J27">
            <v>349.28</v>
          </cell>
          <cell r="K27">
            <v>350.5</v>
          </cell>
          <cell r="L27">
            <v>352</v>
          </cell>
          <cell r="M27">
            <v>351.44</v>
          </cell>
          <cell r="U27">
            <v>329</v>
          </cell>
          <cell r="AA27">
            <v>341.85</v>
          </cell>
          <cell r="AB27">
            <v>349.13</v>
          </cell>
          <cell r="AC27">
            <v>349.23</v>
          </cell>
          <cell r="AD27">
            <v>352.79</v>
          </cell>
          <cell r="AE27">
            <v>365</v>
          </cell>
          <cell r="AK27">
            <v>590</v>
          </cell>
        </row>
        <row r="28">
          <cell r="A28">
            <v>25</v>
          </cell>
          <cell r="B28">
            <v>595</v>
          </cell>
          <cell r="H28">
            <v>348.94</v>
          </cell>
          <cell r="I28">
            <v>350.94</v>
          </cell>
          <cell r="J28">
            <v>354.17</v>
          </cell>
          <cell r="K28">
            <v>355.78</v>
          </cell>
          <cell r="L28">
            <v>356.78</v>
          </cell>
          <cell r="M28">
            <v>356.22</v>
          </cell>
          <cell r="U28">
            <v>335</v>
          </cell>
          <cell r="AA28">
            <v>346.94</v>
          </cell>
          <cell r="AB28">
            <v>354.33</v>
          </cell>
          <cell r="AC28">
            <v>354.39</v>
          </cell>
          <cell r="AD28">
            <v>357.73</v>
          </cell>
          <cell r="AE28">
            <v>370</v>
          </cell>
          <cell r="AK28">
            <v>593</v>
          </cell>
        </row>
        <row r="29">
          <cell r="A29">
            <v>26</v>
          </cell>
          <cell r="B29">
            <v>598</v>
          </cell>
          <cell r="H29">
            <v>353.72</v>
          </cell>
          <cell r="I29">
            <v>355.78</v>
          </cell>
          <cell r="J29">
            <v>358.83</v>
          </cell>
          <cell r="K29">
            <v>360.72</v>
          </cell>
          <cell r="L29">
            <v>362.11</v>
          </cell>
          <cell r="M29">
            <v>361.44</v>
          </cell>
          <cell r="U29">
            <v>341</v>
          </cell>
          <cell r="AA29">
            <v>352.09</v>
          </cell>
          <cell r="AB29">
            <v>359.45</v>
          </cell>
          <cell r="AC29">
            <v>359.48</v>
          </cell>
          <cell r="AD29">
            <v>362.67</v>
          </cell>
          <cell r="AE29">
            <v>375</v>
          </cell>
          <cell r="AK29">
            <v>595</v>
          </cell>
        </row>
        <row r="30">
          <cell r="A30">
            <v>27</v>
          </cell>
          <cell r="B30">
            <v>600</v>
          </cell>
          <cell r="H30">
            <v>358.22</v>
          </cell>
          <cell r="I30">
            <v>360.56</v>
          </cell>
          <cell r="J30">
            <v>363.83</v>
          </cell>
          <cell r="K30">
            <v>365.78</v>
          </cell>
          <cell r="L30">
            <v>367.28</v>
          </cell>
          <cell r="M30">
            <v>366.44</v>
          </cell>
          <cell r="U30">
            <v>346</v>
          </cell>
          <cell r="AA30">
            <v>356.68</v>
          </cell>
          <cell r="AB30">
            <v>364.34</v>
          </cell>
          <cell r="AC30">
            <v>364.34</v>
          </cell>
          <cell r="AD30">
            <v>367.52</v>
          </cell>
          <cell r="AE30">
            <v>380</v>
          </cell>
          <cell r="AK30">
            <v>598</v>
          </cell>
        </row>
        <row r="31">
          <cell r="A31">
            <v>28</v>
          </cell>
          <cell r="B31">
            <v>603</v>
          </cell>
          <cell r="H31">
            <v>363.28</v>
          </cell>
          <cell r="I31">
            <v>365.39</v>
          </cell>
          <cell r="J31">
            <v>368.44</v>
          </cell>
          <cell r="K31">
            <v>370.39</v>
          </cell>
          <cell r="L31">
            <v>371.94</v>
          </cell>
          <cell r="M31">
            <v>371</v>
          </cell>
          <cell r="U31">
            <v>351</v>
          </cell>
          <cell r="AA31">
            <v>361.55</v>
          </cell>
          <cell r="AB31">
            <v>369.2</v>
          </cell>
          <cell r="AC31">
            <v>369.2</v>
          </cell>
          <cell r="AD31">
            <v>372.77</v>
          </cell>
          <cell r="AE31">
            <v>385</v>
          </cell>
          <cell r="AK31">
            <v>600</v>
          </cell>
        </row>
        <row r="32">
          <cell r="A32">
            <v>29</v>
          </cell>
          <cell r="B32">
            <v>606</v>
          </cell>
          <cell r="H32">
            <v>368</v>
          </cell>
          <cell r="I32">
            <v>369.72</v>
          </cell>
          <cell r="J32">
            <v>373.28</v>
          </cell>
          <cell r="K32">
            <v>375.44</v>
          </cell>
          <cell r="L32">
            <v>376.89</v>
          </cell>
          <cell r="M32">
            <v>375.89</v>
          </cell>
          <cell r="U32">
            <v>356</v>
          </cell>
          <cell r="AA32">
            <v>366.32</v>
          </cell>
          <cell r="AB32">
            <v>374.25</v>
          </cell>
          <cell r="AC32">
            <v>374.25</v>
          </cell>
          <cell r="AD32">
            <v>377.62</v>
          </cell>
          <cell r="AE32">
            <v>390</v>
          </cell>
          <cell r="AK32">
            <v>602</v>
          </cell>
        </row>
        <row r="33">
          <cell r="A33">
            <v>30</v>
          </cell>
          <cell r="B33">
            <v>609</v>
          </cell>
          <cell r="H33">
            <v>372.61</v>
          </cell>
          <cell r="I33">
            <v>374.56</v>
          </cell>
          <cell r="J33">
            <v>378.11</v>
          </cell>
          <cell r="K33">
            <v>380.22</v>
          </cell>
          <cell r="L33">
            <v>381.5</v>
          </cell>
          <cell r="M33">
            <v>380.44</v>
          </cell>
          <cell r="U33">
            <v>361</v>
          </cell>
          <cell r="AA33">
            <v>371.15</v>
          </cell>
          <cell r="AB33">
            <v>378.86</v>
          </cell>
          <cell r="AC33">
            <v>378.86</v>
          </cell>
          <cell r="AD33">
            <v>382.45</v>
          </cell>
          <cell r="AE33">
            <v>395</v>
          </cell>
          <cell r="AK33">
            <v>606</v>
          </cell>
        </row>
        <row r="34">
          <cell r="A34">
            <v>31</v>
          </cell>
          <cell r="B34">
            <v>612</v>
          </cell>
          <cell r="H34">
            <v>377.28</v>
          </cell>
          <cell r="I34">
            <v>379.28</v>
          </cell>
          <cell r="J34">
            <v>382.5</v>
          </cell>
          <cell r="K34">
            <v>385.17</v>
          </cell>
          <cell r="L34">
            <v>386.56</v>
          </cell>
          <cell r="M34">
            <v>385.44</v>
          </cell>
          <cell r="U34">
            <v>366</v>
          </cell>
          <cell r="AA34">
            <v>375.92</v>
          </cell>
          <cell r="AB34">
            <v>383.9</v>
          </cell>
          <cell r="AC34">
            <v>383.9</v>
          </cell>
          <cell r="AD34">
            <v>387.42</v>
          </cell>
          <cell r="AE34">
            <v>399.5</v>
          </cell>
          <cell r="AK34">
            <v>609</v>
          </cell>
        </row>
        <row r="35">
          <cell r="A35">
            <v>32</v>
          </cell>
          <cell r="B35">
            <v>615</v>
          </cell>
          <cell r="H35">
            <v>381.67</v>
          </cell>
          <cell r="I35">
            <v>383.72</v>
          </cell>
          <cell r="J35">
            <v>387.22</v>
          </cell>
          <cell r="K35">
            <v>389.89</v>
          </cell>
          <cell r="L35">
            <v>391.11</v>
          </cell>
          <cell r="M35">
            <v>390.06</v>
          </cell>
          <cell r="U35">
            <v>370</v>
          </cell>
          <cell r="AA35">
            <v>380.32</v>
          </cell>
          <cell r="AB35">
            <v>388.7</v>
          </cell>
          <cell r="AC35">
            <v>388.7</v>
          </cell>
          <cell r="AD35">
            <v>392.11</v>
          </cell>
          <cell r="AE35">
            <v>404.5</v>
          </cell>
          <cell r="AK35">
            <v>611</v>
          </cell>
        </row>
        <row r="36">
          <cell r="A36">
            <v>33</v>
          </cell>
          <cell r="B36">
            <v>618</v>
          </cell>
          <cell r="H36">
            <v>386.5</v>
          </cell>
          <cell r="I36">
            <v>388.28</v>
          </cell>
          <cell r="J36">
            <v>391.5</v>
          </cell>
          <cell r="K36">
            <v>394.33</v>
          </cell>
          <cell r="L36">
            <v>395.78</v>
          </cell>
          <cell r="M36">
            <v>394.44</v>
          </cell>
          <cell r="U36">
            <v>375</v>
          </cell>
          <cell r="AA36">
            <v>385.18</v>
          </cell>
          <cell r="AB36">
            <v>393.42</v>
          </cell>
          <cell r="AC36">
            <v>393.42</v>
          </cell>
          <cell r="AD36">
            <v>396.91</v>
          </cell>
          <cell r="AE36">
            <v>409</v>
          </cell>
          <cell r="AK36">
            <v>614</v>
          </cell>
        </row>
        <row r="37">
          <cell r="A37">
            <v>34</v>
          </cell>
          <cell r="B37">
            <v>621</v>
          </cell>
          <cell r="H37">
            <v>390.89</v>
          </cell>
          <cell r="I37">
            <v>392.5</v>
          </cell>
          <cell r="J37">
            <v>396.11</v>
          </cell>
          <cell r="K37">
            <v>399.17</v>
          </cell>
          <cell r="L37">
            <v>400.56</v>
          </cell>
          <cell r="M37">
            <v>399.17</v>
          </cell>
          <cell r="U37">
            <v>379</v>
          </cell>
          <cell r="AA37">
            <v>389.65</v>
          </cell>
          <cell r="AB37">
            <v>398.17</v>
          </cell>
          <cell r="AC37">
            <v>398.17</v>
          </cell>
          <cell r="AD37">
            <v>401.29</v>
          </cell>
          <cell r="AE37">
            <v>414</v>
          </cell>
          <cell r="AK37">
            <v>617</v>
          </cell>
        </row>
        <row r="38">
          <cell r="A38">
            <v>35</v>
          </cell>
          <cell r="B38">
            <v>624</v>
          </cell>
          <cell r="H38">
            <v>395.22</v>
          </cell>
          <cell r="I38">
            <v>397.06</v>
          </cell>
          <cell r="J38">
            <v>400.72</v>
          </cell>
          <cell r="K38">
            <v>403.44</v>
          </cell>
          <cell r="L38">
            <v>404.94</v>
          </cell>
          <cell r="M38">
            <v>403.44</v>
          </cell>
          <cell r="U38">
            <v>384</v>
          </cell>
          <cell r="AA38">
            <v>394.33</v>
          </cell>
          <cell r="AB38">
            <v>402.57</v>
          </cell>
          <cell r="AC38">
            <v>402.57</v>
          </cell>
          <cell r="AD38">
            <v>406.19</v>
          </cell>
          <cell r="AE38">
            <v>418.5</v>
          </cell>
          <cell r="AK38">
            <v>620</v>
          </cell>
        </row>
        <row r="39">
          <cell r="A39">
            <v>36</v>
          </cell>
          <cell r="B39">
            <v>627</v>
          </cell>
          <cell r="H39">
            <v>399.83</v>
          </cell>
          <cell r="I39">
            <v>401.39</v>
          </cell>
          <cell r="J39">
            <v>404.89</v>
          </cell>
          <cell r="K39">
            <v>408.11</v>
          </cell>
          <cell r="L39">
            <v>409.61</v>
          </cell>
          <cell r="M39">
            <v>408</v>
          </cell>
          <cell r="U39">
            <v>388</v>
          </cell>
          <cell r="AA39">
            <v>398.8</v>
          </cell>
          <cell r="AB39">
            <v>407.41</v>
          </cell>
          <cell r="AC39">
            <v>407.41</v>
          </cell>
          <cell r="AD39">
            <v>410.76</v>
          </cell>
          <cell r="AE39">
            <v>423.5</v>
          </cell>
          <cell r="AK39">
            <v>622</v>
          </cell>
        </row>
        <row r="40">
          <cell r="A40">
            <v>37</v>
          </cell>
          <cell r="B40">
            <v>630</v>
          </cell>
          <cell r="H40">
            <v>403.94</v>
          </cell>
          <cell r="I40">
            <v>405.67</v>
          </cell>
          <cell r="J40">
            <v>409.33</v>
          </cell>
          <cell r="K40">
            <v>412.61</v>
          </cell>
          <cell r="L40">
            <v>414.06</v>
          </cell>
          <cell r="M40">
            <v>412.39</v>
          </cell>
          <cell r="U40">
            <v>392</v>
          </cell>
          <cell r="AA40">
            <v>403.16</v>
          </cell>
          <cell r="AB40">
            <v>411.91</v>
          </cell>
          <cell r="AC40">
            <v>411.91</v>
          </cell>
          <cell r="AD40">
            <v>415.5</v>
          </cell>
          <cell r="AE40">
            <v>428</v>
          </cell>
          <cell r="AK40">
            <v>626</v>
          </cell>
        </row>
        <row r="41">
          <cell r="A41">
            <v>38</v>
          </cell>
          <cell r="B41">
            <v>633</v>
          </cell>
          <cell r="H41">
            <v>408.33</v>
          </cell>
          <cell r="I41">
            <v>410.11</v>
          </cell>
          <cell r="J41">
            <v>413.61</v>
          </cell>
          <cell r="K41">
            <v>417.28</v>
          </cell>
          <cell r="L41">
            <v>418.67</v>
          </cell>
          <cell r="M41">
            <v>416.94</v>
          </cell>
          <cell r="U41">
            <v>397</v>
          </cell>
          <cell r="AA41">
            <v>407.81</v>
          </cell>
          <cell r="AB41">
            <v>416.63</v>
          </cell>
          <cell r="AC41">
            <v>416.63</v>
          </cell>
          <cell r="AD41">
            <v>420.11</v>
          </cell>
          <cell r="AE41">
            <v>433</v>
          </cell>
          <cell r="AK41">
            <v>630</v>
          </cell>
        </row>
        <row r="42">
          <cell r="A42">
            <v>39</v>
          </cell>
          <cell r="B42">
            <v>637</v>
          </cell>
          <cell r="H42">
            <v>412.61</v>
          </cell>
          <cell r="I42">
            <v>414.28</v>
          </cell>
          <cell r="J42">
            <v>418</v>
          </cell>
          <cell r="K42">
            <v>421.72</v>
          </cell>
          <cell r="L42">
            <v>423.06</v>
          </cell>
          <cell r="M42">
            <v>421.28</v>
          </cell>
          <cell r="U42">
            <v>401</v>
          </cell>
          <cell r="AA42">
            <v>412.14</v>
          </cell>
          <cell r="AB42">
            <v>421.22</v>
          </cell>
          <cell r="AC42">
            <v>421.22</v>
          </cell>
          <cell r="AD42">
            <v>423.95</v>
          </cell>
          <cell r="AE42">
            <v>438</v>
          </cell>
          <cell r="AK42">
            <v>632</v>
          </cell>
        </row>
        <row r="43">
          <cell r="A43">
            <v>40</v>
          </cell>
          <cell r="B43">
            <v>640</v>
          </cell>
          <cell r="H43">
            <v>417.06</v>
          </cell>
          <cell r="I43">
            <v>418.61</v>
          </cell>
          <cell r="J43">
            <v>422.22</v>
          </cell>
          <cell r="K43">
            <v>426.28</v>
          </cell>
          <cell r="L43">
            <v>427.72</v>
          </cell>
          <cell r="M43">
            <v>425.78</v>
          </cell>
          <cell r="U43">
            <v>407</v>
          </cell>
          <cell r="AA43">
            <v>416.68</v>
          </cell>
          <cell r="AB43">
            <v>425.72</v>
          </cell>
          <cell r="AC43">
            <v>425.72</v>
          </cell>
          <cell r="AD43">
            <v>428.4</v>
          </cell>
          <cell r="AE43">
            <v>442.5</v>
          </cell>
          <cell r="AK43">
            <v>635</v>
          </cell>
        </row>
        <row r="44">
          <cell r="A44">
            <v>41</v>
          </cell>
          <cell r="B44">
            <v>643</v>
          </cell>
          <cell r="H44">
            <v>421.33</v>
          </cell>
          <cell r="I44">
            <v>422.78</v>
          </cell>
          <cell r="J44">
            <v>426.67</v>
          </cell>
          <cell r="K44">
            <v>430.89</v>
          </cell>
          <cell r="L44">
            <v>432.22</v>
          </cell>
          <cell r="M44">
            <v>430.28</v>
          </cell>
          <cell r="U44">
            <v>411</v>
          </cell>
          <cell r="AA44">
            <v>421.11</v>
          </cell>
          <cell r="AB44">
            <v>430.37</v>
          </cell>
          <cell r="AC44">
            <v>430.37</v>
          </cell>
          <cell r="AD44">
            <v>433.1</v>
          </cell>
          <cell r="AE44">
            <v>447.5</v>
          </cell>
          <cell r="AK44">
            <v>638</v>
          </cell>
        </row>
        <row r="45">
          <cell r="A45">
            <v>42</v>
          </cell>
          <cell r="B45">
            <v>647</v>
          </cell>
          <cell r="H45">
            <v>425.61</v>
          </cell>
          <cell r="I45">
            <v>427.17</v>
          </cell>
          <cell r="J45">
            <v>431</v>
          </cell>
          <cell r="K45">
            <v>435.39</v>
          </cell>
          <cell r="L45">
            <v>436.83</v>
          </cell>
          <cell r="M45">
            <v>434.72</v>
          </cell>
          <cell r="U45">
            <v>415</v>
          </cell>
          <cell r="AA45">
            <v>425.75</v>
          </cell>
          <cell r="AB45">
            <v>435.22</v>
          </cell>
          <cell r="AC45">
            <v>435.22</v>
          </cell>
          <cell r="AD45">
            <v>437.79</v>
          </cell>
          <cell r="AE45">
            <v>452</v>
          </cell>
          <cell r="AK45">
            <v>641</v>
          </cell>
        </row>
        <row r="46">
          <cell r="A46">
            <v>43</v>
          </cell>
          <cell r="B46">
            <v>651</v>
          </cell>
          <cell r="H46">
            <v>430.06</v>
          </cell>
          <cell r="I46">
            <v>431.44</v>
          </cell>
          <cell r="J46">
            <v>435.39</v>
          </cell>
          <cell r="K46">
            <v>440</v>
          </cell>
          <cell r="L46">
            <v>441.33</v>
          </cell>
          <cell r="M46">
            <v>439.28</v>
          </cell>
          <cell r="U46">
            <v>420</v>
          </cell>
          <cell r="AA46">
            <v>430.29</v>
          </cell>
          <cell r="AB46">
            <v>439.82</v>
          </cell>
          <cell r="AC46">
            <v>439.82</v>
          </cell>
          <cell r="AD46">
            <v>442.47</v>
          </cell>
          <cell r="AE46">
            <v>457</v>
          </cell>
          <cell r="AK46">
            <v>644</v>
          </cell>
        </row>
        <row r="47">
          <cell r="A47">
            <v>44</v>
          </cell>
          <cell r="B47">
            <v>655</v>
          </cell>
          <cell r="H47">
            <v>434.33</v>
          </cell>
          <cell r="I47">
            <v>435.83</v>
          </cell>
          <cell r="J47">
            <v>439.83</v>
          </cell>
          <cell r="K47">
            <v>444.56</v>
          </cell>
          <cell r="L47">
            <v>446.11</v>
          </cell>
          <cell r="M47">
            <v>443.72</v>
          </cell>
          <cell r="U47">
            <v>424</v>
          </cell>
          <cell r="AA47">
            <v>434.99</v>
          </cell>
          <cell r="AB47">
            <v>444.6</v>
          </cell>
          <cell r="AC47">
            <v>444.6</v>
          </cell>
          <cell r="AD47">
            <v>447.06</v>
          </cell>
          <cell r="AE47">
            <v>462</v>
          </cell>
          <cell r="AK47">
            <v>647</v>
          </cell>
        </row>
        <row r="48">
          <cell r="A48">
            <v>45</v>
          </cell>
          <cell r="B48">
            <v>659</v>
          </cell>
          <cell r="H48">
            <v>438.78</v>
          </cell>
          <cell r="I48">
            <v>440.17</v>
          </cell>
          <cell r="J48">
            <v>444.17</v>
          </cell>
          <cell r="K48">
            <v>449.28</v>
          </cell>
          <cell r="L48">
            <v>450.67</v>
          </cell>
          <cell r="M48">
            <v>448.33</v>
          </cell>
          <cell r="U48">
            <v>428</v>
          </cell>
          <cell r="AA48">
            <v>439.45</v>
          </cell>
          <cell r="AB48">
            <v>449.15</v>
          </cell>
          <cell r="AC48">
            <v>449.15</v>
          </cell>
          <cell r="AD48">
            <v>451.77</v>
          </cell>
          <cell r="AE48">
            <v>466.5</v>
          </cell>
          <cell r="AK48">
            <v>650</v>
          </cell>
        </row>
        <row r="49">
          <cell r="A49">
            <v>46</v>
          </cell>
          <cell r="B49">
            <v>664</v>
          </cell>
          <cell r="H49">
            <v>443.06</v>
          </cell>
          <cell r="I49">
            <v>444.5</v>
          </cell>
          <cell r="J49">
            <v>448.72</v>
          </cell>
          <cell r="K49">
            <v>453.83</v>
          </cell>
          <cell r="L49">
            <v>455.39</v>
          </cell>
          <cell r="M49">
            <v>452.83</v>
          </cell>
          <cell r="U49">
            <v>432</v>
          </cell>
          <cell r="AA49">
            <v>444.1</v>
          </cell>
          <cell r="AB49">
            <v>453.98</v>
          </cell>
          <cell r="AC49">
            <v>453.98</v>
          </cell>
          <cell r="AD49">
            <v>456.49</v>
          </cell>
          <cell r="AE49">
            <v>471</v>
          </cell>
          <cell r="AK49">
            <v>654</v>
          </cell>
        </row>
        <row r="50">
          <cell r="A50">
            <v>47</v>
          </cell>
          <cell r="B50">
            <v>669</v>
          </cell>
          <cell r="H50">
            <v>447.61</v>
          </cell>
          <cell r="I50">
            <v>448.94</v>
          </cell>
          <cell r="J50">
            <v>453.17</v>
          </cell>
          <cell r="K50">
            <v>458.5</v>
          </cell>
          <cell r="L50">
            <v>460.06</v>
          </cell>
          <cell r="M50">
            <v>457.39</v>
          </cell>
          <cell r="U50">
            <v>437</v>
          </cell>
          <cell r="AA50">
            <v>448.54</v>
          </cell>
          <cell r="AB50">
            <v>458.68</v>
          </cell>
          <cell r="AC50">
            <v>458.68</v>
          </cell>
          <cell r="AD50">
            <v>461.17</v>
          </cell>
          <cell r="AE50">
            <v>476</v>
          </cell>
          <cell r="AK50">
            <v>657</v>
          </cell>
        </row>
        <row r="51">
          <cell r="A51">
            <v>48</v>
          </cell>
          <cell r="B51">
            <v>674</v>
          </cell>
          <cell r="H51">
            <v>452</v>
          </cell>
          <cell r="I51">
            <v>453.39</v>
          </cell>
          <cell r="J51">
            <v>457.61</v>
          </cell>
          <cell r="K51">
            <v>463.22</v>
          </cell>
          <cell r="L51">
            <v>464.78</v>
          </cell>
          <cell r="M51">
            <v>462</v>
          </cell>
          <cell r="U51">
            <v>441</v>
          </cell>
          <cell r="AA51">
            <v>453.22</v>
          </cell>
          <cell r="AB51">
            <v>463.34</v>
          </cell>
          <cell r="AC51">
            <v>463.34</v>
          </cell>
          <cell r="AD51">
            <v>465.9</v>
          </cell>
          <cell r="AE51">
            <v>480.5</v>
          </cell>
          <cell r="AK51">
            <v>661</v>
          </cell>
        </row>
        <row r="52">
          <cell r="A52">
            <v>49</v>
          </cell>
          <cell r="B52">
            <v>681</v>
          </cell>
          <cell r="H52">
            <v>456.5</v>
          </cell>
          <cell r="I52">
            <v>457.78</v>
          </cell>
          <cell r="J52">
            <v>462.11</v>
          </cell>
          <cell r="K52">
            <v>467.78</v>
          </cell>
          <cell r="L52">
            <v>469.22</v>
          </cell>
          <cell r="M52">
            <v>466.56</v>
          </cell>
          <cell r="U52">
            <v>446</v>
          </cell>
          <cell r="AA52">
            <v>457.79</v>
          </cell>
          <cell r="AB52">
            <v>468.03</v>
          </cell>
          <cell r="AC52">
            <v>468.03</v>
          </cell>
          <cell r="AD52">
            <v>470.52</v>
          </cell>
          <cell r="AE52">
            <v>485</v>
          </cell>
          <cell r="AK52">
            <v>664</v>
          </cell>
        </row>
        <row r="53">
          <cell r="A53">
            <v>50</v>
          </cell>
          <cell r="B53">
            <v>688</v>
          </cell>
          <cell r="H53">
            <v>460.94</v>
          </cell>
          <cell r="I53">
            <v>462.22</v>
          </cell>
          <cell r="J53">
            <v>466.56</v>
          </cell>
          <cell r="K53">
            <v>472.22</v>
          </cell>
          <cell r="L53">
            <v>473.67</v>
          </cell>
          <cell r="M53">
            <v>470.89</v>
          </cell>
          <cell r="U53">
            <v>450</v>
          </cell>
          <cell r="AA53">
            <v>462.33</v>
          </cell>
          <cell r="AB53">
            <v>472.52</v>
          </cell>
          <cell r="AC53">
            <v>472.52</v>
          </cell>
          <cell r="AD53">
            <v>475.03</v>
          </cell>
          <cell r="AE53">
            <v>490</v>
          </cell>
          <cell r="AK53">
            <v>667</v>
          </cell>
        </row>
        <row r="54">
          <cell r="A54">
            <v>51</v>
          </cell>
          <cell r="B54">
            <v>695</v>
          </cell>
          <cell r="H54">
            <v>465.5</v>
          </cell>
          <cell r="I54">
            <v>466.61</v>
          </cell>
          <cell r="J54">
            <v>470.78</v>
          </cell>
          <cell r="K54">
            <v>476.61</v>
          </cell>
          <cell r="L54">
            <v>478.06</v>
          </cell>
          <cell r="M54">
            <v>475.17</v>
          </cell>
          <cell r="U54">
            <v>454</v>
          </cell>
          <cell r="AA54">
            <v>466.92</v>
          </cell>
          <cell r="AB54">
            <v>477.15</v>
          </cell>
          <cell r="AC54">
            <v>477.15</v>
          </cell>
          <cell r="AD54">
            <v>479.64</v>
          </cell>
          <cell r="AE54">
            <v>494.5</v>
          </cell>
          <cell r="AK54">
            <v>671</v>
          </cell>
        </row>
        <row r="55">
          <cell r="A55">
            <v>52</v>
          </cell>
          <cell r="B55">
            <v>705</v>
          </cell>
          <cell r="H55">
            <v>469.72</v>
          </cell>
          <cell r="I55">
            <v>470.78</v>
          </cell>
          <cell r="J55">
            <v>474.94</v>
          </cell>
          <cell r="K55">
            <v>481.06</v>
          </cell>
          <cell r="L55">
            <v>482.44</v>
          </cell>
          <cell r="M55">
            <v>479.56</v>
          </cell>
          <cell r="U55">
            <v>458</v>
          </cell>
          <cell r="AA55">
            <v>471.35</v>
          </cell>
          <cell r="AB55">
            <v>481.73</v>
          </cell>
          <cell r="AC55">
            <v>481.73</v>
          </cell>
          <cell r="AD55">
            <v>484.23</v>
          </cell>
          <cell r="AE55">
            <v>499</v>
          </cell>
          <cell r="AK55">
            <v>675</v>
          </cell>
        </row>
        <row r="56">
          <cell r="A56">
            <v>53</v>
          </cell>
          <cell r="B56">
            <v>718</v>
          </cell>
          <cell r="H56">
            <v>473.94</v>
          </cell>
          <cell r="I56">
            <v>474.94</v>
          </cell>
          <cell r="J56">
            <v>479.17</v>
          </cell>
          <cell r="K56">
            <v>485.44</v>
          </cell>
          <cell r="L56">
            <v>486.94</v>
          </cell>
          <cell r="M56">
            <v>483.83</v>
          </cell>
          <cell r="U56">
            <v>463</v>
          </cell>
          <cell r="AA56">
            <v>475.79</v>
          </cell>
          <cell r="AB56">
            <v>486.34</v>
          </cell>
          <cell r="AC56">
            <v>486.34</v>
          </cell>
          <cell r="AD56">
            <v>488.81</v>
          </cell>
          <cell r="AE56">
            <v>503.5</v>
          </cell>
          <cell r="AK56">
            <v>678</v>
          </cell>
        </row>
        <row r="57">
          <cell r="A57">
            <v>54</v>
          </cell>
          <cell r="B57">
            <v>732</v>
          </cell>
          <cell r="H57">
            <v>478.11</v>
          </cell>
          <cell r="I57">
            <v>479.11</v>
          </cell>
          <cell r="J57">
            <v>483.39</v>
          </cell>
          <cell r="K57">
            <v>489.89</v>
          </cell>
          <cell r="L57">
            <v>491.28</v>
          </cell>
          <cell r="M57">
            <v>488.22</v>
          </cell>
          <cell r="U57">
            <v>467</v>
          </cell>
          <cell r="AA57">
            <v>480.27</v>
          </cell>
          <cell r="AB57">
            <v>490.97</v>
          </cell>
          <cell r="AC57">
            <v>490.97</v>
          </cell>
          <cell r="AD57">
            <v>493.41</v>
          </cell>
          <cell r="AE57">
            <v>508</v>
          </cell>
          <cell r="AK57">
            <v>682</v>
          </cell>
        </row>
        <row r="58">
          <cell r="A58">
            <v>55</v>
          </cell>
          <cell r="H58">
            <v>482.39</v>
          </cell>
          <cell r="I58">
            <v>483.28</v>
          </cell>
          <cell r="J58">
            <v>487.61</v>
          </cell>
          <cell r="K58">
            <v>494.33</v>
          </cell>
          <cell r="L58">
            <v>495.78</v>
          </cell>
          <cell r="M58">
            <v>492.5</v>
          </cell>
          <cell r="U58">
            <v>472</v>
          </cell>
          <cell r="AA58">
            <v>484.77</v>
          </cell>
          <cell r="AB58">
            <v>495.52</v>
          </cell>
          <cell r="AC58">
            <v>495.52</v>
          </cell>
          <cell r="AD58">
            <v>497.93</v>
          </cell>
          <cell r="AE58">
            <v>512.5</v>
          </cell>
          <cell r="AK58">
            <v>687</v>
          </cell>
        </row>
        <row r="59">
          <cell r="A59">
            <v>56</v>
          </cell>
          <cell r="H59">
            <v>486.61</v>
          </cell>
          <cell r="I59">
            <v>487.5</v>
          </cell>
          <cell r="J59">
            <v>491.78</v>
          </cell>
          <cell r="K59">
            <v>498.61</v>
          </cell>
          <cell r="L59">
            <v>500</v>
          </cell>
          <cell r="M59">
            <v>496.78</v>
          </cell>
          <cell r="U59">
            <v>476</v>
          </cell>
          <cell r="AA59">
            <v>489.24</v>
          </cell>
          <cell r="AB59">
            <v>500.01</v>
          </cell>
          <cell r="AC59">
            <v>500.01</v>
          </cell>
          <cell r="AD59">
            <v>502.29</v>
          </cell>
          <cell r="AE59">
            <v>516.5</v>
          </cell>
          <cell r="AK59">
            <v>691</v>
          </cell>
        </row>
        <row r="60">
          <cell r="A60">
            <v>57</v>
          </cell>
          <cell r="H60">
            <v>490.83</v>
          </cell>
          <cell r="I60">
            <v>491.67</v>
          </cell>
          <cell r="J60">
            <v>496.06</v>
          </cell>
          <cell r="K60">
            <v>502.89</v>
          </cell>
          <cell r="L60">
            <v>504.28</v>
          </cell>
          <cell r="M60">
            <v>501</v>
          </cell>
          <cell r="U60">
            <v>481</v>
          </cell>
          <cell r="AA60">
            <v>493.72</v>
          </cell>
          <cell r="AB60">
            <v>504.41</v>
          </cell>
          <cell r="AC60">
            <v>504.41</v>
          </cell>
          <cell r="AD60">
            <v>506.71</v>
          </cell>
          <cell r="AE60">
            <v>521</v>
          </cell>
          <cell r="AK60">
            <v>694</v>
          </cell>
        </row>
        <row r="61">
          <cell r="A61">
            <v>58</v>
          </cell>
          <cell r="H61">
            <v>495.11</v>
          </cell>
          <cell r="I61">
            <v>495.83</v>
          </cell>
          <cell r="J61">
            <v>500.11</v>
          </cell>
          <cell r="K61">
            <v>507.17</v>
          </cell>
          <cell r="L61">
            <v>508.56</v>
          </cell>
          <cell r="M61">
            <v>505.11</v>
          </cell>
          <cell r="U61">
            <v>485</v>
          </cell>
          <cell r="AA61">
            <v>498.17</v>
          </cell>
          <cell r="AB61">
            <v>508.8</v>
          </cell>
          <cell r="AC61">
            <v>508.8</v>
          </cell>
          <cell r="AD61">
            <v>511.12</v>
          </cell>
          <cell r="AE61">
            <v>525.5</v>
          </cell>
          <cell r="AK61">
            <v>698</v>
          </cell>
        </row>
        <row r="62">
          <cell r="A62">
            <v>59</v>
          </cell>
          <cell r="H62">
            <v>499.17</v>
          </cell>
          <cell r="I62">
            <v>499.89</v>
          </cell>
          <cell r="J62">
            <v>504.11</v>
          </cell>
          <cell r="K62">
            <v>511.39</v>
          </cell>
          <cell r="L62">
            <v>512.78</v>
          </cell>
          <cell r="M62">
            <v>509.28</v>
          </cell>
          <cell r="U62">
            <v>489</v>
          </cell>
          <cell r="AA62">
            <v>502.45</v>
          </cell>
          <cell r="AB62">
            <v>513.23</v>
          </cell>
          <cell r="AC62">
            <v>513.23</v>
          </cell>
          <cell r="AD62">
            <v>515.48</v>
          </cell>
          <cell r="AE62">
            <v>530</v>
          </cell>
          <cell r="AK62">
            <v>702</v>
          </cell>
        </row>
        <row r="63">
          <cell r="A63">
            <v>60</v>
          </cell>
          <cell r="H63">
            <v>503.22</v>
          </cell>
          <cell r="I63">
            <v>503.89</v>
          </cell>
          <cell r="J63">
            <v>508.22</v>
          </cell>
          <cell r="K63">
            <v>515.66999999999996</v>
          </cell>
          <cell r="L63">
            <v>517.05999999999995</v>
          </cell>
          <cell r="M63">
            <v>513.44000000000005</v>
          </cell>
          <cell r="U63">
            <v>494</v>
          </cell>
          <cell r="AA63">
            <v>506.8</v>
          </cell>
          <cell r="AB63">
            <v>517.64</v>
          </cell>
          <cell r="AC63">
            <v>517.64</v>
          </cell>
          <cell r="AD63">
            <v>519.87</v>
          </cell>
          <cell r="AE63">
            <v>534</v>
          </cell>
          <cell r="AK63">
            <v>705</v>
          </cell>
        </row>
        <row r="64">
          <cell r="A64">
            <v>61</v>
          </cell>
          <cell r="H64">
            <v>507.33</v>
          </cell>
          <cell r="I64">
            <v>507.94</v>
          </cell>
          <cell r="J64">
            <v>512.22</v>
          </cell>
          <cell r="K64">
            <v>519.94000000000005</v>
          </cell>
          <cell r="L64">
            <v>521.33000000000004</v>
          </cell>
          <cell r="M64">
            <v>517.61</v>
          </cell>
          <cell r="U64">
            <v>498</v>
          </cell>
          <cell r="AA64">
            <v>511.15</v>
          </cell>
          <cell r="AB64">
            <v>522.02</v>
          </cell>
          <cell r="AC64">
            <v>522.02</v>
          </cell>
          <cell r="AD64">
            <v>524.19000000000005</v>
          </cell>
          <cell r="AE64">
            <v>538</v>
          </cell>
          <cell r="AK64">
            <v>708</v>
          </cell>
        </row>
        <row r="65">
          <cell r="A65">
            <v>62</v>
          </cell>
          <cell r="H65">
            <v>511.39</v>
          </cell>
          <cell r="I65">
            <v>511.94</v>
          </cell>
          <cell r="J65">
            <v>516.28</v>
          </cell>
          <cell r="K65">
            <v>524.16999999999996</v>
          </cell>
          <cell r="L65">
            <v>525.55999999999995</v>
          </cell>
          <cell r="M65">
            <v>521.78</v>
          </cell>
          <cell r="U65">
            <v>502</v>
          </cell>
          <cell r="AA65">
            <v>515.47</v>
          </cell>
          <cell r="AB65">
            <v>526.29</v>
          </cell>
          <cell r="AC65">
            <v>526.29</v>
          </cell>
          <cell r="AD65">
            <v>528.41</v>
          </cell>
          <cell r="AE65">
            <v>542.5</v>
          </cell>
          <cell r="AK65">
            <v>713</v>
          </cell>
        </row>
        <row r="66">
          <cell r="A66">
            <v>63</v>
          </cell>
          <cell r="H66">
            <v>515.5</v>
          </cell>
          <cell r="I66">
            <v>516</v>
          </cell>
          <cell r="J66">
            <v>520.39</v>
          </cell>
          <cell r="K66">
            <v>528.39</v>
          </cell>
          <cell r="L66">
            <v>529.72</v>
          </cell>
          <cell r="M66">
            <v>525.94000000000005</v>
          </cell>
          <cell r="U66">
            <v>506</v>
          </cell>
          <cell r="AA66">
            <v>519.83000000000004</v>
          </cell>
          <cell r="AB66">
            <v>530.55999999999995</v>
          </cell>
          <cell r="AC66">
            <v>530.55999999999995</v>
          </cell>
          <cell r="AD66">
            <v>532.6</v>
          </cell>
          <cell r="AE66">
            <v>546.5</v>
          </cell>
          <cell r="AK66">
            <v>718</v>
          </cell>
        </row>
        <row r="67">
          <cell r="A67">
            <v>64</v>
          </cell>
          <cell r="H67">
            <v>519.61</v>
          </cell>
          <cell r="I67">
            <v>520.05999999999995</v>
          </cell>
          <cell r="J67">
            <v>524.39</v>
          </cell>
          <cell r="K67">
            <v>532.61</v>
          </cell>
          <cell r="L67">
            <v>533.94000000000005</v>
          </cell>
          <cell r="M67">
            <v>530.11</v>
          </cell>
          <cell r="U67">
            <v>511</v>
          </cell>
          <cell r="AA67">
            <v>524.13</v>
          </cell>
          <cell r="AB67">
            <v>534.79</v>
          </cell>
          <cell r="AC67">
            <v>534.79</v>
          </cell>
          <cell r="AD67">
            <v>536.80999999999995</v>
          </cell>
          <cell r="AE67">
            <v>551</v>
          </cell>
          <cell r="AK67">
            <v>720</v>
          </cell>
        </row>
        <row r="68">
          <cell r="A68">
            <v>65</v>
          </cell>
          <cell r="H68">
            <v>523.66999999999996</v>
          </cell>
          <cell r="I68">
            <v>524.05999999999995</v>
          </cell>
          <cell r="J68">
            <v>528.44000000000005</v>
          </cell>
          <cell r="K68">
            <v>536.72</v>
          </cell>
          <cell r="L68">
            <v>538</v>
          </cell>
          <cell r="M68">
            <v>534.22</v>
          </cell>
          <cell r="U68">
            <v>515</v>
          </cell>
          <cell r="AA68">
            <v>528.32000000000005</v>
          </cell>
          <cell r="AB68">
            <v>539.03</v>
          </cell>
          <cell r="AC68">
            <v>539.03</v>
          </cell>
          <cell r="AD68">
            <v>540.99</v>
          </cell>
          <cell r="AE68">
            <v>555</v>
          </cell>
        </row>
        <row r="69">
          <cell r="A69">
            <v>66</v>
          </cell>
          <cell r="H69">
            <v>527.78</v>
          </cell>
          <cell r="I69">
            <v>528.05999999999995</v>
          </cell>
          <cell r="J69">
            <v>532.5</v>
          </cell>
          <cell r="K69">
            <v>540.72</v>
          </cell>
          <cell r="L69">
            <v>542</v>
          </cell>
          <cell r="M69">
            <v>538.22</v>
          </cell>
          <cell r="U69">
            <v>519</v>
          </cell>
          <cell r="AA69">
            <v>532.51</v>
          </cell>
          <cell r="AB69">
            <v>543.24</v>
          </cell>
          <cell r="AC69">
            <v>543.24</v>
          </cell>
          <cell r="AD69">
            <v>545.16</v>
          </cell>
          <cell r="AE69">
            <v>559</v>
          </cell>
        </row>
        <row r="70">
          <cell r="A70">
            <v>67</v>
          </cell>
          <cell r="H70">
            <v>531.83000000000004</v>
          </cell>
          <cell r="I70">
            <v>532.11</v>
          </cell>
          <cell r="J70">
            <v>536.39</v>
          </cell>
          <cell r="K70">
            <v>544.83000000000004</v>
          </cell>
          <cell r="L70">
            <v>546.11</v>
          </cell>
          <cell r="M70">
            <v>542.16999999999996</v>
          </cell>
          <cell r="U70">
            <v>523</v>
          </cell>
          <cell r="AA70">
            <v>536.73</v>
          </cell>
          <cell r="AB70">
            <v>547.48</v>
          </cell>
          <cell r="AC70">
            <v>547.48</v>
          </cell>
          <cell r="AD70">
            <v>549.34</v>
          </cell>
          <cell r="AE70">
            <v>563</v>
          </cell>
        </row>
        <row r="71">
          <cell r="A71">
            <v>68</v>
          </cell>
          <cell r="H71">
            <v>535.83000000000004</v>
          </cell>
          <cell r="I71">
            <v>536</v>
          </cell>
          <cell r="J71">
            <v>540.28</v>
          </cell>
          <cell r="K71">
            <v>549.11</v>
          </cell>
          <cell r="L71">
            <v>550.39</v>
          </cell>
          <cell r="M71">
            <v>546.16999999999996</v>
          </cell>
          <cell r="U71">
            <v>527</v>
          </cell>
          <cell r="AA71">
            <v>540.92999999999995</v>
          </cell>
          <cell r="AB71">
            <v>551.72</v>
          </cell>
          <cell r="AC71">
            <v>551.72</v>
          </cell>
          <cell r="AD71">
            <v>553.52</v>
          </cell>
          <cell r="AE71">
            <v>567</v>
          </cell>
        </row>
        <row r="72">
          <cell r="A72">
            <v>69</v>
          </cell>
          <cell r="H72">
            <v>539.72</v>
          </cell>
          <cell r="I72">
            <v>539.83000000000004</v>
          </cell>
          <cell r="J72">
            <v>544.11</v>
          </cell>
          <cell r="K72">
            <v>553.39</v>
          </cell>
          <cell r="L72">
            <v>554.66999999999996</v>
          </cell>
          <cell r="M72">
            <v>550.33000000000004</v>
          </cell>
          <cell r="U72">
            <v>532</v>
          </cell>
          <cell r="AA72">
            <v>545.11</v>
          </cell>
          <cell r="AB72">
            <v>555.95000000000005</v>
          </cell>
          <cell r="AC72">
            <v>555.95000000000005</v>
          </cell>
          <cell r="AD72">
            <v>557.6</v>
          </cell>
          <cell r="AE72">
            <v>571</v>
          </cell>
        </row>
        <row r="73">
          <cell r="A73">
            <v>70</v>
          </cell>
          <cell r="H73">
            <v>543.66999999999996</v>
          </cell>
          <cell r="I73">
            <v>543.72</v>
          </cell>
          <cell r="J73">
            <v>548.11</v>
          </cell>
          <cell r="K73">
            <v>557.61</v>
          </cell>
          <cell r="L73">
            <v>558.83000000000004</v>
          </cell>
          <cell r="M73">
            <v>554.5</v>
          </cell>
          <cell r="U73">
            <v>536</v>
          </cell>
          <cell r="AA73">
            <v>549.33000000000004</v>
          </cell>
          <cell r="AB73">
            <v>559.91999999999996</v>
          </cell>
          <cell r="AC73">
            <v>559.91999999999996</v>
          </cell>
          <cell r="AD73">
            <v>561.54</v>
          </cell>
          <cell r="AE73">
            <v>575</v>
          </cell>
        </row>
        <row r="74">
          <cell r="A74">
            <v>71</v>
          </cell>
          <cell r="H74">
            <v>547.66999999999996</v>
          </cell>
          <cell r="I74">
            <v>547.66999999999996</v>
          </cell>
          <cell r="J74">
            <v>552.16999999999996</v>
          </cell>
          <cell r="K74">
            <v>561.72</v>
          </cell>
          <cell r="L74">
            <v>563</v>
          </cell>
          <cell r="M74">
            <v>558.61</v>
          </cell>
          <cell r="U74">
            <v>540</v>
          </cell>
          <cell r="AA74">
            <v>553.55999999999995</v>
          </cell>
          <cell r="AB74">
            <v>563.94000000000005</v>
          </cell>
          <cell r="AC74">
            <v>563.94000000000005</v>
          </cell>
          <cell r="AD74">
            <v>565.5</v>
          </cell>
          <cell r="AE74">
            <v>579.5</v>
          </cell>
        </row>
        <row r="75">
          <cell r="A75">
            <v>72</v>
          </cell>
          <cell r="H75">
            <v>551.78</v>
          </cell>
          <cell r="I75">
            <v>551.72</v>
          </cell>
          <cell r="J75">
            <v>556.22</v>
          </cell>
          <cell r="K75">
            <v>565.94000000000005</v>
          </cell>
          <cell r="L75">
            <v>567.11</v>
          </cell>
          <cell r="M75">
            <v>562.61</v>
          </cell>
          <cell r="U75">
            <v>543</v>
          </cell>
          <cell r="AA75">
            <v>557.67999999999995</v>
          </cell>
          <cell r="AB75">
            <v>568.01</v>
          </cell>
          <cell r="AC75">
            <v>568.01</v>
          </cell>
          <cell r="AD75">
            <v>569.53</v>
          </cell>
          <cell r="AE75">
            <v>584</v>
          </cell>
        </row>
        <row r="76">
          <cell r="A76">
            <v>73</v>
          </cell>
          <cell r="H76">
            <v>555.94000000000005</v>
          </cell>
          <cell r="I76">
            <v>555.78</v>
          </cell>
          <cell r="J76">
            <v>560.16999999999996</v>
          </cell>
          <cell r="K76">
            <v>569.94000000000005</v>
          </cell>
          <cell r="L76">
            <v>571.11</v>
          </cell>
          <cell r="M76">
            <v>566.66999999999996</v>
          </cell>
          <cell r="U76">
            <v>547</v>
          </cell>
          <cell r="AA76">
            <v>561.69000000000005</v>
          </cell>
          <cell r="AB76">
            <v>572.16</v>
          </cell>
          <cell r="AC76">
            <v>572.16</v>
          </cell>
          <cell r="AD76">
            <v>573.63</v>
          </cell>
          <cell r="AE76">
            <v>588.5</v>
          </cell>
        </row>
        <row r="77">
          <cell r="A77">
            <v>74</v>
          </cell>
          <cell r="H77">
            <v>559.94000000000005</v>
          </cell>
          <cell r="I77">
            <v>559.72</v>
          </cell>
          <cell r="J77">
            <v>564.11</v>
          </cell>
          <cell r="K77">
            <v>574</v>
          </cell>
          <cell r="L77">
            <v>575.16999999999996</v>
          </cell>
          <cell r="M77">
            <v>570.61</v>
          </cell>
          <cell r="U77">
            <v>552</v>
          </cell>
          <cell r="AA77">
            <v>565.72</v>
          </cell>
          <cell r="AB77">
            <v>576.42999999999995</v>
          </cell>
          <cell r="AC77">
            <v>576.42999999999995</v>
          </cell>
          <cell r="AD77">
            <v>577.9</v>
          </cell>
          <cell r="AE77">
            <v>593</v>
          </cell>
        </row>
        <row r="78">
          <cell r="A78">
            <v>75</v>
          </cell>
          <cell r="H78">
            <v>563.94000000000005</v>
          </cell>
          <cell r="I78">
            <v>563.61</v>
          </cell>
          <cell r="J78">
            <v>568</v>
          </cell>
          <cell r="K78">
            <v>578.28</v>
          </cell>
          <cell r="L78">
            <v>579.5</v>
          </cell>
          <cell r="M78">
            <v>574.61</v>
          </cell>
          <cell r="U78">
            <v>556</v>
          </cell>
          <cell r="AA78">
            <v>569.84</v>
          </cell>
          <cell r="AB78">
            <v>580.87</v>
          </cell>
          <cell r="AC78">
            <v>580.87</v>
          </cell>
          <cell r="AD78">
            <v>582.30999999999995</v>
          </cell>
          <cell r="AE78">
            <v>597.5</v>
          </cell>
        </row>
        <row r="79">
          <cell r="A79">
            <v>76</v>
          </cell>
          <cell r="H79">
            <v>567.89</v>
          </cell>
          <cell r="I79">
            <v>567.5</v>
          </cell>
          <cell r="J79">
            <v>571.83000000000004</v>
          </cell>
          <cell r="K79">
            <v>582.72</v>
          </cell>
          <cell r="L79">
            <v>583.94000000000005</v>
          </cell>
          <cell r="M79">
            <v>578.83000000000004</v>
          </cell>
          <cell r="U79">
            <v>560</v>
          </cell>
          <cell r="AA79">
            <v>574.04999999999995</v>
          </cell>
          <cell r="AB79">
            <v>585.37</v>
          </cell>
          <cell r="AC79">
            <v>585.37</v>
          </cell>
          <cell r="AD79">
            <v>586.69000000000005</v>
          </cell>
          <cell r="AE79">
            <v>602.5</v>
          </cell>
        </row>
        <row r="80">
          <cell r="A80">
            <v>77</v>
          </cell>
          <cell r="H80">
            <v>571.78</v>
          </cell>
          <cell r="I80">
            <v>571.33000000000004</v>
          </cell>
          <cell r="J80">
            <v>575.78</v>
          </cell>
          <cell r="K80">
            <v>587.05999999999995</v>
          </cell>
          <cell r="L80">
            <v>588.22</v>
          </cell>
          <cell r="M80">
            <v>583.16999999999996</v>
          </cell>
          <cell r="U80">
            <v>564</v>
          </cell>
          <cell r="AA80">
            <v>578.45000000000005</v>
          </cell>
          <cell r="AB80">
            <v>589.85</v>
          </cell>
          <cell r="AC80">
            <v>589.85</v>
          </cell>
          <cell r="AD80">
            <v>591.15</v>
          </cell>
          <cell r="AE80">
            <v>608</v>
          </cell>
        </row>
        <row r="81">
          <cell r="A81">
            <v>78</v>
          </cell>
          <cell r="H81">
            <v>575.83000000000004</v>
          </cell>
          <cell r="I81">
            <v>575.28</v>
          </cell>
          <cell r="J81">
            <v>579.94000000000005</v>
          </cell>
          <cell r="K81">
            <v>591.5</v>
          </cell>
          <cell r="L81">
            <v>592.66999999999996</v>
          </cell>
          <cell r="M81">
            <v>587.39</v>
          </cell>
          <cell r="U81">
            <v>568</v>
          </cell>
          <cell r="AA81">
            <v>583</v>
          </cell>
          <cell r="AB81">
            <v>594.52</v>
          </cell>
          <cell r="AC81">
            <v>594.52</v>
          </cell>
          <cell r="AD81">
            <v>595.76</v>
          </cell>
          <cell r="AE81">
            <v>613.5</v>
          </cell>
        </row>
        <row r="82">
          <cell r="A82">
            <v>79</v>
          </cell>
          <cell r="H82">
            <v>580.11</v>
          </cell>
          <cell r="I82">
            <v>579.44000000000005</v>
          </cell>
          <cell r="J82">
            <v>584.22</v>
          </cell>
          <cell r="K82">
            <v>596.22</v>
          </cell>
          <cell r="L82">
            <v>597.44000000000005</v>
          </cell>
          <cell r="M82">
            <v>591.72</v>
          </cell>
          <cell r="U82">
            <v>572</v>
          </cell>
          <cell r="AA82">
            <v>587.49</v>
          </cell>
          <cell r="AB82">
            <v>599.4</v>
          </cell>
          <cell r="AC82">
            <v>599.4</v>
          </cell>
          <cell r="AD82">
            <v>600.59</v>
          </cell>
          <cell r="AE82">
            <v>619</v>
          </cell>
        </row>
        <row r="83">
          <cell r="A83">
            <v>80</v>
          </cell>
          <cell r="H83">
            <v>584.44000000000005</v>
          </cell>
          <cell r="I83">
            <v>583.72</v>
          </cell>
          <cell r="J83">
            <v>588.33000000000004</v>
          </cell>
          <cell r="K83">
            <v>601.28</v>
          </cell>
          <cell r="L83">
            <v>602.55999999999995</v>
          </cell>
          <cell r="M83">
            <v>596.44000000000005</v>
          </cell>
          <cell r="U83">
            <v>576</v>
          </cell>
          <cell r="AA83">
            <v>592.11</v>
          </cell>
          <cell r="AB83">
            <v>604.59</v>
          </cell>
          <cell r="AC83">
            <v>604.59</v>
          </cell>
          <cell r="AD83">
            <v>605.76</v>
          </cell>
          <cell r="AE83">
            <v>625</v>
          </cell>
        </row>
        <row r="84">
          <cell r="A84">
            <v>81</v>
          </cell>
          <cell r="H84">
            <v>588.61</v>
          </cell>
          <cell r="I84">
            <v>587.78</v>
          </cell>
          <cell r="J84">
            <v>592.55999999999995</v>
          </cell>
          <cell r="K84">
            <v>606.66999999999996</v>
          </cell>
          <cell r="L84">
            <v>607.94000000000005</v>
          </cell>
          <cell r="M84">
            <v>601.39</v>
          </cell>
          <cell r="U84">
            <v>580</v>
          </cell>
          <cell r="AA84">
            <v>596.92999999999995</v>
          </cell>
          <cell r="AB84">
            <v>610.08000000000004</v>
          </cell>
          <cell r="AC84">
            <v>610.08000000000004</v>
          </cell>
          <cell r="AD84">
            <v>611.16</v>
          </cell>
          <cell r="AE84">
            <v>631.5</v>
          </cell>
        </row>
        <row r="85">
          <cell r="A85">
            <v>82</v>
          </cell>
          <cell r="H85">
            <v>593</v>
          </cell>
          <cell r="I85">
            <v>592</v>
          </cell>
          <cell r="J85">
            <v>597.16999999999996</v>
          </cell>
          <cell r="K85">
            <v>611.94000000000005</v>
          </cell>
          <cell r="L85">
            <v>613.11</v>
          </cell>
          <cell r="M85">
            <v>606.78</v>
          </cell>
          <cell r="U85">
            <v>584</v>
          </cell>
          <cell r="AA85">
            <v>602.04</v>
          </cell>
          <cell r="AB85">
            <v>615.77</v>
          </cell>
          <cell r="AC85">
            <v>615.77</v>
          </cell>
          <cell r="AD85">
            <v>616.77</v>
          </cell>
          <cell r="AE85">
            <v>638</v>
          </cell>
        </row>
        <row r="86">
          <cell r="A86">
            <v>83</v>
          </cell>
          <cell r="H86">
            <v>597.72</v>
          </cell>
          <cell r="I86">
            <v>596.61</v>
          </cell>
          <cell r="J86">
            <v>602.05999999999995</v>
          </cell>
          <cell r="K86">
            <v>617.44000000000005</v>
          </cell>
          <cell r="L86">
            <v>618.66999999999996</v>
          </cell>
          <cell r="M86">
            <v>611.94000000000005</v>
          </cell>
          <cell r="U86">
            <v>588</v>
          </cell>
          <cell r="AA86">
            <v>607.49</v>
          </cell>
          <cell r="AB86">
            <v>621.67999999999995</v>
          </cell>
          <cell r="AC86">
            <v>621.67999999999995</v>
          </cell>
          <cell r="AD86">
            <v>622.55999999999995</v>
          </cell>
          <cell r="AE86">
            <v>645</v>
          </cell>
        </row>
        <row r="87">
          <cell r="A87">
            <v>84</v>
          </cell>
          <cell r="H87">
            <v>602.72</v>
          </cell>
          <cell r="I87">
            <v>601.39</v>
          </cell>
          <cell r="J87">
            <v>607.22</v>
          </cell>
          <cell r="K87">
            <v>623.44000000000005</v>
          </cell>
          <cell r="L87">
            <v>624.78</v>
          </cell>
          <cell r="M87">
            <v>617.33000000000004</v>
          </cell>
          <cell r="U87">
            <v>593</v>
          </cell>
          <cell r="AA87">
            <v>613.19000000000005</v>
          </cell>
          <cell r="AB87">
            <v>627.92999999999995</v>
          </cell>
          <cell r="AC87">
            <v>627.92999999999995</v>
          </cell>
          <cell r="AD87">
            <v>628.74</v>
          </cell>
          <cell r="AE87">
            <v>653</v>
          </cell>
        </row>
        <row r="88">
          <cell r="A88">
            <v>85</v>
          </cell>
          <cell r="H88">
            <v>608.11</v>
          </cell>
          <cell r="I88">
            <v>606.61</v>
          </cell>
          <cell r="J88">
            <v>612.28</v>
          </cell>
          <cell r="K88">
            <v>630</v>
          </cell>
          <cell r="L88">
            <v>631.11</v>
          </cell>
          <cell r="M88">
            <v>623.28</v>
          </cell>
          <cell r="U88">
            <v>597</v>
          </cell>
          <cell r="AA88">
            <v>619.12</v>
          </cell>
          <cell r="AB88">
            <v>634.57000000000005</v>
          </cell>
          <cell r="AC88">
            <v>634.57000000000005</v>
          </cell>
          <cell r="AD88">
            <v>635.24</v>
          </cell>
          <cell r="AE88">
            <v>661.5</v>
          </cell>
        </row>
        <row r="89">
          <cell r="A89">
            <v>86</v>
          </cell>
          <cell r="H89">
            <v>613.22</v>
          </cell>
          <cell r="I89">
            <v>611.66999999999996</v>
          </cell>
          <cell r="J89">
            <v>617.55999999999995</v>
          </cell>
          <cell r="K89">
            <v>636.22</v>
          </cell>
          <cell r="L89">
            <v>637.39</v>
          </cell>
          <cell r="M89">
            <v>629.72</v>
          </cell>
          <cell r="U89">
            <v>602</v>
          </cell>
          <cell r="AA89">
            <v>625.39</v>
          </cell>
          <cell r="AB89">
            <v>641.54</v>
          </cell>
          <cell r="AC89">
            <v>641.54</v>
          </cell>
          <cell r="AD89">
            <v>642.05999999999995</v>
          </cell>
          <cell r="AE89">
            <v>671</v>
          </cell>
        </row>
        <row r="90">
          <cell r="A90">
            <v>87</v>
          </cell>
          <cell r="H90">
            <v>618.78</v>
          </cell>
          <cell r="I90">
            <v>616.94000000000005</v>
          </cell>
          <cell r="J90">
            <v>623.28</v>
          </cell>
          <cell r="K90">
            <v>643.33000000000004</v>
          </cell>
          <cell r="L90">
            <v>644.5</v>
          </cell>
          <cell r="M90">
            <v>635.89</v>
          </cell>
          <cell r="U90">
            <v>607</v>
          </cell>
          <cell r="AA90">
            <v>632.07000000000005</v>
          </cell>
          <cell r="AB90">
            <v>649.09</v>
          </cell>
          <cell r="AC90">
            <v>649.09</v>
          </cell>
          <cell r="AD90">
            <v>649.46</v>
          </cell>
          <cell r="AE90">
            <v>682</v>
          </cell>
        </row>
        <row r="91">
          <cell r="A91">
            <v>88</v>
          </cell>
          <cell r="H91">
            <v>624.78</v>
          </cell>
          <cell r="I91">
            <v>622.61</v>
          </cell>
          <cell r="J91">
            <v>629.44000000000005</v>
          </cell>
          <cell r="K91">
            <v>651.28</v>
          </cell>
          <cell r="L91">
            <v>652.39</v>
          </cell>
          <cell r="M91">
            <v>642.89</v>
          </cell>
          <cell r="U91">
            <v>612</v>
          </cell>
          <cell r="AA91">
            <v>639.15</v>
          </cell>
          <cell r="AB91">
            <v>657.37</v>
          </cell>
          <cell r="AC91">
            <v>657.37</v>
          </cell>
          <cell r="AD91">
            <v>657.52</v>
          </cell>
          <cell r="AE91">
            <v>693.5</v>
          </cell>
        </row>
        <row r="92">
          <cell r="A92">
            <v>89</v>
          </cell>
          <cell r="H92">
            <v>631.05999999999995</v>
          </cell>
          <cell r="I92">
            <v>628.89</v>
          </cell>
          <cell r="J92">
            <v>635.33000000000004</v>
          </cell>
          <cell r="K92">
            <v>659.39</v>
          </cell>
          <cell r="L92">
            <v>660.56</v>
          </cell>
          <cell r="M92">
            <v>650.83000000000004</v>
          </cell>
          <cell r="U92">
            <v>617</v>
          </cell>
          <cell r="AA92">
            <v>646.79</v>
          </cell>
          <cell r="AB92">
            <v>666.4</v>
          </cell>
          <cell r="AC92">
            <v>666.4</v>
          </cell>
          <cell r="AD92">
            <v>666.27</v>
          </cell>
          <cell r="AE92">
            <v>705</v>
          </cell>
        </row>
        <row r="93">
          <cell r="A93">
            <v>90</v>
          </cell>
          <cell r="H93">
            <v>637.33000000000004</v>
          </cell>
          <cell r="I93">
            <v>634.78</v>
          </cell>
          <cell r="J93">
            <v>641.89</v>
          </cell>
          <cell r="K93">
            <v>670.28</v>
          </cell>
          <cell r="L93">
            <v>671.11</v>
          </cell>
          <cell r="M93">
            <v>659.22</v>
          </cell>
          <cell r="U93">
            <v>623</v>
          </cell>
          <cell r="AA93">
            <v>655.29</v>
          </cell>
          <cell r="AB93">
            <v>676.07</v>
          </cell>
          <cell r="AC93">
            <v>676.07</v>
          </cell>
          <cell r="AD93">
            <v>676.07</v>
          </cell>
          <cell r="AE93">
            <v>718.5</v>
          </cell>
        </row>
        <row r="94">
          <cell r="A94">
            <v>91</v>
          </cell>
          <cell r="H94">
            <v>644.44000000000005</v>
          </cell>
          <cell r="I94">
            <v>641.33000000000004</v>
          </cell>
          <cell r="J94">
            <v>649.28</v>
          </cell>
          <cell r="K94">
            <v>682.61</v>
          </cell>
          <cell r="L94">
            <v>683.33</v>
          </cell>
          <cell r="M94">
            <v>670.72</v>
          </cell>
          <cell r="U94">
            <v>629</v>
          </cell>
          <cell r="AA94">
            <v>664.56</v>
          </cell>
          <cell r="AB94">
            <v>686.95</v>
          </cell>
          <cell r="AC94">
            <v>686.95</v>
          </cell>
          <cell r="AD94">
            <v>686.95</v>
          </cell>
        </row>
        <row r="95">
          <cell r="A95">
            <v>92</v>
          </cell>
          <cell r="H95">
            <v>652.5</v>
          </cell>
          <cell r="I95">
            <v>648.72</v>
          </cell>
          <cell r="J95">
            <v>656.83</v>
          </cell>
          <cell r="K95">
            <v>697.56</v>
          </cell>
          <cell r="L95">
            <v>697.89</v>
          </cell>
          <cell r="M95">
            <v>685.17</v>
          </cell>
          <cell r="U95">
            <v>634</v>
          </cell>
          <cell r="AA95">
            <v>675.22</v>
          </cell>
          <cell r="AB95">
            <v>697.83</v>
          </cell>
          <cell r="AC95">
            <v>697.83</v>
          </cell>
          <cell r="AD95">
            <v>697.83</v>
          </cell>
        </row>
        <row r="96">
          <cell r="A96">
            <v>93</v>
          </cell>
          <cell r="H96">
            <v>660.94</v>
          </cell>
          <cell r="I96">
            <v>656.39</v>
          </cell>
          <cell r="J96">
            <v>666.39</v>
          </cell>
          <cell r="K96">
            <v>723.78</v>
          </cell>
          <cell r="L96">
            <v>722.11</v>
          </cell>
          <cell r="M96">
            <v>706.39</v>
          </cell>
          <cell r="U96">
            <v>641</v>
          </cell>
          <cell r="AA96">
            <v>687.44</v>
          </cell>
          <cell r="AB96">
            <v>708.49</v>
          </cell>
          <cell r="AC96">
            <v>708.49</v>
          </cell>
          <cell r="AD96">
            <v>708.49</v>
          </cell>
        </row>
        <row r="97">
          <cell r="A97">
            <v>94</v>
          </cell>
          <cell r="H97">
            <v>672.06</v>
          </cell>
          <cell r="I97">
            <v>665.89</v>
          </cell>
          <cell r="J97">
            <v>677.17</v>
          </cell>
          <cell r="U97">
            <v>648</v>
          </cell>
          <cell r="AA97">
            <v>700.09</v>
          </cell>
          <cell r="AB97">
            <v>720.1</v>
          </cell>
          <cell r="AC97">
            <v>720.1</v>
          </cell>
          <cell r="AD97">
            <v>720.1</v>
          </cell>
        </row>
        <row r="98">
          <cell r="A98">
            <v>95</v>
          </cell>
          <cell r="H98">
            <v>685.83</v>
          </cell>
          <cell r="I98">
            <v>676.89</v>
          </cell>
          <cell r="J98">
            <v>690.72</v>
          </cell>
          <cell r="U98">
            <v>656</v>
          </cell>
          <cell r="AA98">
            <v>713.39</v>
          </cell>
          <cell r="AB98">
            <v>722.84</v>
          </cell>
          <cell r="AC98">
            <v>722.84</v>
          </cell>
          <cell r="AD98">
            <v>722.84</v>
          </cell>
        </row>
        <row r="99">
          <cell r="A99">
            <v>96</v>
          </cell>
          <cell r="H99">
            <v>704.28</v>
          </cell>
          <cell r="I99">
            <v>690.83</v>
          </cell>
          <cell r="J99">
            <v>707.94</v>
          </cell>
          <cell r="U99">
            <v>665</v>
          </cell>
        </row>
        <row r="100">
          <cell r="A100">
            <v>97</v>
          </cell>
          <cell r="I100">
            <v>709.11</v>
          </cell>
          <cell r="U100">
            <v>676</v>
          </cell>
        </row>
        <row r="101">
          <cell r="A101">
            <v>98</v>
          </cell>
          <cell r="U101">
            <v>690</v>
          </cell>
        </row>
        <row r="102">
          <cell r="A102">
            <v>99</v>
          </cell>
          <cell r="U102">
            <v>706</v>
          </cell>
        </row>
        <row r="103">
          <cell r="A103">
            <v>100</v>
          </cell>
          <cell r="U103">
            <v>750</v>
          </cell>
        </row>
      </sheetData>
      <sheetData sheetId="1"/>
      <sheetData sheetId="2">
        <row r="12">
          <cell r="U12">
            <v>560</v>
          </cell>
          <cell r="V12">
            <v>-5</v>
          </cell>
        </row>
        <row r="13">
          <cell r="U13">
            <v>560</v>
          </cell>
          <cell r="V13">
            <v>120</v>
          </cell>
        </row>
      </sheetData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OP EOSL-A-ST-Krongkiat" id="{A3DA0FFC-5377-46BB-A874-FB2E428598F8}" userId="S::krongkiat@thaioilgroup.com::8be363cb-14e6-4581-84c5-ff3b19c1c15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8" dT="2024-12-25T06:58:12.22" personId="{A3DA0FFC-5377-46BB-A874-FB2E428598F8}" id="{54892A5B-1205-491C-9707-63163724BF1F}">
    <text>ASTM D2622 0.1560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E52AA77-1DA2-4ADF-8BD4-827EBE59CA28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cjLpKp--3kij5fhtrDvX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BED9-9E29-4D78-AD40-528F45E3408F}">
  <sheetPr>
    <tabColor rgb="FFFF0000"/>
    <pageSetUpPr fitToPage="1"/>
  </sheetPr>
  <dimension ref="B1:V90"/>
  <sheetViews>
    <sheetView showGridLines="0" tabSelected="1" zoomScale="70" zoomScaleNormal="70" zoomScaleSheetLayoutView="100" workbookViewId="0">
      <pane xSplit="4" ySplit="8" topLeftCell="E9" activePane="bottomRight" state="frozen"/>
      <selection activeCell="C183" sqref="C183"/>
      <selection pane="topRight" activeCell="C183" sqref="C183"/>
      <selection pane="bottomLeft" activeCell="C183" sqref="C183"/>
      <selection pane="bottomRight" activeCell="E7" sqref="E7"/>
    </sheetView>
  </sheetViews>
  <sheetFormatPr defaultColWidth="9.140625" defaultRowHeight="17.25" x14ac:dyDescent="0.3"/>
  <cols>
    <col min="1" max="2" width="9.140625" style="7"/>
    <col min="3" max="3" width="1" style="7" customWidth="1"/>
    <col min="4" max="4" width="31.140625" style="18" customWidth="1"/>
    <col min="5" max="5" width="31.85546875" style="18" bestFit="1" customWidth="1"/>
    <col min="6" max="6" width="14.42578125" style="18" customWidth="1"/>
    <col min="7" max="20" width="22.85546875" style="18" customWidth="1"/>
    <col min="21" max="21" width="22.85546875" style="7" customWidth="1"/>
    <col min="22" max="22" width="21.5703125" style="7" customWidth="1"/>
    <col min="23" max="16384" width="9.140625" style="7"/>
  </cols>
  <sheetData>
    <row r="1" spans="4:22" ht="26.25" customHeight="1" x14ac:dyDescent="0.35">
      <c r="D1" s="1559" t="s">
        <v>5</v>
      </c>
      <c r="E1" s="1559"/>
      <c r="F1" s="1559"/>
      <c r="G1" s="1559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4:22" ht="30.75" customHeight="1" x14ac:dyDescent="0.3">
      <c r="D2" s="8" t="s">
        <v>6</v>
      </c>
      <c r="E2" s="9" t="s">
        <v>355</v>
      </c>
      <c r="F2" s="10"/>
      <c r="G2" s="11"/>
      <c r="H2" s="11"/>
      <c r="I2" s="7"/>
      <c r="J2" s="7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4:22" ht="26.25" customHeight="1" x14ac:dyDescent="0.3">
      <c r="D3" s="8" t="s">
        <v>8</v>
      </c>
      <c r="E3" s="14" t="s">
        <v>435</v>
      </c>
      <c r="F3" s="15"/>
      <c r="G3" s="11"/>
      <c r="H3" s="11"/>
      <c r="I3" s="7"/>
      <c r="J3" s="7"/>
      <c r="K3" s="1560"/>
      <c r="L3" s="1560"/>
      <c r="M3" s="1560"/>
      <c r="N3" s="1560"/>
      <c r="O3" s="1560"/>
      <c r="P3" s="1560"/>
      <c r="Q3" s="1560"/>
      <c r="R3" s="1560"/>
      <c r="S3" s="1560"/>
      <c r="T3" s="1560"/>
      <c r="U3" s="1560"/>
      <c r="V3" s="190"/>
    </row>
    <row r="4" spans="4:22" ht="28.5" customHeight="1" x14ac:dyDescent="0.3">
      <c r="D4" s="8" t="s">
        <v>9</v>
      </c>
      <c r="E4" s="16" t="s">
        <v>10</v>
      </c>
      <c r="F4" s="15"/>
      <c r="G4" s="1561" t="s">
        <v>162</v>
      </c>
      <c r="H4" s="1561"/>
      <c r="I4" s="1561"/>
      <c r="J4" s="1561"/>
      <c r="K4" s="1562" t="s">
        <v>149</v>
      </c>
      <c r="L4" s="1562"/>
      <c r="M4" s="1562"/>
      <c r="N4" s="1562"/>
      <c r="O4" s="1562"/>
      <c r="P4" s="1562"/>
      <c r="Q4" s="1562"/>
      <c r="R4" s="1562"/>
      <c r="S4" s="1562"/>
      <c r="T4" s="1562"/>
      <c r="U4" s="1562"/>
      <c r="V4" s="189"/>
    </row>
    <row r="5" spans="4:22" ht="28.5" customHeight="1" x14ac:dyDescent="0.3">
      <c r="D5" s="8"/>
      <c r="E5" s="11"/>
      <c r="F5" s="12"/>
      <c r="G5" s="187" t="s">
        <v>94</v>
      </c>
      <c r="H5" s="185"/>
      <c r="I5" s="185"/>
      <c r="J5" s="185"/>
      <c r="K5" s="188" t="s">
        <v>358</v>
      </c>
      <c r="L5" s="186"/>
      <c r="M5" s="186"/>
      <c r="N5" s="186"/>
      <c r="O5" s="186"/>
      <c r="P5" s="186"/>
      <c r="Q5" s="188" t="s">
        <v>359</v>
      </c>
      <c r="R5" s="186"/>
      <c r="S5" s="186"/>
      <c r="T5" s="186"/>
      <c r="U5" s="186"/>
    </row>
    <row r="6" spans="4:22" ht="21.6" customHeight="1" x14ac:dyDescent="0.3">
      <c r="D6" s="17"/>
      <c r="F6" s="18" t="s">
        <v>357</v>
      </c>
      <c r="G6" s="191">
        <v>1</v>
      </c>
      <c r="H6" s="192">
        <v>2</v>
      </c>
      <c r="I6" s="192">
        <v>3</v>
      </c>
      <c r="J6" s="192">
        <v>4</v>
      </c>
      <c r="K6" s="191">
        <v>5</v>
      </c>
      <c r="L6" s="192">
        <v>6</v>
      </c>
      <c r="M6" s="192">
        <v>7</v>
      </c>
      <c r="N6" s="192">
        <v>8</v>
      </c>
      <c r="O6" s="192">
        <v>9</v>
      </c>
      <c r="P6" s="192">
        <v>10</v>
      </c>
      <c r="Q6" s="212">
        <v>11</v>
      </c>
      <c r="R6" s="213">
        <v>12</v>
      </c>
      <c r="S6" s="213">
        <v>13</v>
      </c>
      <c r="T6" s="213">
        <v>14</v>
      </c>
      <c r="U6" s="192">
        <v>15</v>
      </c>
      <c r="V6" s="213">
        <v>16</v>
      </c>
    </row>
    <row r="7" spans="4:22" ht="17.100000000000001" customHeight="1" thickBot="1" x14ac:dyDescent="0.35">
      <c r="D7" s="17"/>
      <c r="G7" s="184"/>
      <c r="H7" s="12"/>
      <c r="I7" s="12"/>
      <c r="J7" s="12"/>
      <c r="K7" s="184"/>
      <c r="L7" s="12"/>
      <c r="M7" s="12"/>
      <c r="N7" s="12"/>
      <c r="O7" s="12"/>
      <c r="P7" s="12"/>
      <c r="Q7" s="184"/>
      <c r="R7" s="12"/>
      <c r="S7" s="12"/>
      <c r="T7" s="12"/>
      <c r="U7" s="12"/>
    </row>
    <row r="8" spans="4:22" ht="18" thickBot="1" x14ac:dyDescent="0.35">
      <c r="D8" s="19" t="s">
        <v>11</v>
      </c>
      <c r="E8" s="20" t="s">
        <v>12</v>
      </c>
      <c r="F8" s="21" t="s">
        <v>13</v>
      </c>
      <c r="G8" s="22" t="s">
        <v>392</v>
      </c>
      <c r="H8" s="22" t="s">
        <v>392</v>
      </c>
      <c r="I8" s="22" t="s">
        <v>392</v>
      </c>
      <c r="J8" s="22" t="s">
        <v>392</v>
      </c>
      <c r="K8" s="22" t="s">
        <v>392</v>
      </c>
      <c r="L8" s="22" t="s">
        <v>392</v>
      </c>
      <c r="M8" s="22" t="s">
        <v>392</v>
      </c>
      <c r="N8" s="22" t="s">
        <v>392</v>
      </c>
      <c r="O8" s="22" t="s">
        <v>392</v>
      </c>
      <c r="P8" s="22" t="s">
        <v>392</v>
      </c>
      <c r="Q8" s="22" t="s">
        <v>392</v>
      </c>
      <c r="R8" s="22" t="s">
        <v>392</v>
      </c>
      <c r="S8" s="22" t="s">
        <v>392</v>
      </c>
      <c r="T8" s="22" t="s">
        <v>392</v>
      </c>
      <c r="U8" s="22" t="s">
        <v>392</v>
      </c>
      <c r="V8" s="22" t="s">
        <v>392</v>
      </c>
    </row>
    <row r="9" spans="4:22" ht="19.5" customHeight="1" x14ac:dyDescent="0.3">
      <c r="D9" s="23" t="s">
        <v>16</v>
      </c>
      <c r="E9" s="24" t="s">
        <v>17</v>
      </c>
      <c r="F9" s="25" t="s">
        <v>18</v>
      </c>
      <c r="G9" s="27"/>
      <c r="H9" s="28"/>
      <c r="I9" s="28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193"/>
      <c r="V9" s="208"/>
    </row>
    <row r="10" spans="4:22" ht="19.5" customHeight="1" x14ac:dyDescent="0.3">
      <c r="D10" s="30" t="s">
        <v>19</v>
      </c>
      <c r="E10" s="31" t="s">
        <v>17</v>
      </c>
      <c r="F10" s="32" t="s">
        <v>20</v>
      </c>
      <c r="G10" s="303"/>
      <c r="H10" s="304"/>
      <c r="I10" s="304"/>
      <c r="J10" s="305"/>
      <c r="K10" s="305"/>
      <c r="L10" s="305"/>
      <c r="M10" s="305"/>
      <c r="N10" s="305"/>
      <c r="O10" s="305"/>
      <c r="P10" s="305"/>
      <c r="Q10" s="305"/>
      <c r="R10" s="305"/>
      <c r="S10" s="305"/>
      <c r="T10" s="305"/>
      <c r="U10" s="306"/>
      <c r="V10" s="287"/>
    </row>
    <row r="11" spans="4:22" ht="19.5" customHeight="1" x14ac:dyDescent="0.3">
      <c r="D11" s="37" t="s">
        <v>21</v>
      </c>
      <c r="E11" s="31" t="s">
        <v>22</v>
      </c>
      <c r="F11" s="32" t="s">
        <v>23</v>
      </c>
      <c r="G11" s="38"/>
      <c r="H11" s="42"/>
      <c r="I11" s="42"/>
      <c r="J11" s="43"/>
      <c r="K11" s="43"/>
      <c r="L11" s="43"/>
      <c r="M11" s="43"/>
      <c r="N11" s="43"/>
      <c r="O11" s="43"/>
      <c r="P11" s="43"/>
      <c r="Q11" s="43"/>
      <c r="R11" s="628"/>
      <c r="S11" s="43"/>
      <c r="T11" s="43"/>
      <c r="U11" s="195"/>
      <c r="V11" s="287"/>
    </row>
    <row r="12" spans="4:22" ht="19.5" customHeight="1" x14ac:dyDescent="0.3">
      <c r="D12" s="37" t="s">
        <v>24</v>
      </c>
      <c r="E12" s="31" t="s">
        <v>25</v>
      </c>
      <c r="F12" s="32" t="s">
        <v>17</v>
      </c>
      <c r="G12" s="38"/>
      <c r="H12" s="42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195"/>
      <c r="V12" s="208"/>
    </row>
    <row r="13" spans="4:22" ht="19.5" customHeight="1" x14ac:dyDescent="0.3">
      <c r="D13" s="44" t="s">
        <v>26</v>
      </c>
      <c r="E13" s="1563" t="s">
        <v>27</v>
      </c>
      <c r="F13" s="1549" t="s">
        <v>28</v>
      </c>
      <c r="G13" s="38"/>
      <c r="H13" s="42"/>
      <c r="I13" s="42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195"/>
      <c r="V13" s="208"/>
    </row>
    <row r="14" spans="4:22" ht="19.5" customHeight="1" x14ac:dyDescent="0.3">
      <c r="D14" s="44" t="s">
        <v>29</v>
      </c>
      <c r="E14" s="1541"/>
      <c r="F14" s="1550"/>
      <c r="G14" s="47"/>
      <c r="H14" s="55"/>
      <c r="I14" s="55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196"/>
      <c r="V14" s="208"/>
    </row>
    <row r="15" spans="4:22" ht="19.5" customHeight="1" x14ac:dyDescent="0.3">
      <c r="D15" s="44" t="s">
        <v>30</v>
      </c>
      <c r="E15" s="1541"/>
      <c r="F15" s="1550"/>
      <c r="G15" s="47"/>
      <c r="H15" s="298"/>
      <c r="I15" s="298"/>
      <c r="J15" s="299"/>
      <c r="K15" s="299"/>
      <c r="L15" s="299"/>
      <c r="M15" s="299"/>
      <c r="N15" s="299"/>
      <c r="O15" s="299"/>
      <c r="P15" s="299"/>
      <c r="Q15" s="299"/>
      <c r="R15" s="299"/>
      <c r="S15" s="299"/>
      <c r="T15" s="299"/>
      <c r="U15" s="300"/>
      <c r="V15" s="287"/>
    </row>
    <row r="16" spans="4:22" ht="19.5" customHeight="1" x14ac:dyDescent="0.3">
      <c r="D16" s="44" t="s">
        <v>31</v>
      </c>
      <c r="E16" s="1541"/>
      <c r="F16" s="1550"/>
      <c r="G16" s="47"/>
      <c r="H16" s="55"/>
      <c r="I16" s="55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196"/>
      <c r="V16" s="287"/>
    </row>
    <row r="17" spans="2:22" ht="19.5" customHeight="1" x14ac:dyDescent="0.3">
      <c r="D17" s="44" t="s">
        <v>32</v>
      </c>
      <c r="E17" s="1541"/>
      <c r="F17" s="1550"/>
      <c r="G17" s="47"/>
      <c r="H17" s="55"/>
      <c r="I17" s="55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196"/>
      <c r="V17" s="208"/>
    </row>
    <row r="18" spans="2:22" ht="19.5" customHeight="1" x14ac:dyDescent="0.3">
      <c r="D18" s="44" t="s">
        <v>33</v>
      </c>
      <c r="E18" s="1542"/>
      <c r="F18" s="1551"/>
      <c r="G18" s="47"/>
      <c r="H18" s="55"/>
      <c r="I18" s="55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196"/>
      <c r="V18" s="208"/>
    </row>
    <row r="19" spans="2:22" ht="19.5" customHeight="1" x14ac:dyDescent="0.3">
      <c r="D19" s="1564" t="s">
        <v>34</v>
      </c>
      <c r="E19" s="58" t="s">
        <v>35</v>
      </c>
      <c r="F19" s="59" t="s">
        <v>36</v>
      </c>
      <c r="G19" s="60">
        <v>2.79</v>
      </c>
      <c r="H19" s="62">
        <v>4.33</v>
      </c>
      <c r="I19" s="62">
        <v>4.3600000000000003</v>
      </c>
      <c r="J19" s="63">
        <v>4.3849999999999998</v>
      </c>
      <c r="K19" s="63">
        <v>4.38</v>
      </c>
      <c r="L19" s="112">
        <v>3.746</v>
      </c>
      <c r="M19" s="112">
        <v>3.78</v>
      </c>
      <c r="N19" s="112">
        <v>3.907</v>
      </c>
      <c r="O19" s="835"/>
      <c r="P19" s="112"/>
      <c r="Q19" s="112"/>
      <c r="R19" s="112">
        <v>3.93</v>
      </c>
      <c r="S19" s="112">
        <v>3.5049999999999999</v>
      </c>
      <c r="T19" s="112">
        <v>3.35</v>
      </c>
      <c r="U19" s="197"/>
      <c r="V19" s="209"/>
    </row>
    <row r="20" spans="2:22" ht="19.5" customHeight="1" x14ac:dyDescent="0.3">
      <c r="D20" s="1564"/>
      <c r="E20" s="1538" t="s">
        <v>37</v>
      </c>
      <c r="F20" s="59" t="s">
        <v>36</v>
      </c>
      <c r="G20" s="47"/>
      <c r="H20" s="55"/>
      <c r="I20" s="55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196"/>
      <c r="V20" s="208"/>
    </row>
    <row r="21" spans="2:22" ht="19.5" customHeight="1" x14ac:dyDescent="0.3">
      <c r="D21" s="1564"/>
      <c r="E21" s="1538"/>
      <c r="F21" s="59" t="s">
        <v>38</v>
      </c>
      <c r="G21" s="47"/>
      <c r="H21" s="55"/>
      <c r="I21" s="55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196"/>
      <c r="V21" s="208"/>
    </row>
    <row r="22" spans="2:22" ht="19.5" customHeight="1" x14ac:dyDescent="0.3">
      <c r="D22" s="1565" t="s">
        <v>39</v>
      </c>
      <c r="E22" s="64" t="s">
        <v>40</v>
      </c>
      <c r="F22" s="59" t="s">
        <v>38</v>
      </c>
      <c r="G22" s="47"/>
      <c r="H22" s="55"/>
      <c r="I22" s="55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196"/>
      <c r="V22" s="208"/>
    </row>
    <row r="23" spans="2:22" ht="19.5" customHeight="1" x14ac:dyDescent="0.3">
      <c r="D23" s="1566"/>
      <c r="E23" s="1563" t="s">
        <v>41</v>
      </c>
      <c r="F23" s="66" t="s">
        <v>38</v>
      </c>
      <c r="G23" s="68">
        <v>1995</v>
      </c>
      <c r="H23" s="645"/>
      <c r="I23" s="70">
        <v>4296.49</v>
      </c>
      <c r="J23" s="71"/>
      <c r="K23" s="71">
        <v>3875</v>
      </c>
      <c r="L23" s="71">
        <v>4435.9799999999996</v>
      </c>
      <c r="M23" s="71">
        <v>6599</v>
      </c>
      <c r="N23" s="71">
        <v>6260.77</v>
      </c>
      <c r="O23" s="839"/>
      <c r="P23" s="71"/>
      <c r="Q23" s="71"/>
      <c r="R23" s="71">
        <v>6667</v>
      </c>
      <c r="S23" s="71">
        <v>7325</v>
      </c>
      <c r="T23" s="71">
        <v>7539</v>
      </c>
      <c r="U23" s="198"/>
      <c r="V23" s="209"/>
    </row>
    <row r="24" spans="2:22" ht="19.5" customHeight="1" x14ac:dyDescent="0.3">
      <c r="B24" s="72">
        <v>0.45190000000000002</v>
      </c>
      <c r="D24" s="1567"/>
      <c r="E24" s="1542"/>
      <c r="F24" s="66" t="s">
        <v>36</v>
      </c>
      <c r="G24" s="74">
        <f>G23/10000</f>
        <v>0.19950000000000001</v>
      </c>
      <c r="H24" s="646">
        <f t="shared" ref="H24:V24" si="0">H23/10000</f>
        <v>0</v>
      </c>
      <c r="I24" s="74">
        <f t="shared" si="0"/>
        <v>0.429649</v>
      </c>
      <c r="J24" s="74">
        <f t="shared" si="0"/>
        <v>0</v>
      </c>
      <c r="K24" s="74">
        <f t="shared" si="0"/>
        <v>0.38750000000000001</v>
      </c>
      <c r="L24" s="74">
        <f t="shared" si="0"/>
        <v>0.44359799999999994</v>
      </c>
      <c r="M24" s="74">
        <f t="shared" si="0"/>
        <v>0.65990000000000004</v>
      </c>
      <c r="N24" s="74">
        <f t="shared" si="0"/>
        <v>0.62607699999999999</v>
      </c>
      <c r="O24" s="646">
        <f t="shared" si="0"/>
        <v>0</v>
      </c>
      <c r="P24" s="74">
        <f t="shared" si="0"/>
        <v>0</v>
      </c>
      <c r="Q24" s="74">
        <f t="shared" si="0"/>
        <v>0</v>
      </c>
      <c r="R24" s="74">
        <f t="shared" si="0"/>
        <v>0.66669999999999996</v>
      </c>
      <c r="S24" s="74">
        <f t="shared" si="0"/>
        <v>0.73250000000000004</v>
      </c>
      <c r="T24" s="74">
        <f t="shared" si="0"/>
        <v>0.75390000000000001</v>
      </c>
      <c r="U24" s="74">
        <f t="shared" si="0"/>
        <v>0</v>
      </c>
      <c r="V24" s="74">
        <f t="shared" si="0"/>
        <v>0</v>
      </c>
    </row>
    <row r="25" spans="2:22" ht="19.5" customHeight="1" x14ac:dyDescent="0.3">
      <c r="D25" s="75" t="s">
        <v>42</v>
      </c>
      <c r="E25" s="1563" t="s">
        <v>43</v>
      </c>
      <c r="F25" s="1549" t="s">
        <v>36</v>
      </c>
      <c r="G25" s="47"/>
      <c r="H25" s="55"/>
      <c r="I25" s="55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196"/>
      <c r="V25" s="208"/>
    </row>
    <row r="26" spans="2:22" ht="19.5" customHeight="1" x14ac:dyDescent="0.3">
      <c r="B26" s="76"/>
      <c r="D26" s="44" t="s">
        <v>44</v>
      </c>
      <c r="E26" s="1541"/>
      <c r="F26" s="1550"/>
      <c r="G26" s="77">
        <v>88.02</v>
      </c>
      <c r="H26" s="62">
        <v>86.25</v>
      </c>
      <c r="I26" s="62">
        <v>86.14</v>
      </c>
      <c r="J26" s="63"/>
      <c r="K26" s="63">
        <v>86.59</v>
      </c>
      <c r="L26" s="63">
        <v>85.53</v>
      </c>
      <c r="M26" s="63">
        <v>85.98</v>
      </c>
      <c r="N26" s="62">
        <v>86.67</v>
      </c>
      <c r="O26" s="836"/>
      <c r="P26" s="63"/>
      <c r="Q26" s="63"/>
      <c r="R26" s="63">
        <v>86.99</v>
      </c>
      <c r="S26" s="63">
        <v>87.85</v>
      </c>
      <c r="T26" s="63">
        <v>86.78</v>
      </c>
      <c r="U26" s="199"/>
      <c r="V26" s="209"/>
    </row>
    <row r="27" spans="2:22" ht="19.5" customHeight="1" x14ac:dyDescent="0.3">
      <c r="B27" s="76"/>
      <c r="D27" s="44" t="s">
        <v>45</v>
      </c>
      <c r="E27" s="1541"/>
      <c r="F27" s="1550"/>
      <c r="G27" s="77">
        <v>10.59</v>
      </c>
      <c r="H27" s="62">
        <v>9.9160000000000004</v>
      </c>
      <c r="I27" s="62">
        <v>10.69</v>
      </c>
      <c r="J27" s="63"/>
      <c r="K27" s="63">
        <v>9.7799999999999994</v>
      </c>
      <c r="L27" s="63">
        <v>10.119999999999999</v>
      </c>
      <c r="M27" s="63">
        <v>10.99</v>
      </c>
      <c r="N27" s="62">
        <v>10.78</v>
      </c>
      <c r="O27" s="836"/>
      <c r="P27" s="63"/>
      <c r="Q27" s="63"/>
      <c r="R27" s="63">
        <v>10.44</v>
      </c>
      <c r="S27" s="63">
        <v>10.64</v>
      </c>
      <c r="T27" s="63">
        <v>11</v>
      </c>
      <c r="U27" s="199"/>
      <c r="V27" s="209"/>
    </row>
    <row r="28" spans="2:22" ht="19.5" customHeight="1" x14ac:dyDescent="0.3">
      <c r="B28" s="76"/>
      <c r="D28" s="44" t="s">
        <v>46</v>
      </c>
      <c r="E28" s="1542"/>
      <c r="F28" s="1551"/>
      <c r="G28" s="77">
        <v>0.27</v>
      </c>
      <c r="H28" s="62">
        <v>0.50290000000000001</v>
      </c>
      <c r="I28" s="62">
        <v>0.53810000000000002</v>
      </c>
      <c r="J28" s="63"/>
      <c r="K28" s="63">
        <v>0.66</v>
      </c>
      <c r="L28" s="63">
        <v>0.64059999999999995</v>
      </c>
      <c r="M28" s="63">
        <v>0.86099999999999999</v>
      </c>
      <c r="N28" s="62">
        <v>1.802</v>
      </c>
      <c r="O28" s="836"/>
      <c r="P28" s="63"/>
      <c r="Q28" s="63"/>
      <c r="R28" s="63">
        <v>2.3199999999999998</v>
      </c>
      <c r="S28" s="63">
        <v>2.84</v>
      </c>
      <c r="T28" s="63">
        <v>4.34</v>
      </c>
      <c r="U28" s="199"/>
      <c r="V28" s="209"/>
    </row>
    <row r="29" spans="2:22" ht="19.5" customHeight="1" x14ac:dyDescent="0.3">
      <c r="B29" s="76"/>
      <c r="D29" s="78" t="s">
        <v>150</v>
      </c>
      <c r="E29" s="79"/>
      <c r="F29" s="80"/>
      <c r="G29" s="2">
        <f>(G$26+G$27+G$24+G$19)</f>
        <v>101.59950000000001</v>
      </c>
      <c r="H29" s="2">
        <f t="shared" ref="H29:M29" si="1">(H$26+H$27+H$24+H$19)</f>
        <v>100.496</v>
      </c>
      <c r="I29" s="2">
        <f t="shared" si="1"/>
        <v>101.619649</v>
      </c>
      <c r="J29" s="2"/>
      <c r="K29" s="2">
        <f t="shared" si="1"/>
        <v>101.1375</v>
      </c>
      <c r="L29" s="2">
        <f t="shared" si="1"/>
        <v>99.839597999999995</v>
      </c>
      <c r="M29" s="2">
        <f t="shared" si="1"/>
        <v>101.40989999999999</v>
      </c>
      <c r="N29" s="2">
        <f>(N$26+N$27+N$24+N$19)</f>
        <v>101.98307699999999</v>
      </c>
      <c r="O29" s="2"/>
      <c r="P29" s="2"/>
      <c r="Q29" s="2"/>
      <c r="R29" s="2">
        <f t="shared" ref="R29:T29" si="2">(R$26+R$27+R$24+R$19)</f>
        <v>102.02670000000001</v>
      </c>
      <c r="S29" s="2">
        <f t="shared" si="2"/>
        <v>102.72749999999999</v>
      </c>
      <c r="T29" s="2">
        <f t="shared" si="2"/>
        <v>101.8839</v>
      </c>
      <c r="U29" s="2"/>
      <c r="V29" s="2"/>
    </row>
    <row r="30" spans="2:22" ht="19.5" customHeight="1" x14ac:dyDescent="0.3">
      <c r="D30" s="78" t="s">
        <v>151</v>
      </c>
      <c r="E30" s="79"/>
      <c r="F30" s="80"/>
      <c r="G30" s="2">
        <f>(100-G$32-G$33)/(1+(G$27/G$26))</f>
        <v>86.634284617542406</v>
      </c>
      <c r="H30" s="2">
        <f t="shared" ref="H30:T30" si="3">(100-H$32-H$33)/(1+(H$27/H$26))</f>
        <v>85.824311415379711</v>
      </c>
      <c r="I30" s="2">
        <f t="shared" si="3"/>
        <v>84.767070982502602</v>
      </c>
      <c r="J30" s="2"/>
      <c r="K30" s="2">
        <f t="shared" si="3"/>
        <v>85.61611667284636</v>
      </c>
      <c r="L30" s="2">
        <f t="shared" si="3"/>
        <v>85.667412242585343</v>
      </c>
      <c r="M30" s="2">
        <f t="shared" si="3"/>
        <v>84.784621619782698</v>
      </c>
      <c r="N30" s="2">
        <f t="shared" si="3"/>
        <v>84.984688194885521</v>
      </c>
      <c r="O30" s="2"/>
      <c r="P30" s="2"/>
      <c r="Q30" s="2"/>
      <c r="R30" s="2">
        <f t="shared" si="3"/>
        <v>85.261995144408289</v>
      </c>
      <c r="S30" s="2">
        <f t="shared" si="3"/>
        <v>85.51750991701347</v>
      </c>
      <c r="T30" s="2">
        <f t="shared" si="3"/>
        <v>85.175380997390164</v>
      </c>
      <c r="U30" s="2"/>
      <c r="V30" s="2"/>
    </row>
    <row r="31" spans="2:22" ht="19.5" customHeight="1" x14ac:dyDescent="0.3">
      <c r="D31" s="78" t="s">
        <v>152</v>
      </c>
      <c r="E31" s="79"/>
      <c r="F31" s="80" t="s">
        <v>36</v>
      </c>
      <c r="G31" s="2">
        <f>G$30*(G$27/G$26)</f>
        <v>10.423279642124223</v>
      </c>
      <c r="H31" s="2">
        <f t="shared" ref="H31:T31" si="4">H$30*(H$27/H$26)</f>
        <v>9.8670593854481776</v>
      </c>
      <c r="I31" s="2">
        <f t="shared" si="4"/>
        <v>10.51961909453161</v>
      </c>
      <c r="J31" s="2"/>
      <c r="K31" s="2">
        <f t="shared" si="4"/>
        <v>9.6700037078235059</v>
      </c>
      <c r="L31" s="2">
        <f t="shared" si="4"/>
        <v>10.136258761779066</v>
      </c>
      <c r="M31" s="2">
        <f t="shared" si="4"/>
        <v>10.837206229372084</v>
      </c>
      <c r="N31" s="2">
        <f t="shared" si="4"/>
        <v>10.570381201579162</v>
      </c>
      <c r="O31" s="2"/>
      <c r="P31" s="2"/>
      <c r="Q31" s="2"/>
      <c r="R31" s="2">
        <f t="shared" si="4"/>
        <v>10.232615580039344</v>
      </c>
      <c r="S31" s="2">
        <f t="shared" si="4"/>
        <v>10.35749920907255</v>
      </c>
      <c r="T31" s="2">
        <f t="shared" si="4"/>
        <v>10.796602799853558</v>
      </c>
      <c r="U31" s="2"/>
      <c r="V31" s="2"/>
    </row>
    <row r="32" spans="2:22" ht="19.5" customHeight="1" x14ac:dyDescent="0.3">
      <c r="D32" s="78" t="s">
        <v>153</v>
      </c>
      <c r="E32" s="79"/>
      <c r="F32" s="80"/>
      <c r="G32" s="2">
        <f>G$24*100/G$29</f>
        <v>0.1963592340513487</v>
      </c>
      <c r="H32" s="2">
        <f t="shared" ref="H32:T32" si="5">H$24*100/H$29</f>
        <v>0</v>
      </c>
      <c r="I32" s="2">
        <f t="shared" si="5"/>
        <v>0.42280110611285426</v>
      </c>
      <c r="J32" s="2"/>
      <c r="K32" s="2">
        <f t="shared" si="5"/>
        <v>0.38314176245210729</v>
      </c>
      <c r="L32" s="2">
        <f t="shared" si="5"/>
        <v>0.44431068322210188</v>
      </c>
      <c r="M32" s="2">
        <f t="shared" si="5"/>
        <v>0.65072542227139574</v>
      </c>
      <c r="N32" s="2">
        <f t="shared" si="5"/>
        <v>0.61390283409471946</v>
      </c>
      <c r="O32" s="2"/>
      <c r="P32" s="2"/>
      <c r="Q32" s="2"/>
      <c r="R32" s="2">
        <f t="shared" si="5"/>
        <v>0.65345639915825948</v>
      </c>
      <c r="S32" s="2">
        <f t="shared" si="5"/>
        <v>0.71305151979752268</v>
      </c>
      <c r="T32" s="2">
        <f t="shared" si="5"/>
        <v>0.73995989552814534</v>
      </c>
      <c r="U32" s="2"/>
      <c r="V32" s="2"/>
    </row>
    <row r="33" spans="4:22" ht="19.5" customHeight="1" x14ac:dyDescent="0.3">
      <c r="D33" s="78" t="s">
        <v>154</v>
      </c>
      <c r="E33" s="79"/>
      <c r="F33" s="80"/>
      <c r="G33" s="2">
        <f>G$19*100/G$29</f>
        <v>2.7460765062820189</v>
      </c>
      <c r="H33" s="2">
        <f t="shared" ref="H33:T33" si="6">H$19*100/H$29</f>
        <v>4.3086291991721062</v>
      </c>
      <c r="I33" s="2">
        <f t="shared" si="6"/>
        <v>4.2905088168529302</v>
      </c>
      <c r="J33" s="2"/>
      <c r="K33" s="2">
        <f t="shared" si="6"/>
        <v>4.3307378568780122</v>
      </c>
      <c r="L33" s="2">
        <f t="shared" si="6"/>
        <v>3.7520183124134778</v>
      </c>
      <c r="M33" s="2">
        <f t="shared" si="6"/>
        <v>3.7274467285738377</v>
      </c>
      <c r="N33" s="2">
        <f t="shared" si="6"/>
        <v>3.8310277694406105</v>
      </c>
      <c r="O33" s="2"/>
      <c r="P33" s="2"/>
      <c r="Q33" s="2"/>
      <c r="R33" s="2">
        <f t="shared" si="6"/>
        <v>3.8519328763941201</v>
      </c>
      <c r="S33" s="2">
        <f t="shared" si="6"/>
        <v>3.4119393541164733</v>
      </c>
      <c r="T33" s="2">
        <f t="shared" si="6"/>
        <v>3.2880563072281292</v>
      </c>
      <c r="U33" s="2"/>
      <c r="V33" s="2"/>
    </row>
    <row r="34" spans="4:22" ht="19.5" customHeight="1" x14ac:dyDescent="0.3">
      <c r="D34" s="78" t="s">
        <v>155</v>
      </c>
      <c r="E34" s="79"/>
      <c r="F34" s="80"/>
      <c r="G34" s="149">
        <f>G$31/G$30</f>
        <v>0.12031356509884118</v>
      </c>
      <c r="H34" s="149">
        <f>H$31/H$30</f>
        <v>0.11496811594202901</v>
      </c>
      <c r="I34" s="149">
        <f t="shared" ref="I34:T34" si="7">I$31/I$30</f>
        <v>0.12410030183422337</v>
      </c>
      <c r="J34" s="149"/>
      <c r="K34" s="149">
        <f t="shared" si="7"/>
        <v>0.11294606767525119</v>
      </c>
      <c r="L34" s="149">
        <f t="shared" si="7"/>
        <v>0.11832105693908568</v>
      </c>
      <c r="M34" s="149">
        <f t="shared" si="7"/>
        <v>0.12782042335426844</v>
      </c>
      <c r="N34" s="149">
        <f t="shared" si="7"/>
        <v>0.12437983154494058</v>
      </c>
      <c r="O34" s="149"/>
      <c r="P34" s="149"/>
      <c r="Q34" s="149"/>
      <c r="R34" s="149">
        <f t="shared" si="7"/>
        <v>0.12001379468904472</v>
      </c>
      <c r="S34" s="149">
        <f t="shared" si="7"/>
        <v>0.12111553784860561</v>
      </c>
      <c r="T34" s="149">
        <f t="shared" si="7"/>
        <v>0.12675731735422907</v>
      </c>
      <c r="U34" s="149"/>
      <c r="V34" s="149"/>
    </row>
    <row r="35" spans="4:22" ht="19.5" hidden="1" customHeight="1" x14ac:dyDescent="0.3">
      <c r="D35" s="81" t="s">
        <v>106</v>
      </c>
      <c r="E35" s="45"/>
      <c r="F35" s="46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200"/>
      <c r="V35" s="209"/>
    </row>
    <row r="36" spans="4:22" ht="19.5" hidden="1" customHeight="1" x14ac:dyDescent="0.3">
      <c r="D36" s="81" t="s">
        <v>107</v>
      </c>
      <c r="E36" s="45"/>
      <c r="F36" s="46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200"/>
      <c r="V36" s="209"/>
    </row>
    <row r="37" spans="4:22" ht="19.5" hidden="1" customHeight="1" x14ac:dyDescent="0.3">
      <c r="D37" s="81" t="s">
        <v>156</v>
      </c>
      <c r="E37" s="45"/>
      <c r="F37" s="46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200"/>
      <c r="V37" s="209"/>
    </row>
    <row r="38" spans="4:22" ht="19.5" hidden="1" customHeight="1" x14ac:dyDescent="0.3">
      <c r="D38" s="81" t="s">
        <v>157</v>
      </c>
      <c r="E38" s="45"/>
      <c r="F38" s="46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200"/>
      <c r="V38" s="209"/>
    </row>
    <row r="39" spans="4:22" ht="19.5" hidden="1" customHeight="1" x14ac:dyDescent="0.3">
      <c r="D39" s="81" t="s">
        <v>108</v>
      </c>
      <c r="E39" s="45"/>
      <c r="F39" s="46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200"/>
      <c r="V39" s="209"/>
    </row>
    <row r="40" spans="4:22" ht="19.5" customHeight="1" x14ac:dyDescent="0.3">
      <c r="D40" s="75" t="s">
        <v>47</v>
      </c>
      <c r="E40" s="1546" t="s">
        <v>48</v>
      </c>
      <c r="F40" s="1549" t="s">
        <v>38</v>
      </c>
      <c r="G40" s="47"/>
      <c r="H40" s="55"/>
      <c r="I40" s="55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196"/>
      <c r="V40" s="208"/>
    </row>
    <row r="41" spans="4:22" ht="19.5" customHeight="1" x14ac:dyDescent="0.3">
      <c r="D41" s="44" t="s">
        <v>49</v>
      </c>
      <c r="E41" s="1547"/>
      <c r="F41" s="1550"/>
      <c r="G41" s="60">
        <v>269.69</v>
      </c>
      <c r="H41" s="62">
        <v>1886.78</v>
      </c>
      <c r="I41" s="62">
        <v>88.02</v>
      </c>
      <c r="J41" s="63"/>
      <c r="K41" s="63">
        <v>75.77</v>
      </c>
      <c r="L41" s="63">
        <v>151.41</v>
      </c>
      <c r="M41" s="63">
        <v>137.30000000000001</v>
      </c>
      <c r="N41" s="63">
        <v>120.12</v>
      </c>
      <c r="O41" s="836"/>
      <c r="P41" s="63"/>
      <c r="Q41" s="63"/>
      <c r="R41" s="63">
        <v>181.05</v>
      </c>
      <c r="S41" s="63">
        <v>231.47</v>
      </c>
      <c r="T41" s="63">
        <v>216.66</v>
      </c>
      <c r="U41" s="199"/>
      <c r="V41" s="209"/>
    </row>
    <row r="42" spans="4:22" ht="19.5" customHeight="1" x14ac:dyDescent="0.3">
      <c r="D42" s="44" t="s">
        <v>50</v>
      </c>
      <c r="E42" s="1547"/>
      <c r="F42" s="1550"/>
      <c r="G42" s="60">
        <v>984.6</v>
      </c>
      <c r="H42" s="62">
        <v>5237.3599999999997</v>
      </c>
      <c r="I42" s="62">
        <v>230.15</v>
      </c>
      <c r="J42" s="63"/>
      <c r="K42" s="63">
        <v>186.78</v>
      </c>
      <c r="L42" s="63">
        <v>382.7</v>
      </c>
      <c r="M42" s="63">
        <v>323.52</v>
      </c>
      <c r="N42" s="63">
        <v>289.69</v>
      </c>
      <c r="O42" s="836"/>
      <c r="P42" s="63"/>
      <c r="Q42" s="63"/>
      <c r="R42" s="63">
        <v>433.24</v>
      </c>
      <c r="S42" s="63">
        <v>566.04999999999995</v>
      </c>
      <c r="T42" s="63">
        <v>558.42999999999995</v>
      </c>
      <c r="U42" s="199"/>
      <c r="V42" s="209"/>
    </row>
    <row r="43" spans="4:22" ht="19.5" customHeight="1" x14ac:dyDescent="0.3">
      <c r="D43" s="44" t="s">
        <v>51</v>
      </c>
      <c r="E43" s="1547"/>
      <c r="F43" s="1550"/>
      <c r="G43" s="60">
        <v>117.91</v>
      </c>
      <c r="H43" s="62">
        <v>551.79999999999995</v>
      </c>
      <c r="I43" s="62">
        <v>34.090000000000003</v>
      </c>
      <c r="J43" s="63"/>
      <c r="K43" s="63">
        <v>59.91</v>
      </c>
      <c r="L43" s="63">
        <v>22.29</v>
      </c>
      <c r="M43" s="63">
        <v>37.68</v>
      </c>
      <c r="N43" s="63">
        <v>41.75</v>
      </c>
      <c r="O43" s="836"/>
      <c r="P43" s="63"/>
      <c r="Q43" s="63"/>
      <c r="R43" s="63">
        <v>48.59</v>
      </c>
      <c r="S43" s="63">
        <v>58.69</v>
      </c>
      <c r="T43" s="63">
        <v>53.78</v>
      </c>
      <c r="U43" s="199"/>
      <c r="V43" s="209"/>
    </row>
    <row r="44" spans="4:22" ht="19.5" customHeight="1" x14ac:dyDescent="0.3">
      <c r="D44" s="44" t="s">
        <v>52</v>
      </c>
      <c r="E44" s="1547"/>
      <c r="F44" s="1550"/>
      <c r="G44" s="84">
        <v>35.74</v>
      </c>
      <c r="H44" s="62">
        <v>140.19</v>
      </c>
      <c r="I44" s="62">
        <v>4.95</v>
      </c>
      <c r="J44" s="63"/>
      <c r="K44" s="63">
        <v>11.36</v>
      </c>
      <c r="L44" s="63">
        <v>59.1</v>
      </c>
      <c r="M44" s="63">
        <v>16.13</v>
      </c>
      <c r="N44" s="63">
        <v>22.03</v>
      </c>
      <c r="O44" s="836"/>
      <c r="P44" s="63"/>
      <c r="Q44" s="63"/>
      <c r="R44" s="63">
        <v>25.9</v>
      </c>
      <c r="S44" s="63">
        <v>67.41</v>
      </c>
      <c r="T44" s="63">
        <v>79.03</v>
      </c>
      <c r="U44" s="199"/>
      <c r="V44" s="209"/>
    </row>
    <row r="45" spans="4:22" ht="19.5" customHeight="1" x14ac:dyDescent="0.3">
      <c r="D45" s="44" t="s">
        <v>53</v>
      </c>
      <c r="E45" s="1548"/>
      <c r="F45" s="1551"/>
      <c r="G45" s="60">
        <v>307.98</v>
      </c>
      <c r="H45" s="62">
        <v>2822.69</v>
      </c>
      <c r="I45" s="62">
        <v>106.96</v>
      </c>
      <c r="J45" s="63"/>
      <c r="K45" s="63">
        <v>89.3</v>
      </c>
      <c r="L45" s="63">
        <v>225.5</v>
      </c>
      <c r="M45" s="63">
        <v>172.18</v>
      </c>
      <c r="N45" s="63">
        <v>145.26</v>
      </c>
      <c r="O45" s="836"/>
      <c r="P45" s="63"/>
      <c r="Q45" s="63"/>
      <c r="R45" s="63">
        <v>233.06</v>
      </c>
      <c r="S45" s="63">
        <v>311.68</v>
      </c>
      <c r="T45" s="63">
        <v>259.36</v>
      </c>
      <c r="U45" s="199"/>
      <c r="V45" s="209"/>
    </row>
    <row r="46" spans="4:22" ht="19.5" customHeight="1" x14ac:dyDescent="0.3">
      <c r="D46" s="113" t="s">
        <v>3</v>
      </c>
      <c r="E46" s="79"/>
      <c r="F46" s="80"/>
      <c r="G46" s="115">
        <f>100-((G$41*100)/'HPS DAILY'!$G$42)</f>
        <v>-368.7000347584289</v>
      </c>
      <c r="H46" s="115">
        <f>100-((H$41*100)/'HPS DAILY'!$G$42)</f>
        <v>-3179.0754257907543</v>
      </c>
      <c r="I46" s="115">
        <f>100-((I$41*100)/'HPS DAILY'!$G$42)</f>
        <v>-52.971845672575597</v>
      </c>
      <c r="J46" s="115">
        <f>100-((J$41*100)/'HPS DAILY'!$G$42)</f>
        <v>100</v>
      </c>
      <c r="K46" s="115">
        <f>100-((K$41*100)/'HPS DAILY'!$H$42)</f>
        <v>33.159844742413554</v>
      </c>
      <c r="L46" s="115">
        <f>100-((L$41*100)/'HPS DAILY'!$H$42)</f>
        <v>-33.565631616090343</v>
      </c>
      <c r="M46" s="115">
        <f>100-((M$41*100)/'HPS DAILY'!$H$42)</f>
        <v>-21.118560338743848</v>
      </c>
      <c r="N46" s="115">
        <f>100-((N$41*100)/'HPS DAILY'!$H$42)</f>
        <v>-5.963302752293572</v>
      </c>
      <c r="O46" s="115">
        <f>100-((O$41*100)/'HPS DAILY'!$H$42)</f>
        <v>100</v>
      </c>
      <c r="P46" s="115">
        <f>100-((P$41*100)/'HPS DAILY'!$H$42)</f>
        <v>100</v>
      </c>
      <c r="Q46" s="115">
        <f>100-((Q$41*100)/'HPS DAILY'!$I$42)</f>
        <v>100</v>
      </c>
      <c r="R46" s="115">
        <f>100-((R$41*100)/'HPS DAILY'!$I$42)</f>
        <v>-5.6917688266199633</v>
      </c>
      <c r="S46" s="115">
        <f>100-((S$41*100)/'HPS DAILY'!$I$42)</f>
        <v>-35.125510799766488</v>
      </c>
      <c r="T46" s="115">
        <f>100-((T$41*100)/'HPS DAILY'!$I$42)</f>
        <v>-26.479859894921177</v>
      </c>
      <c r="U46" s="115">
        <f>100-((U$41*100)/'HPS DAILY'!$I$42)</f>
        <v>100</v>
      </c>
      <c r="V46" s="115">
        <f>100-((V$41*100)/'HPS DAILY'!$I$42)</f>
        <v>100</v>
      </c>
    </row>
    <row r="47" spans="4:22" ht="19.5" customHeight="1" x14ac:dyDescent="0.3">
      <c r="D47" s="113" t="s">
        <v>4</v>
      </c>
      <c r="E47" s="79" t="s">
        <v>163</v>
      </c>
      <c r="F47" s="80" t="s">
        <v>55</v>
      </c>
      <c r="G47" s="115">
        <f>100-((G$42*100)/'HPS DAILY'!$G$43)</f>
        <v>-406.8204045915478</v>
      </c>
      <c r="H47" s="115">
        <f>100-((H$42*100)/'HPS DAILY'!$G$43)</f>
        <v>-2595.9180521953976</v>
      </c>
      <c r="I47" s="115">
        <f>100-((I$42*100)/'HPS DAILY'!$G$43)</f>
        <v>-18.469140886395223</v>
      </c>
      <c r="J47" s="115">
        <f>100-((J$42*100)/'HPS DAILY'!$G$43)</f>
        <v>100</v>
      </c>
      <c r="K47" s="115">
        <f>100-((K$42*100)/'HPS DAILY'!$H$43)</f>
        <v>34.683172471674354</v>
      </c>
      <c r="L47" s="115">
        <f>100-((L$42*100)/'HPS DAILY'!$H$43)</f>
        <v>-33.829906280598692</v>
      </c>
      <c r="M47" s="115">
        <f>100-((M$42*100)/'HPS DAILY'!$H$43)</f>
        <v>-13.134704154427197</v>
      </c>
      <c r="N47" s="115">
        <f>100-((N$42*100)/'HPS DAILY'!$H$43)</f>
        <v>-1.3043782347181434</v>
      </c>
      <c r="O47" s="115">
        <f>100-((O$42*100)/'HPS DAILY'!$H$43)</f>
        <v>100</v>
      </c>
      <c r="P47" s="115">
        <f>100-((P$42*100)/'HPS DAILY'!$H$43)</f>
        <v>100</v>
      </c>
      <c r="Q47" s="115">
        <f>100-((Q$42*100)/'HPS DAILY'!$I$43)</f>
        <v>100</v>
      </c>
      <c r="R47" s="115">
        <f>100-((R$42*100)/'HPS DAILY'!$I$43)</f>
        <v>10.004154549231401</v>
      </c>
      <c r="S47" s="115">
        <f>100-((S$42*100)/'HPS DAILY'!$I$43)</f>
        <v>-17.584129621936015</v>
      </c>
      <c r="T47" s="115">
        <f>100-((T$42*100)/'HPS DAILY'!$I$43)</f>
        <v>-16.001246364769415</v>
      </c>
      <c r="U47" s="115">
        <f>100-((U$42*100)/'HPS DAILY'!$I$43)</f>
        <v>100</v>
      </c>
      <c r="V47" s="115">
        <f>100-((V$42*100)/'HPS DAILY'!$I$43)</f>
        <v>100</v>
      </c>
    </row>
    <row r="48" spans="4:22" ht="19.5" customHeight="1" x14ac:dyDescent="0.3">
      <c r="D48" s="113" t="s">
        <v>56</v>
      </c>
      <c r="E48" s="79"/>
      <c r="F48" s="80"/>
      <c r="G48" s="115">
        <f>100-((G41+G42)*100/('HPS DAILY'!$G$42+'HPS DAILY'!$G$43))</f>
        <v>-398.10968587427027</v>
      </c>
      <c r="H48" s="115">
        <f>100-((H41+H42)*100/('HPS DAILY'!$G$42+'HPS DAILY'!$G$43))</f>
        <v>-2729.1727890075849</v>
      </c>
      <c r="I48" s="115">
        <f>100-((I41+I42)*100/('HPS DAILY'!$G$42+'HPS DAILY'!$G$43))</f>
        <v>-26.353202811643698</v>
      </c>
      <c r="J48" s="115">
        <f>100-((J41+J42)*100/('HPS DAILY'!$G$42+'HPS DAILY'!$G$43))</f>
        <v>100</v>
      </c>
      <c r="K48" s="115">
        <f>100-((K41+K42)*100/('HPS DAILY'!$H$42+'HPS DAILY'!$H$43))</f>
        <v>34.250726234598815</v>
      </c>
      <c r="L48" s="115">
        <f>100-((L41+L42)*100/('HPS DAILY'!$H$42+'HPS DAILY'!$H$43))</f>
        <v>-33.75488330161275</v>
      </c>
      <c r="M48" s="115">
        <f>100-((M41+M42)*100/('HPS DAILY'!$H$42+'HPS DAILY'!$H$43))</f>
        <v>-15.401182009416004</v>
      </c>
      <c r="N48" s="115">
        <f>100-((N41+N42)*100/('HPS DAILY'!$H$42+'HPS DAILY'!$H$43))</f>
        <v>-2.6269658419312805</v>
      </c>
      <c r="O48" s="115">
        <f>100-((O41+O42)*100/('HPS DAILY'!$H$42+'HPS DAILY'!$H$43))</f>
        <v>100</v>
      </c>
      <c r="P48" s="115">
        <f>100-((P41+P42)*100/('HPS DAILY'!$H$42+'HPS DAILY'!$H$43))</f>
        <v>100</v>
      </c>
      <c r="Q48" s="115">
        <f>100-((Q41+Q42)*100/('HPS DAILY'!$I$42+'HPS DAILY'!$I$43))</f>
        <v>100</v>
      </c>
      <c r="R48" s="115">
        <f>100-((R41+R42)*100/('HPS DAILY'!$I$42+'HPS DAILY'!$I$43))</f>
        <v>5.8847862724069273</v>
      </c>
      <c r="S48" s="115">
        <f>100-((S41+S42)*100/('HPS DAILY'!$I$42+'HPS DAILY'!$I$43))</f>
        <v>-22.187835146315294</v>
      </c>
      <c r="T48" s="115">
        <f>100-((T41+T42)*100/('HPS DAILY'!$I$42+'HPS DAILY'!$I$43))</f>
        <v>-18.75134058526119</v>
      </c>
      <c r="U48" s="115">
        <f>100-((U41+U42)*100/('HPS DAILY'!$I$42+'HPS DAILY'!$I$43))</f>
        <v>100</v>
      </c>
      <c r="V48" s="115">
        <f>100-((V41+V42)*100/('HPS DAILY'!$I$42+'HPS DAILY'!$I$43))</f>
        <v>100</v>
      </c>
    </row>
    <row r="49" spans="4:22" ht="19.5" customHeight="1" x14ac:dyDescent="0.3">
      <c r="D49" s="75" t="s">
        <v>57</v>
      </c>
      <c r="E49" s="1546" t="s">
        <v>58</v>
      </c>
      <c r="F49" s="1549" t="s">
        <v>59</v>
      </c>
      <c r="G49" s="47"/>
      <c r="H49" s="55"/>
      <c r="I49" s="55"/>
      <c r="J49" s="56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201"/>
      <c r="V49" s="208"/>
    </row>
    <row r="50" spans="4:22" ht="19.5" customHeight="1" x14ac:dyDescent="0.3">
      <c r="D50" s="83" t="s">
        <v>60</v>
      </c>
      <c r="E50" s="1552"/>
      <c r="F50" s="1550"/>
      <c r="G50" s="84">
        <f>'HPS LTO DAILY '!J223</f>
        <v>94.5</v>
      </c>
      <c r="H50" s="84">
        <f>'HPS LTO DAILY '!K223</f>
        <v>89.7</v>
      </c>
      <c r="I50" s="84">
        <f>'HPS LTO DAILY '!L223</f>
        <v>166</v>
      </c>
      <c r="J50" s="84">
        <f>'HPS LTO DAILY '!M223</f>
        <v>0</v>
      </c>
      <c r="K50" s="84">
        <f>'HPS LTO DAILY '!N223</f>
        <v>118.8</v>
      </c>
      <c r="L50" s="84">
        <f>'HPS LTO DAILY '!O223</f>
        <v>114.7</v>
      </c>
      <c r="M50" s="84">
        <v>139.9</v>
      </c>
      <c r="N50" s="84">
        <f>'HPS LTO DAILY '!Q223</f>
        <v>135.1</v>
      </c>
      <c r="O50" s="840">
        <f>'HPS LTO DAILY '!R223</f>
        <v>0</v>
      </c>
      <c r="P50" s="84">
        <f>'HPS LTO DAILY '!S223</f>
        <v>0</v>
      </c>
      <c r="Q50" s="84">
        <f>'HPS LTO DAILY '!T223</f>
        <v>0</v>
      </c>
      <c r="R50" s="84">
        <f>'HPS LTO DAILY '!U223</f>
        <v>200.7</v>
      </c>
      <c r="S50" s="84">
        <f>'HPS LTO DAILY '!V223</f>
        <v>124.1</v>
      </c>
      <c r="T50" s="84">
        <f>'HPS LTO DAILY '!W223</f>
        <v>0</v>
      </c>
      <c r="U50" s="84">
        <f>'HPS LTO DAILY '!X223</f>
        <v>0</v>
      </c>
      <c r="V50" s="84">
        <f>'HPS LTO DAILY '!Y223</f>
        <v>0</v>
      </c>
    </row>
    <row r="51" spans="4:22" ht="19.5" customHeight="1" x14ac:dyDescent="0.3">
      <c r="D51" s="83">
        <v>5</v>
      </c>
      <c r="E51" s="1552"/>
      <c r="F51" s="1550"/>
      <c r="G51" s="84">
        <f>'HPS LTO DAILY '!J228</f>
        <v>109</v>
      </c>
      <c r="H51" s="84">
        <f>'HPS LTO DAILY '!K228</f>
        <v>243.5</v>
      </c>
      <c r="I51" s="84">
        <f>'HPS LTO DAILY '!L228</f>
        <v>371.1</v>
      </c>
      <c r="J51" s="84">
        <f>'HPS LTO DAILY '!M228</f>
        <v>0</v>
      </c>
      <c r="K51" s="84">
        <f>'HPS LTO DAILY '!N228</f>
        <v>330.2</v>
      </c>
      <c r="L51" s="84">
        <f>'HPS LTO DAILY '!O228</f>
        <v>322.8</v>
      </c>
      <c r="M51" s="84">
        <v>299.60000000000002</v>
      </c>
      <c r="N51" s="84">
        <f>'HPS LTO DAILY '!Q228</f>
        <v>310.7</v>
      </c>
      <c r="O51" s="840">
        <f>'HPS LTO DAILY '!R228</f>
        <v>0</v>
      </c>
      <c r="P51" s="84">
        <f>'HPS LTO DAILY '!S228</f>
        <v>0</v>
      </c>
      <c r="Q51" s="84">
        <f>'HPS LTO DAILY '!T228</f>
        <v>0</v>
      </c>
      <c r="R51" s="84">
        <f>'HPS LTO DAILY '!U228</f>
        <v>348.3</v>
      </c>
      <c r="S51" s="84">
        <f>'HPS LTO DAILY '!V228</f>
        <v>293.3</v>
      </c>
      <c r="T51" s="84">
        <f>'HPS LTO DAILY '!W228</f>
        <v>0</v>
      </c>
      <c r="U51" s="84">
        <f>'HPS LTO DAILY '!X228</f>
        <v>0</v>
      </c>
      <c r="V51" s="84">
        <f>'HPS LTO DAILY '!Y228</f>
        <v>0</v>
      </c>
    </row>
    <row r="52" spans="4:22" ht="19.5" customHeight="1" x14ac:dyDescent="0.3">
      <c r="D52" s="83">
        <v>10</v>
      </c>
      <c r="E52" s="1552"/>
      <c r="F52" s="1550"/>
      <c r="G52" s="84">
        <f>'HPS LTO DAILY '!J233</f>
        <v>109.6</v>
      </c>
      <c r="H52" s="84">
        <f>'HPS LTO DAILY '!K233</f>
        <v>399.6</v>
      </c>
      <c r="I52" s="84">
        <f>'HPS LTO DAILY '!L233</f>
        <v>445.2</v>
      </c>
      <c r="J52" s="84">
        <f>'HPS LTO DAILY '!M233</f>
        <v>0</v>
      </c>
      <c r="K52" s="84">
        <f>'HPS LTO DAILY '!N233</f>
        <v>399.5</v>
      </c>
      <c r="L52" s="84">
        <f>'HPS LTO DAILY '!O233</f>
        <v>401.5</v>
      </c>
      <c r="M52" s="84">
        <v>383.9</v>
      </c>
      <c r="N52" s="84">
        <f>'HPS LTO DAILY '!Q233</f>
        <v>402</v>
      </c>
      <c r="O52" s="840">
        <f>'HPS LTO DAILY '!R233</f>
        <v>0</v>
      </c>
      <c r="P52" s="84">
        <f>'HPS LTO DAILY '!S233</f>
        <v>0</v>
      </c>
      <c r="Q52" s="84">
        <f>'HPS LTO DAILY '!T233</f>
        <v>0</v>
      </c>
      <c r="R52" s="84">
        <f>'HPS LTO DAILY '!U233</f>
        <v>424.3</v>
      </c>
      <c r="S52" s="84">
        <f>'HPS LTO DAILY '!V233</f>
        <v>376</v>
      </c>
      <c r="T52" s="84">
        <f>'HPS LTO DAILY '!W233</f>
        <v>0</v>
      </c>
      <c r="U52" s="84">
        <f>'HPS LTO DAILY '!X233</f>
        <v>0</v>
      </c>
      <c r="V52" s="84">
        <f>'HPS LTO DAILY '!Y233</f>
        <v>0</v>
      </c>
    </row>
    <row r="53" spans="4:22" ht="19.5" customHeight="1" x14ac:dyDescent="0.3">
      <c r="D53" s="83">
        <v>15</v>
      </c>
      <c r="E53" s="1552"/>
      <c r="F53" s="1550"/>
      <c r="G53" s="84">
        <f>'HPS LTO DAILY '!J238</f>
        <v>110.1</v>
      </c>
      <c r="H53" s="84">
        <f>'HPS LTO DAILY '!K238</f>
        <v>464.9</v>
      </c>
      <c r="I53" s="84">
        <f>'HPS LTO DAILY '!L238</f>
        <v>499.8</v>
      </c>
      <c r="J53" s="84">
        <f>'HPS LTO DAILY '!M238</f>
        <v>0</v>
      </c>
      <c r="K53" s="84">
        <f>'HPS LTO DAILY '!N238</f>
        <v>446.9</v>
      </c>
      <c r="L53" s="84">
        <f>'HPS LTO DAILY '!O238</f>
        <v>456.6</v>
      </c>
      <c r="M53" s="84">
        <v>444.1</v>
      </c>
      <c r="N53" s="84">
        <f>'HPS LTO DAILY '!Q238</f>
        <v>467.3</v>
      </c>
      <c r="O53" s="840">
        <f>'HPS LTO DAILY '!R238</f>
        <v>0</v>
      </c>
      <c r="P53" s="84">
        <f>'HPS LTO DAILY '!S238</f>
        <v>0</v>
      </c>
      <c r="Q53" s="84">
        <f>'HPS LTO DAILY '!T238</f>
        <v>0</v>
      </c>
      <c r="R53" s="84">
        <f>'HPS LTO DAILY '!U238</f>
        <v>483.3</v>
      </c>
      <c r="S53" s="84">
        <f>'HPS LTO DAILY '!V238</f>
        <v>437</v>
      </c>
      <c r="T53" s="84">
        <f>'HPS LTO DAILY '!W238</f>
        <v>0</v>
      </c>
      <c r="U53" s="84">
        <f>'HPS LTO DAILY '!X238</f>
        <v>0</v>
      </c>
      <c r="V53" s="84">
        <f>'HPS LTO DAILY '!Y238</f>
        <v>0</v>
      </c>
    </row>
    <row r="54" spans="4:22" ht="19.5" customHeight="1" x14ac:dyDescent="0.3">
      <c r="D54" s="83">
        <v>20</v>
      </c>
      <c r="E54" s="1552"/>
      <c r="F54" s="1550"/>
      <c r="G54" s="84">
        <f>'HPS LTO DAILY '!J243</f>
        <v>110.5</v>
      </c>
      <c r="H54" s="84">
        <f>'HPS LTO DAILY '!K243</f>
        <v>515.6</v>
      </c>
      <c r="I54" s="84">
        <f>'HPS LTO DAILY '!L243</f>
        <v>537.5</v>
      </c>
      <c r="J54" s="84">
        <f>'HPS LTO DAILY '!M243</f>
        <v>0</v>
      </c>
      <c r="K54" s="84">
        <f>'HPS LTO DAILY '!N243</f>
        <v>486.8</v>
      </c>
      <c r="L54" s="84">
        <f>'HPS LTO DAILY '!O243</f>
        <v>502.1</v>
      </c>
      <c r="M54" s="84">
        <v>493.8</v>
      </c>
      <c r="N54" s="84">
        <f>'HPS LTO DAILY '!Q243</f>
        <v>517.29999999999995</v>
      </c>
      <c r="O54" s="840">
        <f>'HPS LTO DAILY '!R243</f>
        <v>0</v>
      </c>
      <c r="P54" s="84">
        <f>'HPS LTO DAILY '!S243</f>
        <v>0</v>
      </c>
      <c r="Q54" s="84">
        <f>'HPS LTO DAILY '!T243</f>
        <v>0</v>
      </c>
      <c r="R54" s="84">
        <f>'HPS LTO DAILY '!U243</f>
        <v>527</v>
      </c>
      <c r="S54" s="84">
        <f>'HPS LTO DAILY '!V243</f>
        <v>487.9</v>
      </c>
      <c r="T54" s="84">
        <f>'HPS LTO DAILY '!W243</f>
        <v>0</v>
      </c>
      <c r="U54" s="84">
        <f>'HPS LTO DAILY '!X243</f>
        <v>0</v>
      </c>
      <c r="V54" s="84">
        <f>'HPS LTO DAILY '!Y243</f>
        <v>0</v>
      </c>
    </row>
    <row r="55" spans="4:22" ht="19.5" customHeight="1" x14ac:dyDescent="0.3">
      <c r="D55" s="83">
        <v>30</v>
      </c>
      <c r="E55" s="1552"/>
      <c r="F55" s="1550"/>
      <c r="G55" s="84">
        <f>'HPS LTO DAILY '!J253</f>
        <v>111.1</v>
      </c>
      <c r="H55" s="84">
        <f>'HPS LTO DAILY '!K253</f>
        <v>572.20000000000005</v>
      </c>
      <c r="I55" s="84">
        <f>'HPS LTO DAILY '!L253</f>
        <v>579.29999999999995</v>
      </c>
      <c r="J55" s="84">
        <f>'HPS LTO DAILY '!M253</f>
        <v>0</v>
      </c>
      <c r="K55" s="84">
        <f>'HPS LTO DAILY '!N253</f>
        <v>537.6</v>
      </c>
      <c r="L55" s="84">
        <f>'HPS LTO DAILY '!O253</f>
        <v>555.70000000000005</v>
      </c>
      <c r="M55" s="84">
        <v>554.6</v>
      </c>
      <c r="N55" s="84">
        <f>'HPS LTO DAILY '!Q253</f>
        <v>568.5</v>
      </c>
      <c r="O55" s="840">
        <f>'HPS LTO DAILY '!R253</f>
        <v>0</v>
      </c>
      <c r="P55" s="84">
        <f>'HPS LTO DAILY '!S253</f>
        <v>0</v>
      </c>
      <c r="Q55" s="84">
        <f>'HPS LTO DAILY '!T253</f>
        <v>0</v>
      </c>
      <c r="R55" s="84">
        <f>'HPS LTO DAILY '!U253</f>
        <v>571.79999999999995</v>
      </c>
      <c r="S55" s="84">
        <f>'HPS LTO DAILY '!V253</f>
        <v>553.79999999999995</v>
      </c>
      <c r="T55" s="84">
        <f>'HPS LTO DAILY '!W253</f>
        <v>0</v>
      </c>
      <c r="U55" s="84">
        <f>'HPS LTO DAILY '!X253</f>
        <v>0</v>
      </c>
      <c r="V55" s="84">
        <f>'HPS LTO DAILY '!Y253</f>
        <v>0</v>
      </c>
    </row>
    <row r="56" spans="4:22" ht="19.5" customHeight="1" x14ac:dyDescent="0.3">
      <c r="D56" s="83">
        <v>40</v>
      </c>
      <c r="E56" s="1552"/>
      <c r="F56" s="1550"/>
      <c r="G56" s="84">
        <f>'HPS LTO DAILY '!J263</f>
        <v>159</v>
      </c>
      <c r="H56" s="84">
        <f>'HPS LTO DAILY '!K263</f>
        <v>602.6</v>
      </c>
      <c r="I56" s="84">
        <f>'HPS LTO DAILY '!L263</f>
        <v>606.9</v>
      </c>
      <c r="J56" s="84">
        <f>'HPS LTO DAILY '!M263</f>
        <v>0</v>
      </c>
      <c r="K56" s="84">
        <f>'HPS LTO DAILY '!N263</f>
        <v>566.4</v>
      </c>
      <c r="L56" s="84">
        <f>'HPS LTO DAILY '!O263</f>
        <v>586.1</v>
      </c>
      <c r="M56" s="84">
        <f>'HPS LTO DAILY '!P263</f>
        <v>586.1</v>
      </c>
      <c r="N56" s="84">
        <f>'HPS LTO DAILY '!Q263</f>
        <v>600</v>
      </c>
      <c r="O56" s="840">
        <f>'HPS LTO DAILY '!R263</f>
        <v>0</v>
      </c>
      <c r="P56" s="84">
        <f>'HPS LTO DAILY '!S263</f>
        <v>0</v>
      </c>
      <c r="Q56" s="84">
        <f>'HPS LTO DAILY '!T263</f>
        <v>0</v>
      </c>
      <c r="R56" s="84">
        <f>'HPS LTO DAILY '!U263</f>
        <v>602.6</v>
      </c>
      <c r="S56" s="84">
        <f>'HPS LTO DAILY '!V263</f>
        <v>588.4</v>
      </c>
      <c r="T56" s="84">
        <f>'HPS LTO DAILY '!W263</f>
        <v>0</v>
      </c>
      <c r="U56" s="84">
        <f>'HPS LTO DAILY '!X263</f>
        <v>0</v>
      </c>
      <c r="V56" s="84">
        <f>'HPS LTO DAILY '!Y263</f>
        <v>0</v>
      </c>
    </row>
    <row r="57" spans="4:22" ht="19.5" customHeight="1" x14ac:dyDescent="0.3">
      <c r="D57" s="83">
        <v>50</v>
      </c>
      <c r="E57" s="1552"/>
      <c r="F57" s="1550"/>
      <c r="G57" s="84">
        <f>'HPS LTO DAILY '!J273</f>
        <v>166.3</v>
      </c>
      <c r="H57" s="84">
        <f>'HPS LTO DAILY '!K273</f>
        <v>630.70000000000005</v>
      </c>
      <c r="I57" s="84">
        <f>'HPS LTO DAILY '!L273</f>
        <v>633.5</v>
      </c>
      <c r="J57" s="84">
        <f>'HPS LTO DAILY '!M273</f>
        <v>0</v>
      </c>
      <c r="K57" s="84">
        <f>'HPS LTO DAILY '!N273</f>
        <v>588</v>
      </c>
      <c r="L57" s="84">
        <f>'HPS LTO DAILY '!O273</f>
        <v>614.79999999999995</v>
      </c>
      <c r="M57" s="84">
        <f>'HPS LTO DAILY '!P273</f>
        <v>615.5</v>
      </c>
      <c r="N57" s="84">
        <f>'HPS LTO DAILY '!Q273</f>
        <v>633.70000000000005</v>
      </c>
      <c r="O57" s="840">
        <f>'HPS LTO DAILY '!R273</f>
        <v>0</v>
      </c>
      <c r="P57" s="84">
        <f>'HPS LTO DAILY '!S273</f>
        <v>0</v>
      </c>
      <c r="Q57" s="84">
        <f>'HPS LTO DAILY '!T273</f>
        <v>0</v>
      </c>
      <c r="R57" s="84">
        <f>'HPS LTO DAILY '!U273</f>
        <v>636.1</v>
      </c>
      <c r="S57" s="84">
        <f>'HPS LTO DAILY '!V273</f>
        <v>620.1</v>
      </c>
      <c r="T57" s="84">
        <f>'HPS LTO DAILY '!W273</f>
        <v>0</v>
      </c>
      <c r="U57" s="84">
        <f>'HPS LTO DAILY '!X273</f>
        <v>0</v>
      </c>
      <c r="V57" s="84">
        <f>'HPS LTO DAILY '!Y273</f>
        <v>0</v>
      </c>
    </row>
    <row r="58" spans="4:22" ht="19.5" customHeight="1" x14ac:dyDescent="0.3">
      <c r="D58" s="83">
        <v>60</v>
      </c>
      <c r="E58" s="1552"/>
      <c r="F58" s="1550"/>
      <c r="G58" s="84">
        <f>'HPS LTO DAILY '!J283</f>
        <v>412.8</v>
      </c>
      <c r="H58" s="84">
        <f>'HPS LTO DAILY '!K283</f>
        <v>660.4</v>
      </c>
      <c r="I58" s="84">
        <f>'HPS LTO DAILY '!L283</f>
        <v>662.2</v>
      </c>
      <c r="J58" s="84">
        <f>'HPS LTO DAILY '!M283</f>
        <v>0</v>
      </c>
      <c r="K58" s="84">
        <f>'HPS LTO DAILY '!N283</f>
        <v>609.5</v>
      </c>
      <c r="L58" s="84">
        <f>'HPS LTO DAILY '!O283</f>
        <v>646.70000000000005</v>
      </c>
      <c r="M58" s="84">
        <f>'HPS LTO DAILY '!P283</f>
        <v>650.20000000000005</v>
      </c>
      <c r="N58" s="84">
        <f>'HPS LTO DAILY '!Q283</f>
        <v>677.6</v>
      </c>
      <c r="O58" s="840">
        <f>'HPS LTO DAILY '!R283</f>
        <v>0</v>
      </c>
      <c r="P58" s="84">
        <f>'HPS LTO DAILY '!S283</f>
        <v>0</v>
      </c>
      <c r="Q58" s="84">
        <f>'HPS LTO DAILY '!T283</f>
        <v>0</v>
      </c>
      <c r="R58" s="84">
        <f>'HPS LTO DAILY '!U283</f>
        <v>683.7</v>
      </c>
      <c r="S58" s="84">
        <f>'HPS LTO DAILY '!V283</f>
        <v>656.7</v>
      </c>
      <c r="T58" s="84">
        <f>'HPS LTO DAILY '!W283</f>
        <v>0</v>
      </c>
      <c r="U58" s="84">
        <f>'HPS LTO DAILY '!X283</f>
        <v>0</v>
      </c>
      <c r="V58" s="84">
        <f>'HPS LTO DAILY '!Y283</f>
        <v>0</v>
      </c>
    </row>
    <row r="59" spans="4:22" ht="19.5" customHeight="1" x14ac:dyDescent="0.3">
      <c r="D59" s="83">
        <v>70</v>
      </c>
      <c r="E59" s="1552"/>
      <c r="F59" s="1550"/>
      <c r="G59" s="60">
        <f>'HPS LTO DAILY '!J293</f>
        <v>553.1</v>
      </c>
      <c r="H59" s="84">
        <f>'HPS LTO DAILY '!K293</f>
        <v>700</v>
      </c>
      <c r="I59" s="84">
        <f>'HPS LTO DAILY '!L293</f>
        <v>698.2</v>
      </c>
      <c r="J59" s="84">
        <f>'HPS LTO DAILY '!M293</f>
        <v>0</v>
      </c>
      <c r="K59" s="84">
        <f>'HPS LTO DAILY '!N293</f>
        <v>632.6</v>
      </c>
      <c r="L59" s="84">
        <f>'HPS LTO DAILY '!O293</f>
        <v>687.2</v>
      </c>
      <c r="M59" s="84">
        <f>'HPS LTO DAILY '!P293</f>
        <v>705.1</v>
      </c>
      <c r="N59" s="84" t="str">
        <f>'HPS LTO DAILY '!Q293</f>
        <v>-</v>
      </c>
      <c r="O59" s="840">
        <f>'HPS LTO DAILY '!R293</f>
        <v>0</v>
      </c>
      <c r="P59" s="84">
        <f>'HPS LTO DAILY '!S293</f>
        <v>0</v>
      </c>
      <c r="Q59" s="84">
        <f>'HPS LTO DAILY '!T293</f>
        <v>0</v>
      </c>
      <c r="R59" s="84" t="str">
        <f>'HPS LTO DAILY '!U293</f>
        <v>-</v>
      </c>
      <c r="S59" s="84">
        <f>'HPS LTO DAILY '!V293</f>
        <v>710.9</v>
      </c>
      <c r="T59" s="84">
        <f>'HPS LTO DAILY '!W293</f>
        <v>0</v>
      </c>
      <c r="U59" s="84">
        <f>'HPS LTO DAILY '!X293</f>
        <v>0</v>
      </c>
      <c r="V59" s="84">
        <f>'HPS LTO DAILY '!Y293</f>
        <v>0</v>
      </c>
    </row>
    <row r="60" spans="4:22" ht="19.5" customHeight="1" x14ac:dyDescent="0.3">
      <c r="D60" s="83">
        <v>80</v>
      </c>
      <c r="E60" s="1552"/>
      <c r="F60" s="1550"/>
      <c r="G60" s="60">
        <f>'HPS LTO DAILY '!J303</f>
        <v>621.4</v>
      </c>
      <c r="H60" s="84" t="str">
        <f>'HPS LTO DAILY '!K303</f>
        <v>-</v>
      </c>
      <c r="I60" s="84" t="str">
        <f>'HPS LTO DAILY '!L303</f>
        <v>-</v>
      </c>
      <c r="J60" s="84">
        <f>'HPS LTO DAILY '!M303</f>
        <v>0</v>
      </c>
      <c r="K60" s="84">
        <f>'HPS LTO DAILY '!N303</f>
        <v>657.8</v>
      </c>
      <c r="L60" s="84">
        <f>'HPS LTO DAILY '!O303</f>
        <v>733.1</v>
      </c>
      <c r="M60" s="84" t="str">
        <f>'HPS LTO DAILY '!P303</f>
        <v>-</v>
      </c>
      <c r="N60" s="84" t="str">
        <f>'HPS LTO DAILY '!Q303</f>
        <v>-</v>
      </c>
      <c r="O60" s="840">
        <f>'HPS LTO DAILY '!R303</f>
        <v>0</v>
      </c>
      <c r="P60" s="84">
        <f>'HPS LTO DAILY '!S303</f>
        <v>0</v>
      </c>
      <c r="Q60" s="84">
        <f>'HPS LTO DAILY '!T303</f>
        <v>0</v>
      </c>
      <c r="R60" s="84" t="str">
        <f>'HPS LTO DAILY '!U303</f>
        <v>-</v>
      </c>
      <c r="S60" s="84" t="str">
        <f>'HPS LTO DAILY '!V303</f>
        <v>-</v>
      </c>
      <c r="T60" s="84">
        <f>'HPS LTO DAILY '!W303</f>
        <v>0</v>
      </c>
      <c r="U60" s="84">
        <f>'HPS LTO DAILY '!X303</f>
        <v>0</v>
      </c>
      <c r="V60" s="84">
        <f>'HPS LTO DAILY '!Y303</f>
        <v>0</v>
      </c>
    </row>
    <row r="61" spans="4:22" ht="19.5" customHeight="1" x14ac:dyDescent="0.3">
      <c r="D61" s="83">
        <v>90</v>
      </c>
      <c r="E61" s="1552"/>
      <c r="F61" s="1550"/>
      <c r="G61" s="60">
        <f>'HPS LTO DAILY '!J313</f>
        <v>698.3</v>
      </c>
      <c r="H61" s="84" t="str">
        <f>'HPS LTO DAILY '!K313</f>
        <v>-</v>
      </c>
      <c r="I61" s="84" t="str">
        <f>'HPS LTO DAILY '!L313</f>
        <v>-</v>
      </c>
      <c r="J61" s="84">
        <f>'HPS LTO DAILY '!M313</f>
        <v>0</v>
      </c>
      <c r="K61" s="84">
        <f>'HPS LTO DAILY '!N313</f>
        <v>691.8</v>
      </c>
      <c r="L61" s="84" t="str">
        <f>'HPS LTO DAILY '!O313</f>
        <v>-</v>
      </c>
      <c r="M61" s="84" t="str">
        <f>'HPS LTO DAILY '!P313</f>
        <v>-</v>
      </c>
      <c r="N61" s="84" t="str">
        <f>'HPS LTO DAILY '!Q313</f>
        <v>-</v>
      </c>
      <c r="O61" s="840">
        <f>'HPS LTO DAILY '!R313</f>
        <v>0</v>
      </c>
      <c r="P61" s="84">
        <f>'HPS LTO DAILY '!S313</f>
        <v>0</v>
      </c>
      <c r="Q61" s="84">
        <f>'HPS LTO DAILY '!T313</f>
        <v>0</v>
      </c>
      <c r="R61" s="84" t="str">
        <f>'HPS LTO DAILY '!U313</f>
        <v>-</v>
      </c>
      <c r="S61" s="84" t="str">
        <f>'HPS LTO DAILY '!V313</f>
        <v>-</v>
      </c>
      <c r="T61" s="84">
        <f>'HPS LTO DAILY '!W313</f>
        <v>0</v>
      </c>
      <c r="U61" s="84">
        <f>'HPS LTO DAILY '!X313</f>
        <v>0</v>
      </c>
      <c r="V61" s="84">
        <f>'HPS LTO DAILY '!Y313</f>
        <v>0</v>
      </c>
    </row>
    <row r="62" spans="4:22" ht="19.5" customHeight="1" x14ac:dyDescent="0.3">
      <c r="D62" s="83">
        <v>95</v>
      </c>
      <c r="E62" s="1552"/>
      <c r="F62" s="1550"/>
      <c r="G62" s="60" t="str">
        <f>'HPS LTO DAILY '!J318</f>
        <v>-</v>
      </c>
      <c r="H62" s="84" t="str">
        <f>'HPS LTO DAILY '!K318</f>
        <v>-</v>
      </c>
      <c r="I62" s="84" t="str">
        <f>'HPS LTO DAILY '!L318</f>
        <v>-</v>
      </c>
      <c r="J62" s="84">
        <f>'HPS LTO DAILY '!M318</f>
        <v>0</v>
      </c>
      <c r="K62" s="84">
        <f>'HPS LTO DAILY '!N318</f>
        <v>710</v>
      </c>
      <c r="L62" s="84" t="str">
        <f>'HPS LTO DAILY '!O318</f>
        <v>-</v>
      </c>
      <c r="M62" s="84" t="str">
        <f>'HPS LTO DAILY '!P318</f>
        <v>-</v>
      </c>
      <c r="N62" s="84" t="str">
        <f>'HPS LTO DAILY '!Q318</f>
        <v>-</v>
      </c>
      <c r="O62" s="840">
        <f>'HPS LTO DAILY '!R318</f>
        <v>0</v>
      </c>
      <c r="P62" s="84">
        <f>'HPS LTO DAILY '!S318</f>
        <v>0</v>
      </c>
      <c r="Q62" s="84">
        <f>'HPS LTO DAILY '!T318</f>
        <v>0</v>
      </c>
      <c r="R62" s="84" t="str">
        <f>'HPS LTO DAILY '!U318</f>
        <v>-</v>
      </c>
      <c r="S62" s="84" t="str">
        <f>'HPS LTO DAILY '!V318</f>
        <v>-</v>
      </c>
      <c r="T62" s="84">
        <f>'HPS LTO DAILY '!W318</f>
        <v>0</v>
      </c>
      <c r="U62" s="84">
        <f>'HPS LTO DAILY '!X318</f>
        <v>0</v>
      </c>
      <c r="V62" s="84">
        <f>'HPS LTO DAILY '!Y318</f>
        <v>0</v>
      </c>
    </row>
    <row r="63" spans="4:22" ht="19.5" customHeight="1" thickBot="1" x14ac:dyDescent="0.35">
      <c r="D63" s="83" t="s">
        <v>61</v>
      </c>
      <c r="E63" s="89" t="s">
        <v>54</v>
      </c>
      <c r="F63" s="1551"/>
      <c r="G63" s="91" t="str">
        <f>'HPS LTO DAILY '!J323</f>
        <v>-</v>
      </c>
      <c r="H63" s="91" t="str">
        <f>'HPS LTO DAILY '!K323</f>
        <v>-</v>
      </c>
      <c r="I63" s="91" t="str">
        <f>'HPS LTO DAILY '!L323</f>
        <v>-</v>
      </c>
      <c r="J63" s="91">
        <f>'HPS LTO DAILY '!M323</f>
        <v>0</v>
      </c>
      <c r="K63" s="91">
        <f>'HPS LTO DAILY '!N323</f>
        <v>731.8</v>
      </c>
      <c r="L63" s="91" t="str">
        <f>'HPS LTO DAILY '!O323</f>
        <v>-</v>
      </c>
      <c r="M63" s="91" t="str">
        <f>'HPS LTO DAILY '!P323</f>
        <v>-</v>
      </c>
      <c r="N63" s="91" t="str">
        <f>'HPS LTO DAILY '!Q323</f>
        <v>-</v>
      </c>
      <c r="O63" s="841">
        <f>'HPS LTO DAILY '!R323</f>
        <v>0</v>
      </c>
      <c r="P63" s="91">
        <f>'HPS LTO DAILY '!S323</f>
        <v>0</v>
      </c>
      <c r="Q63" s="91">
        <f>'HPS LTO DAILY '!T323</f>
        <v>0</v>
      </c>
      <c r="R63" s="91" t="str">
        <f>'HPS LTO DAILY '!U323</f>
        <v>-</v>
      </c>
      <c r="S63" s="91" t="str">
        <f>'HPS LTO DAILY '!V323</f>
        <v>-</v>
      </c>
      <c r="T63" s="91">
        <f>'HPS LTO DAILY '!W323</f>
        <v>0</v>
      </c>
      <c r="U63" s="91">
        <f>'HPS LTO DAILY '!X323</f>
        <v>0</v>
      </c>
      <c r="V63" s="91">
        <f>'HPS LTO DAILY '!Y323</f>
        <v>0</v>
      </c>
    </row>
    <row r="64" spans="4:22" ht="19.5" customHeight="1" x14ac:dyDescent="0.3">
      <c r="D64" s="92" t="s">
        <v>159</v>
      </c>
      <c r="E64" s="93"/>
      <c r="F64" s="94"/>
      <c r="G64" s="95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202"/>
      <c r="V64" s="202"/>
    </row>
    <row r="65" spans="4:22" ht="19.5" customHeight="1" x14ac:dyDescent="0.3">
      <c r="D65" s="97" t="s">
        <v>101</v>
      </c>
      <c r="E65" s="1553" t="s">
        <v>58</v>
      </c>
      <c r="F65" s="1556" t="s">
        <v>36</v>
      </c>
      <c r="G65" s="3">
        <v>0.14199999999999999</v>
      </c>
      <c r="H65" s="99">
        <v>0.504</v>
      </c>
      <c r="I65" s="99">
        <v>0.121</v>
      </c>
      <c r="J65" s="99"/>
      <c r="K65" s="99">
        <v>0.19</v>
      </c>
      <c r="L65" s="99">
        <v>0.36</v>
      </c>
      <c r="M65" s="99">
        <v>0.69299999999999995</v>
      </c>
      <c r="N65" s="99">
        <v>0.23</v>
      </c>
      <c r="O65" s="842"/>
      <c r="P65" s="99"/>
      <c r="Q65" s="99"/>
      <c r="R65" s="99">
        <v>4.8000000000000001E-2</v>
      </c>
      <c r="S65" s="99">
        <v>0.309</v>
      </c>
      <c r="T65" s="99"/>
      <c r="U65" s="203"/>
      <c r="V65" s="223"/>
    </row>
    <row r="66" spans="4:22" ht="19.5" customHeight="1" x14ac:dyDescent="0.3">
      <c r="D66" s="97" t="s">
        <v>102</v>
      </c>
      <c r="E66" s="1554"/>
      <c r="F66" s="1557"/>
      <c r="G66" s="3">
        <v>41.622999999999998</v>
      </c>
      <c r="H66" s="99">
        <v>2.633</v>
      </c>
      <c r="I66" s="99">
        <v>0.34499999999999997</v>
      </c>
      <c r="J66" s="99"/>
      <c r="K66" s="99">
        <v>0.57299999999999995</v>
      </c>
      <c r="L66" s="99">
        <v>0.495</v>
      </c>
      <c r="M66" s="99">
        <v>0.59599999999999997</v>
      </c>
      <c r="N66" s="99">
        <v>0.55200000000000005</v>
      </c>
      <c r="O66" s="842"/>
      <c r="P66" s="99"/>
      <c r="Q66" s="99"/>
      <c r="R66" s="99">
        <v>0.14099999999999999</v>
      </c>
      <c r="S66" s="99">
        <v>0.58599999999999997</v>
      </c>
      <c r="T66" s="99"/>
      <c r="U66" s="203"/>
      <c r="V66" s="223"/>
    </row>
    <row r="67" spans="4:22" ht="19.5" customHeight="1" x14ac:dyDescent="0.3">
      <c r="D67" s="97" t="s">
        <v>103</v>
      </c>
      <c r="E67" s="1554"/>
      <c r="F67" s="1557"/>
      <c r="G67" s="3">
        <v>13.215</v>
      </c>
      <c r="H67" s="99">
        <v>1.962</v>
      </c>
      <c r="I67" s="99">
        <v>0.96199999999999997</v>
      </c>
      <c r="J67" s="99"/>
      <c r="K67" s="99">
        <v>1.381</v>
      </c>
      <c r="L67" s="99">
        <v>1.542</v>
      </c>
      <c r="M67" s="99">
        <v>2.2320000000000002</v>
      </c>
      <c r="N67" s="99">
        <v>2.0310000000000001</v>
      </c>
      <c r="O67" s="842"/>
      <c r="P67" s="99"/>
      <c r="Q67" s="99"/>
      <c r="R67" s="99">
        <v>1.038</v>
      </c>
      <c r="S67" s="99">
        <v>2.286</v>
      </c>
      <c r="T67" s="99"/>
      <c r="U67" s="203"/>
      <c r="V67" s="223"/>
    </row>
    <row r="68" spans="4:22" ht="19.5" customHeight="1" x14ac:dyDescent="0.3">
      <c r="D68" s="97" t="s">
        <v>104</v>
      </c>
      <c r="E68" s="1554"/>
      <c r="F68" s="1557"/>
      <c r="G68" s="3">
        <v>2.5790000000000002</v>
      </c>
      <c r="H68" s="99">
        <v>2.907</v>
      </c>
      <c r="I68" s="99">
        <v>3.044</v>
      </c>
      <c r="J68" s="99"/>
      <c r="K68" s="99">
        <v>4.5860000000000003</v>
      </c>
      <c r="L68" s="99">
        <v>4.5970000000000004</v>
      </c>
      <c r="M68" s="99">
        <v>5.359</v>
      </c>
      <c r="N68" s="99">
        <v>4.6180000000000003</v>
      </c>
      <c r="O68" s="842"/>
      <c r="P68" s="99"/>
      <c r="Q68" s="99"/>
      <c r="R68" s="99">
        <v>4.492</v>
      </c>
      <c r="S68" s="99">
        <v>5.7290000000000001</v>
      </c>
      <c r="T68" s="99"/>
      <c r="U68" s="203"/>
      <c r="V68" s="223"/>
    </row>
    <row r="69" spans="4:22" ht="19.5" customHeight="1" x14ac:dyDescent="0.3">
      <c r="D69" s="97" t="s">
        <v>105</v>
      </c>
      <c r="E69" s="1554"/>
      <c r="F69" s="1557"/>
      <c r="G69" s="3">
        <v>7.742</v>
      </c>
      <c r="H69" s="99">
        <v>10.257</v>
      </c>
      <c r="I69" s="99">
        <v>10.558</v>
      </c>
      <c r="J69" s="99"/>
      <c r="K69" s="99">
        <v>15.266999999999999</v>
      </c>
      <c r="L69" s="99">
        <v>12.727</v>
      </c>
      <c r="M69" s="99">
        <v>12.381</v>
      </c>
      <c r="N69" s="99">
        <v>10.598000000000001</v>
      </c>
      <c r="O69" s="842"/>
      <c r="P69" s="99"/>
      <c r="Q69" s="99"/>
      <c r="R69" s="99">
        <v>10.946</v>
      </c>
      <c r="S69" s="99">
        <v>12.404999999999999</v>
      </c>
      <c r="T69" s="99"/>
      <c r="U69" s="203"/>
      <c r="V69" s="223"/>
    </row>
    <row r="70" spans="4:22" ht="19.5" customHeight="1" x14ac:dyDescent="0.3">
      <c r="D70" s="97" t="s">
        <v>100</v>
      </c>
      <c r="E70" s="1554"/>
      <c r="F70" s="1557"/>
      <c r="G70" s="3">
        <v>5.5439999999999996</v>
      </c>
      <c r="H70" s="99">
        <v>8.6440000000000001</v>
      </c>
      <c r="I70" s="99">
        <v>9.3650000000000002</v>
      </c>
      <c r="J70" s="99"/>
      <c r="K70" s="99">
        <v>15.403</v>
      </c>
      <c r="L70" s="99">
        <v>11.484999999999999</v>
      </c>
      <c r="M70" s="99">
        <v>10.702</v>
      </c>
      <c r="N70" s="99">
        <v>9.6229999999999993</v>
      </c>
      <c r="O70" s="842"/>
      <c r="P70" s="99"/>
      <c r="Q70" s="99"/>
      <c r="R70" s="99">
        <v>9.8729999999999993</v>
      </c>
      <c r="S70" s="99">
        <v>10.145</v>
      </c>
      <c r="T70" s="99"/>
      <c r="U70" s="203"/>
      <c r="V70" s="223"/>
    </row>
    <row r="71" spans="4:22" ht="19.5" customHeight="1" x14ac:dyDescent="0.3">
      <c r="D71" s="97" t="s">
        <v>160</v>
      </c>
      <c r="E71" s="1555"/>
      <c r="F71" s="1558"/>
      <c r="G71" s="3">
        <f>100-SUM(G65:G70)</f>
        <v>29.155000000000001</v>
      </c>
      <c r="H71" s="3">
        <f t="shared" ref="H71:V71" si="8">100-SUM(H65:H70)</f>
        <v>73.093000000000004</v>
      </c>
      <c r="I71" s="3">
        <f t="shared" si="8"/>
        <v>75.605000000000004</v>
      </c>
      <c r="J71" s="3">
        <f t="shared" si="8"/>
        <v>100</v>
      </c>
      <c r="K71" s="3">
        <f t="shared" si="8"/>
        <v>62.6</v>
      </c>
      <c r="L71" s="3">
        <f t="shared" si="8"/>
        <v>68.793999999999997</v>
      </c>
      <c r="M71" s="3">
        <f t="shared" si="8"/>
        <v>68.037000000000006</v>
      </c>
      <c r="N71" s="3">
        <f t="shared" si="8"/>
        <v>72.347999999999999</v>
      </c>
      <c r="O71" s="843">
        <f t="shared" si="8"/>
        <v>100</v>
      </c>
      <c r="P71" s="3">
        <f t="shared" si="8"/>
        <v>100</v>
      </c>
      <c r="Q71" s="3">
        <f t="shared" si="8"/>
        <v>100</v>
      </c>
      <c r="R71" s="3">
        <f t="shared" si="8"/>
        <v>73.462000000000003</v>
      </c>
      <c r="S71" s="3">
        <f t="shared" si="8"/>
        <v>68.540000000000006</v>
      </c>
      <c r="T71" s="3">
        <f t="shared" si="8"/>
        <v>100</v>
      </c>
      <c r="U71" s="3">
        <f t="shared" si="8"/>
        <v>100</v>
      </c>
      <c r="V71" s="3">
        <f t="shared" si="8"/>
        <v>100</v>
      </c>
    </row>
    <row r="72" spans="4:22" ht="19.5" customHeight="1" thickBot="1" x14ac:dyDescent="0.35">
      <c r="D72" s="100" t="s">
        <v>161</v>
      </c>
      <c r="E72" s="93"/>
      <c r="F72" s="94"/>
      <c r="G72" s="636">
        <f>SUM(G65:G71)</f>
        <v>100</v>
      </c>
      <c r="H72" s="636">
        <f t="shared" ref="H72:V72" si="9">SUM(H65:H71)</f>
        <v>100</v>
      </c>
      <c r="I72" s="636">
        <f t="shared" si="9"/>
        <v>100</v>
      </c>
      <c r="J72" s="636">
        <f t="shared" si="9"/>
        <v>100</v>
      </c>
      <c r="K72" s="636">
        <f t="shared" si="9"/>
        <v>100</v>
      </c>
      <c r="L72" s="636">
        <f t="shared" si="9"/>
        <v>100</v>
      </c>
      <c r="M72" s="636">
        <f t="shared" si="9"/>
        <v>100</v>
      </c>
      <c r="N72" s="636">
        <f t="shared" si="9"/>
        <v>100</v>
      </c>
      <c r="O72" s="636">
        <f t="shared" si="9"/>
        <v>100</v>
      </c>
      <c r="P72" s="636">
        <f t="shared" si="9"/>
        <v>100</v>
      </c>
      <c r="Q72" s="636">
        <f t="shared" si="9"/>
        <v>100</v>
      </c>
      <c r="R72" s="636">
        <f t="shared" si="9"/>
        <v>100</v>
      </c>
      <c r="S72" s="636">
        <f t="shared" si="9"/>
        <v>100</v>
      </c>
      <c r="T72" s="636">
        <f t="shared" si="9"/>
        <v>100</v>
      </c>
      <c r="U72" s="636">
        <f t="shared" si="9"/>
        <v>100</v>
      </c>
      <c r="V72" s="636">
        <f t="shared" si="9"/>
        <v>100</v>
      </c>
    </row>
    <row r="73" spans="4:22" ht="18.75" customHeight="1" x14ac:dyDescent="0.3">
      <c r="D73" s="75" t="s">
        <v>62</v>
      </c>
      <c r="E73" s="1538" t="s">
        <v>63</v>
      </c>
      <c r="F73" s="1539" t="s">
        <v>55</v>
      </c>
      <c r="G73" s="47"/>
      <c r="H73" s="55"/>
      <c r="I73" s="55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196"/>
      <c r="V73" s="208"/>
    </row>
    <row r="74" spans="4:22" ht="18.75" customHeight="1" x14ac:dyDescent="0.3">
      <c r="D74" s="44" t="s">
        <v>64</v>
      </c>
      <c r="E74" s="1538"/>
      <c r="F74" s="1539"/>
      <c r="G74" s="47"/>
      <c r="H74" s="55"/>
      <c r="I74" s="55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196"/>
      <c r="V74" s="287"/>
    </row>
    <row r="75" spans="4:22" ht="18.75" customHeight="1" x14ac:dyDescent="0.3">
      <c r="D75" s="44" t="s">
        <v>65</v>
      </c>
      <c r="E75" s="1538"/>
      <c r="F75" s="1539"/>
      <c r="G75" s="47"/>
      <c r="H75" s="55"/>
      <c r="I75" s="55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196"/>
      <c r="V75" s="287"/>
    </row>
    <row r="76" spans="4:22" ht="18.75" customHeight="1" x14ac:dyDescent="0.3">
      <c r="D76" s="44" t="s">
        <v>66</v>
      </c>
      <c r="E76" s="1538"/>
      <c r="F76" s="1539"/>
      <c r="G76" s="47"/>
      <c r="H76" s="288"/>
      <c r="I76" s="55"/>
      <c r="J76" s="289"/>
      <c r="K76" s="289"/>
      <c r="L76" s="289"/>
      <c r="M76" s="289"/>
      <c r="N76" s="289"/>
      <c r="O76" s="289"/>
      <c r="P76" s="289"/>
      <c r="Q76" s="289"/>
      <c r="R76" s="289"/>
      <c r="S76" s="289"/>
      <c r="T76" s="289"/>
      <c r="U76" s="290"/>
      <c r="V76" s="287"/>
    </row>
    <row r="77" spans="4:22" ht="18.75" customHeight="1" x14ac:dyDescent="0.3">
      <c r="D77" s="44" t="s">
        <v>67</v>
      </c>
      <c r="E77" s="1538"/>
      <c r="F77" s="1539"/>
      <c r="G77" s="47"/>
      <c r="H77" s="55"/>
      <c r="I77" s="55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196"/>
      <c r="V77" s="287"/>
    </row>
    <row r="78" spans="4:22" ht="18.75" customHeight="1" x14ac:dyDescent="0.3">
      <c r="D78" s="44" t="s">
        <v>320</v>
      </c>
      <c r="E78" s="158"/>
      <c r="F78" s="159"/>
      <c r="G78" s="47"/>
      <c r="H78" s="55"/>
      <c r="I78" s="55"/>
      <c r="J78" s="56"/>
      <c r="K78" s="291"/>
      <c r="L78" s="291"/>
      <c r="M78" s="291"/>
      <c r="N78" s="291"/>
      <c r="O78" s="291"/>
      <c r="P78" s="291"/>
      <c r="Q78" s="291"/>
      <c r="R78" s="291"/>
      <c r="S78" s="291"/>
      <c r="T78" s="291"/>
      <c r="U78" s="292"/>
      <c r="V78" s="287"/>
    </row>
    <row r="79" spans="4:22" ht="18.75" customHeight="1" x14ac:dyDescent="0.3">
      <c r="D79" s="75" t="s">
        <v>68</v>
      </c>
      <c r="E79" s="1540" t="s">
        <v>69</v>
      </c>
      <c r="F79" s="1543" t="s">
        <v>17</v>
      </c>
      <c r="G79" s="47"/>
      <c r="H79" s="55"/>
      <c r="I79" s="55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196"/>
      <c r="V79" s="208"/>
    </row>
    <row r="80" spans="4:22" ht="18.75" customHeight="1" x14ac:dyDescent="0.3">
      <c r="D80" s="44" t="s">
        <v>70</v>
      </c>
      <c r="E80" s="1541"/>
      <c r="F80" s="1544"/>
      <c r="G80" s="47"/>
      <c r="H80" s="55"/>
      <c r="I80" s="55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196"/>
      <c r="V80" s="208"/>
    </row>
    <row r="81" spans="4:22" ht="18.75" customHeight="1" x14ac:dyDescent="0.3">
      <c r="D81" s="44" t="s">
        <v>71</v>
      </c>
      <c r="E81" s="1541"/>
      <c r="F81" s="1544"/>
      <c r="G81" s="47"/>
      <c r="H81" s="55"/>
      <c r="I81" s="55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196"/>
      <c r="V81" s="208"/>
    </row>
    <row r="82" spans="4:22" ht="18.75" customHeight="1" x14ac:dyDescent="0.3">
      <c r="D82" s="44" t="s">
        <v>72</v>
      </c>
      <c r="E82" s="1541"/>
      <c r="F82" s="1544"/>
      <c r="G82" s="47"/>
      <c r="H82" s="55"/>
      <c r="I82" s="55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196"/>
      <c r="V82" s="208"/>
    </row>
    <row r="83" spans="4:22" ht="18.75" customHeight="1" x14ac:dyDescent="0.3">
      <c r="D83" s="44" t="s">
        <v>73</v>
      </c>
      <c r="E83" s="1541"/>
      <c r="F83" s="1544"/>
      <c r="G83" s="47"/>
      <c r="H83" s="55"/>
      <c r="I83" s="55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196"/>
      <c r="V83" s="208"/>
    </row>
    <row r="84" spans="4:22" ht="18.75" customHeight="1" x14ac:dyDescent="0.3">
      <c r="D84" s="44" t="s">
        <v>74</v>
      </c>
      <c r="E84" s="1541"/>
      <c r="F84" s="1544"/>
      <c r="G84" s="47"/>
      <c r="H84" s="55"/>
      <c r="I84" s="55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196"/>
      <c r="V84" s="208"/>
    </row>
    <row r="85" spans="4:22" ht="18.75" customHeight="1" x14ac:dyDescent="0.3">
      <c r="D85" s="44" t="s">
        <v>75</v>
      </c>
      <c r="E85" s="1542"/>
      <c r="F85" s="1545"/>
      <c r="G85" s="47"/>
      <c r="H85" s="55"/>
      <c r="I85" s="55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196"/>
      <c r="V85" s="208"/>
    </row>
    <row r="86" spans="4:22" ht="19.5" customHeight="1" x14ac:dyDescent="0.3">
      <c r="D86" s="44" t="s">
        <v>76</v>
      </c>
      <c r="E86" s="58" t="s">
        <v>77</v>
      </c>
      <c r="F86" s="102" t="s">
        <v>36</v>
      </c>
      <c r="G86" s="84">
        <v>8.0299999999999994</v>
      </c>
      <c r="H86" s="644"/>
      <c r="I86" s="87">
        <v>13.12</v>
      </c>
      <c r="J86" s="88"/>
      <c r="K86" s="88">
        <v>16.93</v>
      </c>
      <c r="L86" s="88">
        <v>18.79</v>
      </c>
      <c r="M86" s="88">
        <v>22.1</v>
      </c>
      <c r="N86" s="88">
        <v>21.95</v>
      </c>
      <c r="O86" s="837"/>
      <c r="P86" s="88"/>
      <c r="Q86" s="88"/>
      <c r="R86" s="88">
        <v>20.14</v>
      </c>
      <c r="S86" s="88">
        <v>20.309999999999999</v>
      </c>
      <c r="T86" s="88">
        <v>22.03</v>
      </c>
      <c r="U86" s="59"/>
      <c r="V86" s="209"/>
    </row>
    <row r="87" spans="4:22" ht="19.5" customHeight="1" x14ac:dyDescent="0.3">
      <c r="D87" s="44" t="s">
        <v>78</v>
      </c>
      <c r="E87" s="58" t="s">
        <v>79</v>
      </c>
      <c r="F87" s="102" t="s">
        <v>36</v>
      </c>
      <c r="G87" s="84">
        <v>4.9000000000000004</v>
      </c>
      <c r="H87" s="85">
        <v>9.1</v>
      </c>
      <c r="I87" s="85">
        <v>9.1999999999999993</v>
      </c>
      <c r="J87" s="86"/>
      <c r="K87" s="86">
        <v>9.4</v>
      </c>
      <c r="L87" s="86">
        <v>11.2</v>
      </c>
      <c r="M87" s="86">
        <v>14</v>
      </c>
      <c r="N87" s="86">
        <v>14.4</v>
      </c>
      <c r="O87" s="838"/>
      <c r="P87" s="86"/>
      <c r="Q87" s="86"/>
      <c r="R87" s="86">
        <v>14.6</v>
      </c>
      <c r="S87" s="86">
        <v>12.83</v>
      </c>
      <c r="T87" s="86">
        <v>14.4</v>
      </c>
      <c r="U87" s="204"/>
      <c r="V87" s="209"/>
    </row>
    <row r="88" spans="4:22" ht="19.5" customHeight="1" x14ac:dyDescent="0.3">
      <c r="D88" s="44" t="s">
        <v>80</v>
      </c>
      <c r="E88" s="161" t="s">
        <v>81</v>
      </c>
      <c r="F88" s="59" t="s">
        <v>36</v>
      </c>
      <c r="G88" s="77">
        <v>11.7</v>
      </c>
      <c r="H88" s="62">
        <v>22.085100000000001</v>
      </c>
      <c r="I88" s="62">
        <v>21.51</v>
      </c>
      <c r="J88" s="63">
        <v>21.13</v>
      </c>
      <c r="K88" s="63">
        <v>21.1</v>
      </c>
      <c r="L88" s="63">
        <v>22.4</v>
      </c>
      <c r="M88" s="63">
        <v>24.6</v>
      </c>
      <c r="N88" s="63">
        <v>24.81</v>
      </c>
      <c r="O88" s="836"/>
      <c r="P88" s="63"/>
      <c r="Q88" s="63"/>
      <c r="R88" s="63">
        <v>26.02</v>
      </c>
      <c r="S88" s="63">
        <v>24.52</v>
      </c>
      <c r="T88" s="63"/>
      <c r="U88" s="199"/>
      <c r="V88" s="209"/>
    </row>
    <row r="89" spans="4:22" ht="19.5" customHeight="1" thickBot="1" x14ac:dyDescent="0.35">
      <c r="D89" s="116" t="s">
        <v>82</v>
      </c>
      <c r="E89" s="117" t="s">
        <v>83</v>
      </c>
      <c r="F89" s="118" t="s">
        <v>36</v>
      </c>
      <c r="G89" s="296"/>
      <c r="H89" s="297"/>
      <c r="I89" s="297"/>
      <c r="J89" s="293"/>
      <c r="K89" s="293"/>
      <c r="L89" s="293"/>
      <c r="M89" s="293"/>
      <c r="N89" s="293"/>
      <c r="O89" s="293"/>
      <c r="P89" s="293"/>
      <c r="Q89" s="294"/>
      <c r="R89" s="293"/>
      <c r="S89" s="293"/>
      <c r="T89" s="293"/>
      <c r="U89" s="295"/>
      <c r="V89" s="287"/>
    </row>
    <row r="90" spans="4:22" x14ac:dyDescent="0.3">
      <c r="U90" s="18"/>
      <c r="V90" s="209"/>
    </row>
  </sheetData>
  <mergeCells count="22">
    <mergeCell ref="F25:F28"/>
    <mergeCell ref="D1:G1"/>
    <mergeCell ref="K3:U3"/>
    <mergeCell ref="G4:J4"/>
    <mergeCell ref="K4:U4"/>
    <mergeCell ref="E13:E18"/>
    <mergeCell ref="F13:F18"/>
    <mergeCell ref="D19:D21"/>
    <mergeCell ref="E20:E21"/>
    <mergeCell ref="D22:D24"/>
    <mergeCell ref="E23:E24"/>
    <mergeCell ref="E25:E28"/>
    <mergeCell ref="E73:E77"/>
    <mergeCell ref="F73:F77"/>
    <mergeCell ref="E79:E85"/>
    <mergeCell ref="F79:F85"/>
    <mergeCell ref="E40:E45"/>
    <mergeCell ref="F40:F45"/>
    <mergeCell ref="E49:E62"/>
    <mergeCell ref="F49:F63"/>
    <mergeCell ref="E65:E71"/>
    <mergeCell ref="F65:F71"/>
  </mergeCells>
  <printOptions horizontalCentered="1"/>
  <pageMargins left="0.24" right="0.17" top="0.52" bottom="0.38" header="0.31496062992126" footer="0.16"/>
  <pageSetup paperSize="9" scale="47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2A28-ACCA-4B5F-9D2E-8C6F9F6CDA36}">
  <sheetPr codeName="Sheet13">
    <tabColor rgb="FFFFFF00"/>
    <pageSetUpPr fitToPage="1"/>
  </sheetPr>
  <dimension ref="B1:X95"/>
  <sheetViews>
    <sheetView showGridLines="0" zoomScale="49" zoomScaleNormal="70" zoomScaleSheetLayoutView="100" workbookViewId="0">
      <pane xSplit="5" ySplit="7" topLeftCell="F26" activePane="bottomRight" state="frozen"/>
      <selection activeCell="C183" sqref="C183"/>
      <selection pane="topRight" activeCell="C183" sqref="C183"/>
      <selection pane="bottomLeft" activeCell="C183" sqref="C183"/>
      <selection pane="bottomRight" activeCell="F5" sqref="F5"/>
    </sheetView>
  </sheetViews>
  <sheetFormatPr defaultColWidth="9.140625" defaultRowHeight="17.25" x14ac:dyDescent="0.3"/>
  <cols>
    <col min="1" max="2" width="9.140625" style="7"/>
    <col min="3" max="3" width="1" style="7" customWidth="1"/>
    <col min="4" max="4" width="31.140625" style="18" customWidth="1"/>
    <col min="5" max="5" width="31.85546875" style="18" bestFit="1" customWidth="1"/>
    <col min="6" max="6" width="14.42578125" style="18" customWidth="1"/>
    <col min="7" max="7" width="22.85546875" style="18" hidden="1" customWidth="1"/>
    <col min="8" max="22" width="22.85546875" style="18" customWidth="1"/>
    <col min="23" max="24" width="22.85546875" style="13" customWidth="1"/>
    <col min="25" max="30" width="22.85546875" style="7" customWidth="1"/>
    <col min="31" max="16384" width="9.140625" style="7"/>
  </cols>
  <sheetData>
    <row r="1" spans="4:24" ht="26.25" customHeight="1" x14ac:dyDescent="0.35">
      <c r="D1" s="1559" t="s">
        <v>5</v>
      </c>
      <c r="E1" s="1559"/>
      <c r="F1" s="1559"/>
      <c r="G1" s="1559"/>
      <c r="H1" s="1559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</row>
    <row r="2" spans="4:24" ht="30.75" customHeight="1" x14ac:dyDescent="0.3">
      <c r="D2" s="8" t="s">
        <v>6</v>
      </c>
      <c r="E2" s="9" t="s">
        <v>7</v>
      </c>
      <c r="F2" s="10"/>
      <c r="G2" s="10"/>
      <c r="H2" s="11"/>
      <c r="I2" s="11"/>
      <c r="J2" s="11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4:24" ht="26.25" customHeight="1" x14ac:dyDescent="0.3">
      <c r="D3" s="8" t="s">
        <v>8</v>
      </c>
      <c r="E3" s="14" t="s">
        <v>435</v>
      </c>
      <c r="F3" s="15"/>
      <c r="G3" s="15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4:24" ht="28.5" customHeight="1" x14ac:dyDescent="0.3">
      <c r="D4" s="8" t="s">
        <v>9</v>
      </c>
      <c r="E4" s="16" t="s">
        <v>10</v>
      </c>
      <c r="F4" s="15"/>
      <c r="G4" s="15"/>
      <c r="H4" s="1562" t="s">
        <v>149</v>
      </c>
      <c r="I4" s="1562"/>
      <c r="J4" s="1562"/>
      <c r="K4" s="1562"/>
      <c r="L4" s="1562"/>
      <c r="M4" s="1562"/>
      <c r="N4" s="1562"/>
      <c r="O4" s="1562"/>
      <c r="P4" s="1562"/>
      <c r="Q4" s="1562"/>
      <c r="R4" s="1562"/>
      <c r="S4" s="1562"/>
      <c r="T4" s="1562"/>
      <c r="U4" s="1562"/>
      <c r="V4" s="1562"/>
      <c r="W4" s="214"/>
      <c r="X4" s="214"/>
    </row>
    <row r="5" spans="4:24" ht="31.5" customHeight="1" x14ac:dyDescent="0.3">
      <c r="D5" s="17"/>
      <c r="F5" s="18" t="s">
        <v>357</v>
      </c>
      <c r="G5" s="18" t="s">
        <v>357</v>
      </c>
      <c r="H5" s="212">
        <v>1</v>
      </c>
      <c r="I5" s="213">
        <v>2</v>
      </c>
      <c r="J5" s="213">
        <v>3</v>
      </c>
      <c r="K5" s="213">
        <v>4</v>
      </c>
      <c r="L5" s="212">
        <v>5</v>
      </c>
      <c r="M5" s="213">
        <v>6</v>
      </c>
      <c r="N5" s="213">
        <v>7</v>
      </c>
      <c r="O5" s="213">
        <v>8</v>
      </c>
      <c r="P5" s="213">
        <v>9</v>
      </c>
      <c r="Q5" s="213">
        <v>10</v>
      </c>
      <c r="R5" s="212">
        <v>11</v>
      </c>
      <c r="S5" s="213">
        <v>12</v>
      </c>
      <c r="T5" s="213">
        <v>13</v>
      </c>
      <c r="U5" s="213">
        <v>14</v>
      </c>
      <c r="V5" s="213">
        <v>15</v>
      </c>
      <c r="W5" s="213" t="s">
        <v>591</v>
      </c>
      <c r="X5" s="213" t="s">
        <v>592</v>
      </c>
    </row>
    <row r="6" spans="4:24" ht="17.25" customHeight="1" thickBot="1" x14ac:dyDescent="0.35">
      <c r="D6" s="17"/>
      <c r="G6" s="18" t="s">
        <v>356</v>
      </c>
      <c r="H6" s="184"/>
      <c r="I6" s="12"/>
      <c r="J6" s="12"/>
      <c r="K6" s="12"/>
      <c r="L6" s="211"/>
      <c r="M6" s="12"/>
      <c r="N6" s="12"/>
      <c r="O6" s="12"/>
      <c r="P6" s="12"/>
      <c r="Q6" s="12"/>
      <c r="R6" s="184"/>
      <c r="S6" s="12"/>
      <c r="T6" s="12"/>
      <c r="U6" s="12"/>
      <c r="V6" s="12"/>
      <c r="W6" s="933" t="s">
        <v>593</v>
      </c>
      <c r="X6" s="18" t="s">
        <v>590</v>
      </c>
    </row>
    <row r="7" spans="4:24" ht="18" thickBot="1" x14ac:dyDescent="0.35">
      <c r="D7" s="19" t="s">
        <v>11</v>
      </c>
      <c r="E7" s="20" t="s">
        <v>12</v>
      </c>
      <c r="F7" s="21" t="s">
        <v>13</v>
      </c>
      <c r="G7" s="22" t="s">
        <v>14</v>
      </c>
      <c r="H7" s="22" t="s">
        <v>0</v>
      </c>
      <c r="I7" s="22" t="s">
        <v>0</v>
      </c>
      <c r="J7" s="22" t="s">
        <v>0</v>
      </c>
      <c r="K7" s="210" t="s">
        <v>0</v>
      </c>
      <c r="L7" s="111" t="s">
        <v>0</v>
      </c>
      <c r="M7" s="111" t="s">
        <v>0</v>
      </c>
      <c r="N7" s="111" t="s">
        <v>0</v>
      </c>
      <c r="O7" s="111" t="s">
        <v>0</v>
      </c>
      <c r="P7" s="111" t="s">
        <v>0</v>
      </c>
      <c r="Q7" s="111" t="s">
        <v>0</v>
      </c>
      <c r="R7" s="22" t="s">
        <v>0</v>
      </c>
      <c r="S7" s="22" t="s">
        <v>0</v>
      </c>
      <c r="T7" s="22" t="s">
        <v>0</v>
      </c>
      <c r="U7" s="22" t="s">
        <v>0</v>
      </c>
      <c r="V7" s="22" t="s">
        <v>0</v>
      </c>
      <c r="W7" s="22" t="s">
        <v>0</v>
      </c>
      <c r="X7" s="22" t="s">
        <v>0</v>
      </c>
    </row>
    <row r="8" spans="4:24" ht="19.5" customHeight="1" x14ac:dyDescent="0.3">
      <c r="D8" s="23" t="s">
        <v>16</v>
      </c>
      <c r="E8" s="24" t="s">
        <v>17</v>
      </c>
      <c r="F8" s="25" t="s">
        <v>18</v>
      </c>
      <c r="G8" s="26">
        <v>100</v>
      </c>
      <c r="H8" s="27"/>
      <c r="I8" s="27"/>
      <c r="J8" s="28"/>
      <c r="K8" s="28"/>
      <c r="L8" s="28"/>
      <c r="M8" s="28"/>
      <c r="N8" s="28"/>
      <c r="O8" s="28"/>
      <c r="P8" s="28"/>
      <c r="Q8" s="28"/>
      <c r="R8" s="29"/>
      <c r="S8" s="29"/>
      <c r="T8" s="29"/>
      <c r="U8" s="29"/>
      <c r="V8" s="29"/>
      <c r="W8" s="29"/>
      <c r="X8" s="29"/>
    </row>
    <row r="9" spans="4:24" ht="19.5" customHeight="1" x14ac:dyDescent="0.3">
      <c r="D9" s="30" t="s">
        <v>436</v>
      </c>
      <c r="E9" s="31" t="s">
        <v>17</v>
      </c>
      <c r="F9" s="32" t="s">
        <v>20</v>
      </c>
      <c r="G9" s="33"/>
      <c r="H9" s="34">
        <v>44</v>
      </c>
      <c r="I9" s="34">
        <v>43.8</v>
      </c>
      <c r="J9" s="35">
        <v>45.66</v>
      </c>
      <c r="K9" s="35">
        <v>44.2</v>
      </c>
      <c r="L9" s="35">
        <v>43.75</v>
      </c>
      <c r="M9" s="35">
        <v>43.8</v>
      </c>
      <c r="N9" s="35">
        <v>45.4</v>
      </c>
      <c r="O9" s="35">
        <v>45.62</v>
      </c>
      <c r="P9" s="35">
        <v>45.25</v>
      </c>
      <c r="Q9" s="35">
        <v>45.86</v>
      </c>
      <c r="R9" s="36">
        <v>47.55</v>
      </c>
      <c r="S9" s="36">
        <v>45.6</v>
      </c>
      <c r="T9" s="36">
        <v>44.61</v>
      </c>
      <c r="U9" s="36">
        <v>45.7</v>
      </c>
      <c r="V9" s="36">
        <v>46.37</v>
      </c>
      <c r="W9" s="36">
        <v>47.2</v>
      </c>
      <c r="X9" s="36">
        <v>43.4</v>
      </c>
    </row>
    <row r="10" spans="4:24" ht="19.5" customHeight="1" x14ac:dyDescent="0.3">
      <c r="D10" s="37" t="s">
        <v>21</v>
      </c>
      <c r="E10" s="31" t="s">
        <v>22</v>
      </c>
      <c r="F10" s="32" t="s">
        <v>23</v>
      </c>
      <c r="G10" s="38"/>
      <c r="H10" s="39">
        <v>0.80549999999999999</v>
      </c>
      <c r="I10" s="39">
        <v>0.80659999999999998</v>
      </c>
      <c r="J10" s="40">
        <v>0.79790000000000005</v>
      </c>
      <c r="K10" s="40">
        <v>0.80449999999999999</v>
      </c>
      <c r="L10" s="40">
        <v>0.80659999999999998</v>
      </c>
      <c r="M10" s="40">
        <v>0.80630000000000002</v>
      </c>
      <c r="N10" s="40">
        <v>0.79920000000000002</v>
      </c>
      <c r="O10" s="40">
        <v>0.79810000000000003</v>
      </c>
      <c r="P10" s="40">
        <v>0.79979999999999996</v>
      </c>
      <c r="Q10" s="40">
        <v>0.79700000000000004</v>
      </c>
      <c r="R10" s="41">
        <v>0.78949999999999998</v>
      </c>
      <c r="S10" s="41">
        <v>0.79830000000000001</v>
      </c>
      <c r="T10" s="41">
        <v>0.80269999999999997</v>
      </c>
      <c r="U10" s="41">
        <v>0.79779999999999995</v>
      </c>
      <c r="V10" s="41">
        <v>0.79469999999999996</v>
      </c>
      <c r="W10" s="41">
        <v>0.79110000000000003</v>
      </c>
      <c r="X10" s="41">
        <v>0.80810000000000004</v>
      </c>
    </row>
    <row r="11" spans="4:24" ht="19.5" customHeight="1" x14ac:dyDescent="0.3">
      <c r="D11" s="37" t="s">
        <v>24</v>
      </c>
      <c r="E11" s="31" t="s">
        <v>25</v>
      </c>
      <c r="F11" s="32" t="s">
        <v>17</v>
      </c>
      <c r="G11" s="172"/>
      <c r="H11" s="38"/>
      <c r="I11" s="38"/>
      <c r="J11" s="42"/>
      <c r="K11" s="42"/>
      <c r="L11" s="42"/>
      <c r="M11" s="42"/>
      <c r="N11" s="42"/>
      <c r="O11" s="42"/>
      <c r="P11" s="42"/>
      <c r="Q11" s="42"/>
      <c r="R11" s="43"/>
      <c r="S11" s="43"/>
      <c r="T11" s="43"/>
      <c r="U11" s="43"/>
      <c r="V11" s="43"/>
      <c r="W11" s="43"/>
      <c r="X11" s="43"/>
    </row>
    <row r="12" spans="4:24" ht="19.5" customHeight="1" x14ac:dyDescent="0.3">
      <c r="D12" s="44" t="s">
        <v>26</v>
      </c>
      <c r="E12" s="1563" t="s">
        <v>27</v>
      </c>
      <c r="F12" s="1549" t="s">
        <v>28</v>
      </c>
      <c r="G12" s="38"/>
      <c r="H12" s="38"/>
      <c r="I12" s="38"/>
      <c r="J12" s="42"/>
      <c r="K12" s="42"/>
      <c r="L12" s="42"/>
      <c r="M12" s="42"/>
      <c r="N12" s="42"/>
      <c r="O12" s="42"/>
      <c r="P12" s="42"/>
      <c r="Q12" s="42"/>
      <c r="R12" s="43"/>
      <c r="S12" s="43"/>
      <c r="T12" s="43"/>
      <c r="U12" s="43"/>
      <c r="V12" s="43"/>
      <c r="W12" s="43"/>
      <c r="X12" s="43"/>
    </row>
    <row r="13" spans="4:24" ht="19.5" customHeight="1" x14ac:dyDescent="0.3">
      <c r="D13" s="44" t="s">
        <v>29</v>
      </c>
      <c r="E13" s="1541"/>
      <c r="F13" s="1550"/>
      <c r="G13" s="47"/>
      <c r="H13" s="47"/>
      <c r="I13" s="47"/>
      <c r="J13" s="55"/>
      <c r="K13" s="55"/>
      <c r="L13" s="55"/>
      <c r="M13" s="55"/>
      <c r="N13" s="55"/>
      <c r="O13" s="55"/>
      <c r="P13" s="55"/>
      <c r="Q13" s="55"/>
      <c r="R13" s="56"/>
      <c r="S13" s="56"/>
      <c r="T13" s="56"/>
      <c r="U13" s="56"/>
      <c r="V13" s="56"/>
      <c r="W13" s="56"/>
      <c r="X13" s="56"/>
    </row>
    <row r="14" spans="4:24" ht="19.5" customHeight="1" x14ac:dyDescent="0.3">
      <c r="D14" s="44" t="s">
        <v>30</v>
      </c>
      <c r="E14" s="1541"/>
      <c r="F14" s="1550"/>
      <c r="G14" s="47"/>
      <c r="H14" s="49"/>
      <c r="I14" s="50"/>
      <c r="J14" s="51"/>
      <c r="K14" s="51"/>
      <c r="L14" s="51"/>
      <c r="M14" s="51"/>
      <c r="N14" s="51"/>
      <c r="O14" s="51"/>
      <c r="P14" s="51"/>
      <c r="Q14" s="51"/>
      <c r="R14" s="52"/>
      <c r="S14" s="52"/>
      <c r="T14" s="52"/>
      <c r="U14" s="52"/>
      <c r="V14" s="52"/>
      <c r="W14" s="52"/>
      <c r="X14" s="52"/>
    </row>
    <row r="15" spans="4:24" ht="19.5" customHeight="1" x14ac:dyDescent="0.3">
      <c r="D15" s="44" t="s">
        <v>31</v>
      </c>
      <c r="E15" s="1541"/>
      <c r="F15" s="1550"/>
      <c r="G15" s="47"/>
      <c r="H15" s="49"/>
      <c r="I15" s="49"/>
      <c r="J15" s="53"/>
      <c r="K15" s="53"/>
      <c r="L15" s="53"/>
      <c r="M15" s="53"/>
      <c r="N15" s="53"/>
      <c r="O15" s="53"/>
      <c r="P15" s="53"/>
      <c r="Q15" s="53"/>
      <c r="R15" s="54"/>
      <c r="S15" s="54"/>
      <c r="T15" s="54"/>
      <c r="U15" s="54"/>
      <c r="V15" s="54"/>
      <c r="W15" s="54"/>
      <c r="X15" s="54"/>
    </row>
    <row r="16" spans="4:24" ht="19.5" customHeight="1" x14ac:dyDescent="0.3">
      <c r="D16" s="44" t="s">
        <v>32</v>
      </c>
      <c r="E16" s="1541"/>
      <c r="F16" s="1550"/>
      <c r="G16" s="47"/>
      <c r="H16" s="47"/>
      <c r="I16" s="47"/>
      <c r="J16" s="55"/>
      <c r="K16" s="55"/>
      <c r="L16" s="55"/>
      <c r="M16" s="55"/>
      <c r="N16" s="55"/>
      <c r="O16" s="55"/>
      <c r="P16" s="55"/>
      <c r="Q16" s="55"/>
      <c r="R16" s="56"/>
      <c r="S16" s="56"/>
      <c r="T16" s="56"/>
      <c r="U16" s="56"/>
      <c r="V16" s="56"/>
      <c r="W16" s="56"/>
      <c r="X16" s="56"/>
    </row>
    <row r="17" spans="2:24" ht="19.5" customHeight="1" x14ac:dyDescent="0.3">
      <c r="D17" s="44" t="s">
        <v>33</v>
      </c>
      <c r="E17" s="1542"/>
      <c r="F17" s="1551"/>
      <c r="G17" s="57"/>
      <c r="H17" s="47"/>
      <c r="I17" s="47"/>
      <c r="J17" s="55"/>
      <c r="K17" s="55"/>
      <c r="L17" s="55"/>
      <c r="M17" s="55"/>
      <c r="N17" s="55"/>
      <c r="O17" s="55"/>
      <c r="P17" s="55"/>
      <c r="Q17" s="55"/>
      <c r="R17" s="56"/>
      <c r="S17" s="56"/>
      <c r="T17" s="56"/>
      <c r="U17" s="56"/>
      <c r="V17" s="56"/>
      <c r="W17" s="56"/>
      <c r="X17" s="56"/>
    </row>
    <row r="18" spans="2:24" ht="19.5" customHeight="1" x14ac:dyDescent="0.3">
      <c r="D18" s="1564" t="s">
        <v>34</v>
      </c>
      <c r="E18" s="58" t="s">
        <v>35</v>
      </c>
      <c r="F18" s="59" t="s">
        <v>36</v>
      </c>
      <c r="G18" s="60">
        <v>5.9859999999999998</v>
      </c>
      <c r="H18" s="60">
        <v>0.10199999999999999</v>
      </c>
      <c r="I18" s="61">
        <v>0.13600000000000001</v>
      </c>
      <c r="J18" s="145">
        <v>0.14269999999999999</v>
      </c>
      <c r="K18" s="145">
        <v>0.15322</v>
      </c>
      <c r="L18" s="145">
        <v>0.14549999999999999</v>
      </c>
      <c r="M18" s="145">
        <v>7.2599999999999998E-2</v>
      </c>
      <c r="N18" s="145">
        <v>9.01E-2</v>
      </c>
      <c r="O18" s="145">
        <v>7.51E-2</v>
      </c>
      <c r="P18" s="145">
        <v>8.3299999999999999E-2</v>
      </c>
      <c r="Q18" s="145">
        <v>7.8789999999999999E-2</v>
      </c>
      <c r="R18" s="914">
        <v>8.3099999999999993E-2</v>
      </c>
      <c r="S18" s="914">
        <v>8.7900000000000006E-2</v>
      </c>
      <c r="T18" s="914">
        <v>9.6710000000000004E-2</v>
      </c>
      <c r="U18" s="914">
        <v>8.8999999999999996E-2</v>
      </c>
      <c r="V18" s="914">
        <v>8.7290000000000006E-2</v>
      </c>
      <c r="W18" s="914">
        <v>7.8899999999999998E-2</v>
      </c>
      <c r="X18" s="914">
        <v>9.74E-2</v>
      </c>
    </row>
    <row r="19" spans="2:24" ht="19.5" customHeight="1" x14ac:dyDescent="0.3">
      <c r="D19" s="1564"/>
      <c r="E19" s="1538" t="s">
        <v>37</v>
      </c>
      <c r="F19" s="59" t="s">
        <v>36</v>
      </c>
      <c r="G19" s="47"/>
      <c r="H19" s="47"/>
      <c r="I19" s="47"/>
      <c r="J19" s="55"/>
      <c r="K19" s="55"/>
      <c r="L19" s="55"/>
      <c r="M19" s="55"/>
      <c r="N19" s="55"/>
      <c r="O19" s="55"/>
      <c r="P19" s="55"/>
      <c r="Q19" s="55"/>
      <c r="R19" s="56"/>
      <c r="S19" s="56"/>
      <c r="T19" s="56"/>
      <c r="U19" s="56"/>
      <c r="V19" s="56"/>
      <c r="W19" s="56"/>
      <c r="X19" s="56"/>
    </row>
    <row r="20" spans="2:24" ht="19.5" customHeight="1" x14ac:dyDescent="0.3">
      <c r="D20" s="1564"/>
      <c r="E20" s="1538"/>
      <c r="F20" s="59" t="s">
        <v>38</v>
      </c>
      <c r="G20" s="47"/>
      <c r="H20" s="47"/>
      <c r="I20" s="47"/>
      <c r="J20" s="55"/>
      <c r="K20" s="55"/>
      <c r="L20" s="55"/>
      <c r="M20" s="55"/>
      <c r="N20" s="55"/>
      <c r="O20" s="55"/>
      <c r="P20" s="55"/>
      <c r="Q20" s="55"/>
      <c r="R20" s="56"/>
      <c r="S20" s="56"/>
      <c r="T20" s="56"/>
      <c r="U20" s="56"/>
      <c r="V20" s="56"/>
      <c r="W20" s="56"/>
      <c r="X20" s="56"/>
    </row>
    <row r="21" spans="2:24" ht="19.5" customHeight="1" x14ac:dyDescent="0.3">
      <c r="D21" s="1565" t="s">
        <v>39</v>
      </c>
      <c r="E21" s="64" t="s">
        <v>40</v>
      </c>
      <c r="F21" s="59" t="s">
        <v>38</v>
      </c>
      <c r="G21" s="65"/>
      <c r="H21" s="47"/>
      <c r="I21" s="47"/>
      <c r="J21" s="55"/>
      <c r="K21" s="55"/>
      <c r="L21" s="55"/>
      <c r="M21" s="55"/>
      <c r="N21" s="55"/>
      <c r="O21" s="55"/>
      <c r="P21" s="55"/>
      <c r="Q21" s="55"/>
      <c r="R21" s="56"/>
      <c r="S21" s="56"/>
      <c r="T21" s="56"/>
      <c r="U21" s="56"/>
      <c r="V21" s="56"/>
      <c r="W21" s="56"/>
      <c r="X21" s="56"/>
    </row>
    <row r="22" spans="2:24" ht="19.5" customHeight="1" x14ac:dyDescent="0.3">
      <c r="D22" s="1566"/>
      <c r="E22" s="1563" t="s">
        <v>41</v>
      </c>
      <c r="F22" s="66" t="s">
        <v>38</v>
      </c>
      <c r="G22" s="67">
        <v>3301</v>
      </c>
      <c r="H22" s="68">
        <v>268</v>
      </c>
      <c r="I22" s="69">
        <v>516.70000000000005</v>
      </c>
      <c r="J22" s="70">
        <v>542.29999999999995</v>
      </c>
      <c r="K22" s="70">
        <v>768.1</v>
      </c>
      <c r="L22" s="70">
        <v>716.84</v>
      </c>
      <c r="M22" s="70">
        <v>803</v>
      </c>
      <c r="N22" s="70">
        <v>917.2</v>
      </c>
      <c r="O22" s="70">
        <v>952</v>
      </c>
      <c r="P22" s="70">
        <v>978.07</v>
      </c>
      <c r="Q22" s="70">
        <v>974.47</v>
      </c>
      <c r="R22" s="71">
        <v>915.45</v>
      </c>
      <c r="S22" s="71">
        <v>1012</v>
      </c>
      <c r="T22" s="71">
        <v>955.3</v>
      </c>
      <c r="U22" s="71">
        <v>921.48</v>
      </c>
      <c r="V22" s="71">
        <v>868.19</v>
      </c>
      <c r="W22" s="71">
        <v>777.6</v>
      </c>
      <c r="X22" s="71">
        <v>980</v>
      </c>
    </row>
    <row r="23" spans="2:24" ht="19.5" customHeight="1" x14ac:dyDescent="0.3">
      <c r="B23" s="72">
        <v>0.45190000000000002</v>
      </c>
      <c r="D23" s="1567"/>
      <c r="E23" s="1542"/>
      <c r="F23" s="66" t="s">
        <v>36</v>
      </c>
      <c r="G23" s="73">
        <v>0.3301</v>
      </c>
      <c r="H23" s="74">
        <f>H22/10000</f>
        <v>2.6800000000000001E-2</v>
      </c>
      <c r="I23" s="74">
        <f>I22/10000</f>
        <v>5.1670000000000008E-2</v>
      </c>
      <c r="J23" s="74">
        <f t="shared" ref="J23:W23" si="0">J22/10000</f>
        <v>5.4229999999999993E-2</v>
      </c>
      <c r="K23" s="74">
        <f t="shared" si="0"/>
        <v>7.6810000000000003E-2</v>
      </c>
      <c r="L23" s="74">
        <f t="shared" si="0"/>
        <v>7.1683999999999998E-2</v>
      </c>
      <c r="M23" s="74">
        <f t="shared" si="0"/>
        <v>8.0299999999999996E-2</v>
      </c>
      <c r="N23" s="74">
        <f t="shared" si="0"/>
        <v>9.172000000000001E-2</v>
      </c>
      <c r="O23" s="74">
        <f t="shared" si="0"/>
        <v>9.5200000000000007E-2</v>
      </c>
      <c r="P23" s="74">
        <f t="shared" si="0"/>
        <v>9.7807000000000005E-2</v>
      </c>
      <c r="Q23" s="74">
        <f t="shared" si="0"/>
        <v>9.7447000000000006E-2</v>
      </c>
      <c r="R23" s="74">
        <f t="shared" si="0"/>
        <v>9.1545000000000001E-2</v>
      </c>
      <c r="S23" s="74">
        <f t="shared" si="0"/>
        <v>0.1012</v>
      </c>
      <c r="T23" s="74">
        <f t="shared" si="0"/>
        <v>9.552999999999999E-2</v>
      </c>
      <c r="U23" s="74">
        <f t="shared" si="0"/>
        <v>9.2148000000000008E-2</v>
      </c>
      <c r="V23" s="74">
        <f t="shared" si="0"/>
        <v>8.6819000000000007E-2</v>
      </c>
      <c r="W23" s="74">
        <f t="shared" si="0"/>
        <v>7.7759999999999996E-2</v>
      </c>
      <c r="X23" s="74">
        <f t="shared" ref="X23" si="1">X22/10000</f>
        <v>9.8000000000000004E-2</v>
      </c>
    </row>
    <row r="24" spans="2:24" ht="19.5" customHeight="1" x14ac:dyDescent="0.3">
      <c r="D24" s="75" t="s">
        <v>42</v>
      </c>
      <c r="E24" s="1563" t="s">
        <v>43</v>
      </c>
      <c r="F24" s="1549" t="s">
        <v>36</v>
      </c>
      <c r="G24" s="47"/>
      <c r="H24" s="47"/>
      <c r="I24" s="47"/>
      <c r="J24" s="55"/>
      <c r="K24" s="55"/>
      <c r="L24" s="55"/>
      <c r="M24" s="55"/>
      <c r="N24" s="55"/>
      <c r="O24" s="55"/>
      <c r="P24" s="55"/>
      <c r="Q24" s="55"/>
      <c r="R24" s="56"/>
      <c r="S24" s="56"/>
      <c r="T24" s="56"/>
      <c r="U24" s="56"/>
      <c r="V24" s="56"/>
      <c r="W24" s="56"/>
      <c r="X24" s="56"/>
    </row>
    <row r="25" spans="2:24" ht="19.5" customHeight="1" x14ac:dyDescent="0.3">
      <c r="B25" s="76"/>
      <c r="D25" s="44" t="s">
        <v>44</v>
      </c>
      <c r="E25" s="1541"/>
      <c r="F25" s="1550"/>
      <c r="G25" s="60">
        <v>84.31</v>
      </c>
      <c r="H25" s="77">
        <v>86.99</v>
      </c>
      <c r="I25" s="77">
        <v>86.33</v>
      </c>
      <c r="J25" s="62">
        <v>86.72</v>
      </c>
      <c r="K25" s="62">
        <v>85.54</v>
      </c>
      <c r="L25" s="62">
        <v>86.67</v>
      </c>
      <c r="M25" s="62">
        <v>85.59</v>
      </c>
      <c r="N25" s="62">
        <v>86.48</v>
      </c>
      <c r="O25" s="62">
        <v>86.98</v>
      </c>
      <c r="P25" s="62">
        <v>85.82</v>
      </c>
      <c r="Q25" s="62">
        <v>85.47</v>
      </c>
      <c r="R25" s="63">
        <v>86.77</v>
      </c>
      <c r="S25" s="63">
        <v>86.71</v>
      </c>
      <c r="T25" s="63">
        <v>87.83</v>
      </c>
      <c r="U25" s="63">
        <v>86.37</v>
      </c>
      <c r="V25" s="63">
        <v>86.35</v>
      </c>
      <c r="W25" s="63">
        <v>86.75</v>
      </c>
      <c r="X25" s="63">
        <v>87.53</v>
      </c>
    </row>
    <row r="26" spans="2:24" ht="19.5" customHeight="1" x14ac:dyDescent="0.3">
      <c r="B26" s="76"/>
      <c r="D26" s="44" t="s">
        <v>45</v>
      </c>
      <c r="E26" s="1541"/>
      <c r="F26" s="1550"/>
      <c r="G26" s="60">
        <v>9.782</v>
      </c>
      <c r="H26" s="77">
        <v>13.14</v>
      </c>
      <c r="I26" s="77">
        <v>12.27</v>
      </c>
      <c r="J26" s="62">
        <v>13.8</v>
      </c>
      <c r="K26" s="62">
        <v>13.91</v>
      </c>
      <c r="L26" s="62">
        <v>13.4</v>
      </c>
      <c r="M26" s="62">
        <v>13.22</v>
      </c>
      <c r="N26" s="62">
        <v>13.89</v>
      </c>
      <c r="O26" s="62">
        <v>14.01</v>
      </c>
      <c r="P26" s="62">
        <v>13.95</v>
      </c>
      <c r="Q26" s="62">
        <v>13.68</v>
      </c>
      <c r="R26" s="63">
        <v>14.08</v>
      </c>
      <c r="S26" s="63">
        <v>13.82</v>
      </c>
      <c r="T26" s="63">
        <v>13.93</v>
      </c>
      <c r="U26" s="63">
        <v>13.86</v>
      </c>
      <c r="V26" s="63">
        <v>13.9</v>
      </c>
      <c r="W26" s="63">
        <v>14.07</v>
      </c>
      <c r="X26" s="63">
        <v>14</v>
      </c>
    </row>
    <row r="27" spans="2:24" ht="19.5" customHeight="1" x14ac:dyDescent="0.3">
      <c r="B27" s="76"/>
      <c r="D27" s="44" t="s">
        <v>46</v>
      </c>
      <c r="E27" s="1542"/>
      <c r="F27" s="1551"/>
      <c r="G27" s="60">
        <v>0.45190000000000002</v>
      </c>
      <c r="H27" s="77">
        <v>0.14000000000000001</v>
      </c>
      <c r="I27" s="77">
        <v>0.1145</v>
      </c>
      <c r="J27" s="62">
        <v>0.1206</v>
      </c>
      <c r="K27" s="62">
        <v>0.15</v>
      </c>
      <c r="L27" s="62">
        <v>0.17</v>
      </c>
      <c r="M27" s="867">
        <v>0.41839999999999999</v>
      </c>
      <c r="N27" s="867">
        <v>7.3660000000000003E-2</v>
      </c>
      <c r="O27" s="867">
        <v>0.89980000000000004</v>
      </c>
      <c r="P27" s="867">
        <v>0.18</v>
      </c>
      <c r="Q27" s="867">
        <v>1.546</v>
      </c>
      <c r="R27" s="866">
        <v>1.2290000000000001</v>
      </c>
      <c r="S27" s="866">
        <v>1.42</v>
      </c>
      <c r="T27" s="866">
        <v>1.61</v>
      </c>
      <c r="U27" s="866">
        <v>1.573</v>
      </c>
      <c r="V27" s="866">
        <v>1.5349999999999999</v>
      </c>
      <c r="W27" s="866">
        <v>2.0099999999999998</v>
      </c>
      <c r="X27" s="866">
        <v>3.03</v>
      </c>
    </row>
    <row r="28" spans="2:24" ht="19.5" customHeight="1" x14ac:dyDescent="0.3">
      <c r="B28" s="76"/>
      <c r="D28" s="78" t="s">
        <v>150</v>
      </c>
      <c r="E28" s="79"/>
      <c r="F28" s="80"/>
      <c r="G28" s="2">
        <f>(G25+G26+G27+G18)</f>
        <v>100.5299</v>
      </c>
      <c r="H28" s="2">
        <f>H$25+H$26+H$23+H$18</f>
        <v>100.25879999999999</v>
      </c>
      <c r="I28" s="2">
        <f t="shared" ref="I28:X28" si="2">I$25+I$26+I$23+I$18</f>
        <v>98.787669999999991</v>
      </c>
      <c r="J28" s="2">
        <f t="shared" si="2"/>
        <v>100.71693</v>
      </c>
      <c r="K28" s="2">
        <f t="shared" si="2"/>
        <v>99.680030000000002</v>
      </c>
      <c r="L28" s="2">
        <f t="shared" si="2"/>
        <v>100.28718400000001</v>
      </c>
      <c r="M28" s="2">
        <f t="shared" si="2"/>
        <v>98.962899999999991</v>
      </c>
      <c r="N28" s="2">
        <f t="shared" si="2"/>
        <v>100.55182000000001</v>
      </c>
      <c r="O28" s="2">
        <f t="shared" si="2"/>
        <v>101.16030000000002</v>
      </c>
      <c r="P28" s="2">
        <f t="shared" si="2"/>
        <v>99.951106999999993</v>
      </c>
      <c r="Q28" s="2">
        <f t="shared" si="2"/>
        <v>99.326237000000006</v>
      </c>
      <c r="R28" s="2">
        <f t="shared" si="2"/>
        <v>101.02464499999999</v>
      </c>
      <c r="S28" s="2">
        <f t="shared" si="2"/>
        <v>100.71910000000001</v>
      </c>
      <c r="T28" s="2">
        <f t="shared" si="2"/>
        <v>101.95223999999999</v>
      </c>
      <c r="U28" s="2">
        <f t="shared" si="2"/>
        <v>100.411148</v>
      </c>
      <c r="V28" s="2">
        <f t="shared" si="2"/>
        <v>100.424109</v>
      </c>
      <c r="W28" s="2">
        <f t="shared" si="2"/>
        <v>100.97666</v>
      </c>
      <c r="X28" s="2">
        <f t="shared" si="2"/>
        <v>101.72539999999999</v>
      </c>
    </row>
    <row r="29" spans="2:24" ht="19.5" customHeight="1" x14ac:dyDescent="0.3">
      <c r="D29" s="78" t="s">
        <v>151</v>
      </c>
      <c r="E29" s="79"/>
      <c r="F29" s="80"/>
      <c r="G29" s="2">
        <f>(100-G31-G32)/(1+(G26/G25))</f>
        <v>83.974158353580975</v>
      </c>
      <c r="H29" s="2">
        <f>(100-H$31-H$32)/(1+(H$26/H$25))</f>
        <v>86.765451012778925</v>
      </c>
      <c r="I29" s="2">
        <f t="shared" ref="I29:X29" si="3">(100-I$31-I$32)/(1+(I$26/I$25))</f>
        <v>87.389448501012311</v>
      </c>
      <c r="J29" s="2">
        <f t="shared" si="3"/>
        <v>86.102703885037002</v>
      </c>
      <c r="K29" s="2">
        <f t="shared" si="3"/>
        <v>85.814580914552295</v>
      </c>
      <c r="L29" s="2">
        <f t="shared" si="3"/>
        <v>86.421810388055178</v>
      </c>
      <c r="M29" s="2">
        <f t="shared" si="3"/>
        <v>86.48695622298861</v>
      </c>
      <c r="N29" s="2">
        <f t="shared" si="3"/>
        <v>86.005404974270974</v>
      </c>
      <c r="O29" s="2">
        <f t="shared" si="3"/>
        <v>85.982346829734581</v>
      </c>
      <c r="P29" s="2">
        <f t="shared" si="3"/>
        <v>85.861980498124936</v>
      </c>
      <c r="Q29" s="2">
        <f t="shared" si="3"/>
        <v>86.049771522100457</v>
      </c>
      <c r="R29" s="2">
        <f t="shared" si="3"/>
        <v>85.889933095038344</v>
      </c>
      <c r="S29" s="2">
        <f t="shared" si="3"/>
        <v>86.090920192892909</v>
      </c>
      <c r="T29" s="2">
        <f t="shared" si="3"/>
        <v>86.148180756008884</v>
      </c>
      <c r="U29" s="2">
        <f t="shared" si="3"/>
        <v>86.016345515738948</v>
      </c>
      <c r="V29" s="2">
        <f t="shared" si="3"/>
        <v>85.985328483223086</v>
      </c>
      <c r="W29" s="2">
        <f t="shared" si="3"/>
        <v>85.910942191987729</v>
      </c>
      <c r="X29" s="2">
        <f t="shared" si="3"/>
        <v>86.045373131980796</v>
      </c>
    </row>
    <row r="30" spans="2:24" ht="19.5" customHeight="1" x14ac:dyDescent="0.3">
      <c r="D30" s="78" t="s">
        <v>152</v>
      </c>
      <c r="E30" s="79"/>
      <c r="F30" s="80" t="s">
        <v>36</v>
      </c>
      <c r="G30" s="2">
        <f>G29*(G26/G25)</f>
        <v>9.7430342428505412</v>
      </c>
      <c r="H30" s="2">
        <f>H$29*(H$26/H$25)</f>
        <v>13.106081461178471</v>
      </c>
      <c r="I30" s="2">
        <f t="shared" ref="I30:X30" si="4">I$29*(I$26/I$25)</f>
        <v>12.420578398093607</v>
      </c>
      <c r="J30" s="2">
        <f t="shared" si="4"/>
        <v>13.701767915284949</v>
      </c>
      <c r="K30" s="2">
        <f t="shared" si="4"/>
        <v>13.95465069583145</v>
      </c>
      <c r="L30" s="2">
        <f t="shared" si="4"/>
        <v>13.361627543555317</v>
      </c>
      <c r="M30" s="2">
        <f t="shared" si="4"/>
        <v>13.358541433203756</v>
      </c>
      <c r="N30" s="2">
        <f t="shared" si="4"/>
        <v>13.813772838721366</v>
      </c>
      <c r="O30" s="2">
        <f t="shared" si="4"/>
        <v>13.849306496718572</v>
      </c>
      <c r="P30" s="2">
        <f t="shared" si="4"/>
        <v>13.956823909914274</v>
      </c>
      <c r="Q30" s="2">
        <f t="shared" si="4"/>
        <v>13.772796003537314</v>
      </c>
      <c r="R30" s="2">
        <f t="shared" si="4"/>
        <v>13.937193246261842</v>
      </c>
      <c r="S30" s="2">
        <f t="shared" si="4"/>
        <v>13.721329916569948</v>
      </c>
      <c r="T30" s="2">
        <f t="shared" si="4"/>
        <v>13.66326036583404</v>
      </c>
      <c r="U30" s="2">
        <f t="shared" si="4"/>
        <v>13.803248221004305</v>
      </c>
      <c r="V30" s="2">
        <f t="shared" si="4"/>
        <v>13.841297810269843</v>
      </c>
      <c r="W30" s="2">
        <f t="shared" si="4"/>
        <v>13.933913044856109</v>
      </c>
      <c r="X30" s="2">
        <f t="shared" si="4"/>
        <v>13.762541115591583</v>
      </c>
    </row>
    <row r="31" spans="2:24" ht="19.5" customHeight="1" x14ac:dyDescent="0.3">
      <c r="D31" s="78" t="s">
        <v>153</v>
      </c>
      <c r="E31" s="79"/>
      <c r="F31" s="80"/>
      <c r="G31" s="2">
        <f>G23*100/G28</f>
        <v>0.32836002025268102</v>
      </c>
      <c r="H31" s="2">
        <f>H$23*100/H$28</f>
        <v>2.6730820636193534E-2</v>
      </c>
      <c r="I31" s="2">
        <f t="shared" ref="I31:X31" si="5">I$23*100/I$28</f>
        <v>5.2304098274612625E-2</v>
      </c>
      <c r="J31" s="2">
        <f t="shared" si="5"/>
        <v>5.3843976380137867E-2</v>
      </c>
      <c r="K31" s="2">
        <f t="shared" si="5"/>
        <v>7.7056557868210918E-2</v>
      </c>
      <c r="L31" s="2">
        <f t="shared" si="5"/>
        <v>7.1478724539717847E-2</v>
      </c>
      <c r="M31" s="2">
        <f t="shared" si="5"/>
        <v>8.1141518690337491E-2</v>
      </c>
      <c r="N31" s="2">
        <f t="shared" si="5"/>
        <v>9.1216648291398403E-2</v>
      </c>
      <c r="O31" s="2">
        <f t="shared" si="5"/>
        <v>9.4108064131877819E-2</v>
      </c>
      <c r="P31" s="2">
        <f t="shared" si="5"/>
        <v>9.7854844168959551E-2</v>
      </c>
      <c r="Q31" s="2">
        <f t="shared" si="5"/>
        <v>9.8108015508530738E-2</v>
      </c>
      <c r="R31" s="2">
        <f t="shared" si="5"/>
        <v>9.061650253757389E-2</v>
      </c>
      <c r="S31" s="2">
        <f t="shared" si="5"/>
        <v>0.10047746653812432</v>
      </c>
      <c r="T31" s="2">
        <f t="shared" si="5"/>
        <v>9.3700736737123189E-2</v>
      </c>
      <c r="U31" s="2">
        <f t="shared" si="5"/>
        <v>9.1770686657222572E-2</v>
      </c>
      <c r="V31" s="2">
        <f t="shared" si="5"/>
        <v>8.6452347812217084E-2</v>
      </c>
      <c r="W31" s="2">
        <f t="shared" si="5"/>
        <v>7.700789469566531E-2</v>
      </c>
      <c r="X31" s="2">
        <f t="shared" si="5"/>
        <v>9.6337787809141096E-2</v>
      </c>
    </row>
    <row r="32" spans="2:24" ht="19.5" customHeight="1" x14ac:dyDescent="0.3">
      <c r="D32" s="78" t="s">
        <v>154</v>
      </c>
      <c r="E32" s="79"/>
      <c r="F32" s="80"/>
      <c r="G32" s="2">
        <f>G18*100/G28</f>
        <v>5.9544473833158102</v>
      </c>
      <c r="H32" s="2">
        <f>H$18*100/H$28</f>
        <v>0.10173670540640821</v>
      </c>
      <c r="I32" s="2">
        <f t="shared" ref="I32:X32" si="6">I$18*100/I$28</f>
        <v>0.13766900261945647</v>
      </c>
      <c r="J32" s="2">
        <f t="shared" si="6"/>
        <v>0.14168422329791028</v>
      </c>
      <c r="K32" s="2">
        <f t="shared" si="6"/>
        <v>0.1537118317480442</v>
      </c>
      <c r="L32" s="2">
        <f t="shared" si="6"/>
        <v>0.14508334384979837</v>
      </c>
      <c r="M32" s="2">
        <f t="shared" si="6"/>
        <v>7.3360825117291431E-2</v>
      </c>
      <c r="N32" s="2">
        <f t="shared" si="6"/>
        <v>8.9605538716255942E-2</v>
      </c>
      <c r="O32" s="2">
        <f t="shared" si="6"/>
        <v>7.4238609414958218E-2</v>
      </c>
      <c r="P32" s="2">
        <f t="shared" si="6"/>
        <v>8.3340747791817854E-2</v>
      </c>
      <c r="Q32" s="2">
        <f t="shared" si="6"/>
        <v>7.9324458853706495E-2</v>
      </c>
      <c r="R32" s="2">
        <f t="shared" si="6"/>
        <v>8.2257156162241399E-2</v>
      </c>
      <c r="S32" s="2">
        <f t="shared" si="6"/>
        <v>8.7272423999023019E-2</v>
      </c>
      <c r="T32" s="2">
        <f t="shared" si="6"/>
        <v>9.4858141419943323E-2</v>
      </c>
      <c r="U32" s="2">
        <f t="shared" si="6"/>
        <v>8.8635576599522606E-2</v>
      </c>
      <c r="V32" s="2">
        <f t="shared" si="6"/>
        <v>8.692135869485286E-2</v>
      </c>
      <c r="W32" s="2">
        <f t="shared" si="6"/>
        <v>7.8136868460493739E-2</v>
      </c>
      <c r="X32" s="2">
        <f t="shared" si="6"/>
        <v>9.5747964618472875E-2</v>
      </c>
    </row>
    <row r="33" spans="4:24" ht="19.5" customHeight="1" x14ac:dyDescent="0.3">
      <c r="D33" s="78" t="s">
        <v>155</v>
      </c>
      <c r="E33" s="79"/>
      <c r="F33" s="80"/>
      <c r="G33" s="149">
        <f>G30/G29</f>
        <v>0.11602419641798126</v>
      </c>
      <c r="H33" s="149">
        <f>H$30/H$29</f>
        <v>0.15105184503965974</v>
      </c>
      <c r="I33" s="149">
        <f t="shared" ref="I33:X33" si="7">I$30/I$29</f>
        <v>0.14212903973126376</v>
      </c>
      <c r="J33" s="149">
        <f t="shared" si="7"/>
        <v>0.15913284132841329</v>
      </c>
      <c r="K33" s="149">
        <f t="shared" si="7"/>
        <v>0.16261398176291791</v>
      </c>
      <c r="L33" s="149">
        <f t="shared" si="7"/>
        <v>0.15460943809853467</v>
      </c>
      <c r="M33" s="149">
        <f t="shared" si="7"/>
        <v>0.15445729641313238</v>
      </c>
      <c r="N33" s="149">
        <f t="shared" si="7"/>
        <v>0.16061517113783533</v>
      </c>
      <c r="O33" s="149">
        <f t="shared" si="7"/>
        <v>0.16107151069211312</v>
      </c>
      <c r="P33" s="149">
        <f t="shared" si="7"/>
        <v>0.16254952225588443</v>
      </c>
      <c r="Q33" s="149">
        <f t="shared" si="7"/>
        <v>0.16005616005616005</v>
      </c>
      <c r="R33" s="149">
        <f t="shared" si="7"/>
        <v>0.16226806499942378</v>
      </c>
      <c r="S33" s="149">
        <f t="shared" si="7"/>
        <v>0.1593818475377696</v>
      </c>
      <c r="T33" s="149">
        <f t="shared" si="7"/>
        <v>0.15860184447227599</v>
      </c>
      <c r="U33" s="149">
        <f t="shared" si="7"/>
        <v>0.16047238624522403</v>
      </c>
      <c r="V33" s="149">
        <f t="shared" si="7"/>
        <v>0.16097278517660685</v>
      </c>
      <c r="W33" s="149">
        <f t="shared" si="7"/>
        <v>0.16219020172910664</v>
      </c>
      <c r="X33" s="149">
        <f t="shared" si="7"/>
        <v>0.15994516165885983</v>
      </c>
    </row>
    <row r="34" spans="4:24" ht="19.5" hidden="1" customHeight="1" x14ac:dyDescent="0.3">
      <c r="D34" s="81" t="s">
        <v>106</v>
      </c>
      <c r="E34" s="45"/>
      <c r="F34" s="46"/>
      <c r="G34" s="82">
        <f>G25*100/G28</f>
        <v>83.86559620570597</v>
      </c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</row>
    <row r="35" spans="4:24" ht="19.5" hidden="1" customHeight="1" x14ac:dyDescent="0.3">
      <c r="D35" s="81" t="s">
        <v>107</v>
      </c>
      <c r="E35" s="45"/>
      <c r="F35" s="46"/>
      <c r="G35" s="82">
        <f>G26*100/G28</f>
        <v>9.7304384068819338</v>
      </c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</row>
    <row r="36" spans="4:24" ht="19.5" hidden="1" customHeight="1" x14ac:dyDescent="0.3">
      <c r="D36" s="81" t="s">
        <v>156</v>
      </c>
      <c r="E36" s="45"/>
      <c r="F36" s="46"/>
      <c r="G36" s="82">
        <f>G27*100/G28</f>
        <v>0.44951800409629378</v>
      </c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</row>
    <row r="37" spans="4:24" ht="19.5" hidden="1" customHeight="1" x14ac:dyDescent="0.3">
      <c r="D37" s="81" t="s">
        <v>157</v>
      </c>
      <c r="E37" s="45"/>
      <c r="F37" s="46"/>
      <c r="G37" s="82">
        <f>G18*100/G28</f>
        <v>5.9544473833158102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</row>
    <row r="38" spans="4:24" ht="19.5" hidden="1" customHeight="1" x14ac:dyDescent="0.3">
      <c r="D38" s="81" t="s">
        <v>108</v>
      </c>
      <c r="E38" s="45"/>
      <c r="F38" s="46"/>
      <c r="G38" s="82">
        <f>G35/G34</f>
        <v>0.11602419641798127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</row>
    <row r="39" spans="4:24" ht="19.5" customHeight="1" x14ac:dyDescent="0.3">
      <c r="D39" s="75" t="s">
        <v>57</v>
      </c>
      <c r="E39" s="1546" t="s">
        <v>58</v>
      </c>
      <c r="F39" s="1549" t="s">
        <v>59</v>
      </c>
      <c r="G39" s="47"/>
      <c r="H39" s="47"/>
      <c r="I39" s="47"/>
      <c r="J39" s="55"/>
      <c r="K39" s="55"/>
      <c r="L39" s="55"/>
      <c r="M39" s="55"/>
      <c r="N39" s="55"/>
      <c r="O39" s="55"/>
      <c r="P39" s="55"/>
      <c r="Q39" s="55"/>
      <c r="R39" s="56"/>
      <c r="S39" s="56"/>
      <c r="T39" s="56"/>
      <c r="U39" s="56"/>
      <c r="V39" s="56"/>
      <c r="W39" s="56"/>
      <c r="X39" s="56"/>
    </row>
    <row r="40" spans="4:24" ht="19.5" customHeight="1" x14ac:dyDescent="0.3">
      <c r="D40" s="83" t="s">
        <v>60</v>
      </c>
      <c r="E40" s="1552"/>
      <c r="F40" s="1550"/>
      <c r="G40" s="84">
        <v>376</v>
      </c>
      <c r="H40" s="84">
        <f>'HPS LTO DAILY '!J116</f>
        <v>56.4</v>
      </c>
      <c r="I40" s="84">
        <f>'HPS LTO DAILY '!K116</f>
        <v>24.9</v>
      </c>
      <c r="J40" s="84">
        <f>'HPS LTO DAILY '!L116</f>
        <v>6.2</v>
      </c>
      <c r="K40" s="84">
        <f>'HPS LTO DAILY '!M116</f>
        <v>34.299999999999997</v>
      </c>
      <c r="L40" s="84">
        <f>'HPS LTO DAILY '!N116</f>
        <v>55.5</v>
      </c>
      <c r="M40" s="84">
        <f>'HPS LTO DAILY '!O116</f>
        <v>60.5</v>
      </c>
      <c r="N40" s="84">
        <f>'HPS LTO DAILY '!P116</f>
        <v>56</v>
      </c>
      <c r="O40" s="84">
        <f>'HPS LTO DAILY '!Q116</f>
        <v>56.3</v>
      </c>
      <c r="P40" s="84">
        <f>'HPS LTO DAILY '!R116</f>
        <v>56.4</v>
      </c>
      <c r="Q40" s="84">
        <f>'HPS LTO DAILY '!S116</f>
        <v>56.9</v>
      </c>
      <c r="R40" s="84">
        <f>'HPS LTO DAILY '!T116</f>
        <v>35.200000000000003</v>
      </c>
      <c r="S40" s="84">
        <f>'HPS LTO DAILY '!U116</f>
        <v>55</v>
      </c>
      <c r="T40" s="84">
        <f>'HPS LTO DAILY '!V116</f>
        <v>54.4</v>
      </c>
      <c r="U40" s="84">
        <f>'HPS LTO DAILY '!W116</f>
        <v>56.2</v>
      </c>
      <c r="V40" s="84">
        <f>'HPS LTO DAILY '!X116</f>
        <v>56</v>
      </c>
      <c r="W40" s="84">
        <f>'HPS LTO DAILY '!Y116</f>
        <v>35</v>
      </c>
      <c r="X40" s="84">
        <f>'HPS LTO DAILY '!Z116</f>
        <v>74.099999999999994</v>
      </c>
    </row>
    <row r="41" spans="4:24" ht="19.5" customHeight="1" x14ac:dyDescent="0.3">
      <c r="D41" s="83">
        <v>5</v>
      </c>
      <c r="E41" s="1552"/>
      <c r="F41" s="1550"/>
      <c r="G41" s="84">
        <v>510</v>
      </c>
      <c r="H41" s="84">
        <f>'HPS LTO DAILY '!J121</f>
        <v>98.6</v>
      </c>
      <c r="I41" s="84">
        <f>'HPS LTO DAILY '!K121</f>
        <v>74.8</v>
      </c>
      <c r="J41" s="84">
        <f>'HPS LTO DAILY '!L121</f>
        <v>68.099999999999994</v>
      </c>
      <c r="K41" s="84">
        <f>'HPS LTO DAILY '!M121</f>
        <v>83.2</v>
      </c>
      <c r="L41" s="84">
        <f>'HPS LTO DAILY '!N121</f>
        <v>90.5</v>
      </c>
      <c r="M41" s="84">
        <f>'HPS LTO DAILY '!O121</f>
        <v>101.4</v>
      </c>
      <c r="N41" s="84">
        <f>'HPS LTO DAILY '!P121</f>
        <v>98</v>
      </c>
      <c r="O41" s="84">
        <f>'HPS LTO DAILY '!Q121</f>
        <v>97.8</v>
      </c>
      <c r="P41" s="84">
        <f>'HPS LTO DAILY '!R121</f>
        <v>98</v>
      </c>
      <c r="Q41" s="84">
        <f>'HPS LTO DAILY '!S121</f>
        <v>98</v>
      </c>
      <c r="R41" s="84">
        <f>'HPS LTO DAILY '!T121</f>
        <v>86.6</v>
      </c>
      <c r="S41" s="84">
        <f>'HPS LTO DAILY '!U121</f>
        <v>97.9</v>
      </c>
      <c r="T41" s="84">
        <f>'HPS LTO DAILY '!V121</f>
        <v>98.2</v>
      </c>
      <c r="U41" s="84">
        <f>'HPS LTO DAILY '!W121</f>
        <v>98</v>
      </c>
      <c r="V41" s="84">
        <f>'HPS LTO DAILY '!X121</f>
        <v>97.8</v>
      </c>
      <c r="W41" s="84">
        <f>'HPS LTO DAILY '!Y121</f>
        <v>83</v>
      </c>
      <c r="X41" s="84">
        <f>'HPS LTO DAILY '!Z121</f>
        <v>118</v>
      </c>
    </row>
    <row r="42" spans="4:24" ht="19.5" customHeight="1" x14ac:dyDescent="0.3">
      <c r="D42" s="83">
        <v>10</v>
      </c>
      <c r="E42" s="1552"/>
      <c r="F42" s="1550"/>
      <c r="G42" s="84">
        <v>543.5</v>
      </c>
      <c r="H42" s="84">
        <f>'HPS LTO DAILY '!J126</f>
        <v>99.6</v>
      </c>
      <c r="I42" s="84">
        <f>'HPS LTO DAILY '!K126</f>
        <v>98.5</v>
      </c>
      <c r="J42" s="84">
        <f>'HPS LTO DAILY '!L126</f>
        <v>90.3</v>
      </c>
      <c r="K42" s="84">
        <f>'HPS LTO DAILY '!M126</f>
        <v>101.7</v>
      </c>
      <c r="L42" s="84">
        <f>'HPS LTO DAILY '!N126</f>
        <v>112.7</v>
      </c>
      <c r="M42" s="84">
        <f>'HPS LTO DAILY '!O126</f>
        <v>122</v>
      </c>
      <c r="N42" s="84">
        <f>'HPS LTO DAILY '!P126</f>
        <v>116.8</v>
      </c>
      <c r="O42" s="84">
        <f>'HPS LTO DAILY '!Q126</f>
        <v>116.9</v>
      </c>
      <c r="P42" s="84">
        <f>'HPS LTO DAILY '!R126</f>
        <v>117.3</v>
      </c>
      <c r="Q42" s="84">
        <f>'HPS LTO DAILY '!S126</f>
        <v>117</v>
      </c>
      <c r="R42" s="84">
        <f>'HPS LTO DAILY '!T126</f>
        <v>98.5</v>
      </c>
      <c r="S42" s="84">
        <f>'HPS LTO DAILY '!U126</f>
        <v>117.3</v>
      </c>
      <c r="T42" s="84">
        <f>'HPS LTO DAILY '!V126</f>
        <v>118.4</v>
      </c>
      <c r="U42" s="84">
        <f>'HPS LTO DAILY '!W126</f>
        <v>117.1</v>
      </c>
      <c r="V42" s="84">
        <f>'HPS LTO DAILY '!X126</f>
        <v>116.6</v>
      </c>
      <c r="W42" s="84">
        <f>'HPS LTO DAILY '!Y126</f>
        <v>98.6</v>
      </c>
      <c r="X42" s="84">
        <f>'HPS LTO DAILY '!Z126</f>
        <v>134</v>
      </c>
    </row>
    <row r="43" spans="4:24" ht="19.5" customHeight="1" x14ac:dyDescent="0.3">
      <c r="D43" s="83">
        <v>15</v>
      </c>
      <c r="E43" s="1552"/>
      <c r="F43" s="1550"/>
      <c r="G43" s="84"/>
      <c r="H43" s="84">
        <f>'HPS LTO DAILY '!J131</f>
        <v>100.2</v>
      </c>
      <c r="I43" s="84">
        <f>'HPS LTO DAILY '!K131</f>
        <v>117.3</v>
      </c>
      <c r="J43" s="84">
        <f>'HPS LTO DAILY '!L131</f>
        <v>105.3</v>
      </c>
      <c r="K43" s="84">
        <f>'HPS LTO DAILY '!M131</f>
        <v>119.7</v>
      </c>
      <c r="L43" s="84">
        <f>'HPS LTO DAILY '!N131</f>
        <v>126.7</v>
      </c>
      <c r="M43" s="84">
        <f>'HPS LTO DAILY '!O131</f>
        <v>134.30000000000001</v>
      </c>
      <c r="N43" s="84">
        <f>'HPS LTO DAILY '!P131</f>
        <v>127</v>
      </c>
      <c r="O43" s="84">
        <f>'HPS LTO DAILY '!Q131</f>
        <v>126.9</v>
      </c>
      <c r="P43" s="84">
        <f>'HPS LTO DAILY '!R131</f>
        <v>127.1</v>
      </c>
      <c r="Q43" s="84">
        <f>'HPS LTO DAILY '!S131</f>
        <v>127.1</v>
      </c>
      <c r="R43" s="84">
        <f>'HPS LTO DAILY '!T131</f>
        <v>117.1</v>
      </c>
      <c r="S43" s="84">
        <f>'HPS LTO DAILY '!U131</f>
        <v>127.1</v>
      </c>
      <c r="T43" s="84">
        <f>'HPS LTO DAILY '!V131</f>
        <v>133</v>
      </c>
      <c r="U43" s="84">
        <f>'HPS LTO DAILY '!W131</f>
        <v>127.1</v>
      </c>
      <c r="V43" s="84">
        <f>'HPS LTO DAILY '!X131</f>
        <v>126.7</v>
      </c>
      <c r="W43" s="84">
        <f>'HPS LTO DAILY '!Y131</f>
        <v>117.3</v>
      </c>
      <c r="X43" s="84">
        <f>'HPS LTO DAILY '!Z131</f>
        <v>146</v>
      </c>
    </row>
    <row r="44" spans="4:24" ht="19.5" customHeight="1" x14ac:dyDescent="0.3">
      <c r="D44" s="83">
        <v>20</v>
      </c>
      <c r="E44" s="1552"/>
      <c r="F44" s="1550"/>
      <c r="G44" s="84">
        <v>578</v>
      </c>
      <c r="H44" s="84">
        <f>'HPS LTO DAILY '!J136</f>
        <v>100.7</v>
      </c>
      <c r="I44" s="84">
        <f>'HPS LTO DAILY '!K136</f>
        <v>132.9</v>
      </c>
      <c r="J44" s="84">
        <f>'HPS LTO DAILY '!L136</f>
        <v>125.8</v>
      </c>
      <c r="K44" s="84">
        <f>'HPS LTO DAILY '!M136</f>
        <v>137.69999999999999</v>
      </c>
      <c r="L44" s="84">
        <f>'HPS LTO DAILY '!N136</f>
        <v>140.6</v>
      </c>
      <c r="M44" s="84">
        <f>'HPS LTO DAILY '!O136</f>
        <v>145.69999999999999</v>
      </c>
      <c r="N44" s="84">
        <f>'HPS LTO DAILY '!P136</f>
        <v>140.4</v>
      </c>
      <c r="O44" s="84">
        <f>'HPS LTO DAILY '!Q136</f>
        <v>140.4</v>
      </c>
      <c r="P44" s="84">
        <f>'HPS LTO DAILY '!R136</f>
        <v>142.5</v>
      </c>
      <c r="Q44" s="84">
        <f>'HPS LTO DAILY '!S136</f>
        <v>140</v>
      </c>
      <c r="R44" s="84">
        <f>'HPS LTO DAILY '!T136</f>
        <v>126.8</v>
      </c>
      <c r="S44" s="84">
        <f>'HPS LTO DAILY '!U136</f>
        <v>140.69999999999999</v>
      </c>
      <c r="T44" s="84">
        <f>'HPS LTO DAILY '!V136</f>
        <v>144.69999999999999</v>
      </c>
      <c r="U44" s="84">
        <f>'HPS LTO DAILY '!W136</f>
        <v>140.30000000000001</v>
      </c>
      <c r="V44" s="84">
        <f>'HPS LTO DAILY '!X136</f>
        <v>136.4</v>
      </c>
      <c r="W44" s="84">
        <f>'HPS LTO DAILY '!Y136</f>
        <v>127.1</v>
      </c>
      <c r="X44" s="84">
        <f>'HPS LTO DAILY '!Z136</f>
        <v>156.69999999999999</v>
      </c>
    </row>
    <row r="45" spans="4:24" ht="19.5" customHeight="1" x14ac:dyDescent="0.3">
      <c r="D45" s="83">
        <v>30</v>
      </c>
      <c r="E45" s="1552"/>
      <c r="F45" s="1550"/>
      <c r="G45" s="84">
        <v>606</v>
      </c>
      <c r="H45" s="84">
        <f>'HPS LTO DAILY '!J146</f>
        <v>152.9</v>
      </c>
      <c r="I45" s="84">
        <f>'HPS LTO DAILY '!K146</f>
        <v>160.9</v>
      </c>
      <c r="J45" s="84">
        <f>'HPS LTO DAILY '!L146</f>
        <v>152.1</v>
      </c>
      <c r="K45" s="84">
        <f>'HPS LTO DAILY '!M146</f>
        <v>162.80000000000001</v>
      </c>
      <c r="L45" s="84">
        <f>'HPS LTO DAILY '!N146</f>
        <v>163.19999999999999</v>
      </c>
      <c r="M45" s="84">
        <f>'HPS LTO DAILY '!O146</f>
        <v>166.3</v>
      </c>
      <c r="N45" s="84">
        <f>'HPS LTO DAILY '!P146</f>
        <v>159.80000000000001</v>
      </c>
      <c r="O45" s="84">
        <f>'HPS LTO DAILY '!Q146</f>
        <v>159.69999999999999</v>
      </c>
      <c r="P45" s="84">
        <f>'HPS LTO DAILY '!R146</f>
        <v>161.5</v>
      </c>
      <c r="Q45" s="84">
        <f>'HPS LTO DAILY '!S146</f>
        <v>157.80000000000001</v>
      </c>
      <c r="R45" s="84">
        <f>'HPS LTO DAILY '!T146</f>
        <v>147</v>
      </c>
      <c r="S45" s="84">
        <f>'HPS LTO DAILY '!U146</f>
        <v>159.9</v>
      </c>
      <c r="T45" s="84">
        <f>'HPS LTO DAILY '!V146</f>
        <v>165.8</v>
      </c>
      <c r="U45" s="84">
        <f>'HPS LTO DAILY '!W146</f>
        <v>159.30000000000001</v>
      </c>
      <c r="V45" s="84">
        <f>'HPS LTO DAILY '!X146</f>
        <v>154.19999999999999</v>
      </c>
      <c r="W45" s="84">
        <f>'HPS LTO DAILY '!Y146</f>
        <v>150.6</v>
      </c>
      <c r="X45" s="84">
        <f>'HPS LTO DAILY '!Z146</f>
        <v>174.7</v>
      </c>
    </row>
    <row r="46" spans="4:24" ht="19.5" customHeight="1" x14ac:dyDescent="0.3">
      <c r="D46" s="83">
        <v>40</v>
      </c>
      <c r="E46" s="1552"/>
      <c r="F46" s="1550"/>
      <c r="G46" s="84">
        <v>635</v>
      </c>
      <c r="H46" s="84">
        <f>'HPS LTO DAILY '!J156</f>
        <v>164.2</v>
      </c>
      <c r="I46" s="84">
        <f>'HPS LTO DAILY '!K156</f>
        <v>171</v>
      </c>
      <c r="J46" s="84">
        <f>'HPS LTO DAILY '!L156</f>
        <v>170.6</v>
      </c>
      <c r="K46" s="84">
        <f>'HPS LTO DAILY '!M156</f>
        <v>184.6</v>
      </c>
      <c r="L46" s="84">
        <f>'HPS LTO DAILY '!N156</f>
        <v>183.9</v>
      </c>
      <c r="M46" s="84">
        <f>'HPS LTO DAILY '!O156</f>
        <v>182.8</v>
      </c>
      <c r="N46" s="84">
        <f>'HPS LTO DAILY '!P156</f>
        <v>175.7</v>
      </c>
      <c r="O46" s="84">
        <f>'HPS LTO DAILY '!Q156</f>
        <v>175.5</v>
      </c>
      <c r="P46" s="84">
        <f>'HPS LTO DAILY '!R156</f>
        <v>176.6</v>
      </c>
      <c r="Q46" s="84">
        <f>'HPS LTO DAILY '!S156</f>
        <v>175.3</v>
      </c>
      <c r="R46" s="84">
        <f>'HPS LTO DAILY '!T156</f>
        <v>166.6</v>
      </c>
      <c r="S46" s="84">
        <f>'HPS LTO DAILY '!U156</f>
        <v>175.4</v>
      </c>
      <c r="T46" s="84">
        <f>'HPS LTO DAILY '!V156</f>
        <v>182.5</v>
      </c>
      <c r="U46" s="84">
        <f>'HPS LTO DAILY '!W156</f>
        <v>175.6</v>
      </c>
      <c r="V46" s="84">
        <f>'HPS LTO DAILY '!X156</f>
        <v>174.4</v>
      </c>
      <c r="W46" s="84">
        <f>'HPS LTO DAILY '!Y156</f>
        <v>167.5</v>
      </c>
      <c r="X46" s="84">
        <f>'HPS LTO DAILY '!Z156</f>
        <v>189.5</v>
      </c>
    </row>
    <row r="47" spans="4:24" ht="19.5" customHeight="1" x14ac:dyDescent="0.3">
      <c r="D47" s="83">
        <v>50</v>
      </c>
      <c r="E47" s="1552"/>
      <c r="F47" s="1550"/>
      <c r="G47" s="84">
        <v>667</v>
      </c>
      <c r="H47" s="84">
        <f>'HPS LTO DAILY '!J166</f>
        <v>170.9</v>
      </c>
      <c r="I47" s="84">
        <f>'HPS LTO DAILY '!K166</f>
        <v>195.8</v>
      </c>
      <c r="J47" s="84">
        <f>'HPS LTO DAILY '!L166</f>
        <v>196.6</v>
      </c>
      <c r="K47" s="84">
        <f>'HPS LTO DAILY '!M166</f>
        <v>208.1</v>
      </c>
      <c r="L47" s="84">
        <f>'HPS LTO DAILY '!N166</f>
        <v>206</v>
      </c>
      <c r="M47" s="84">
        <f>'HPS LTO DAILY '!O166</f>
        <v>201.6</v>
      </c>
      <c r="N47" s="84">
        <f>'HPS LTO DAILY '!P166</f>
        <v>196.2</v>
      </c>
      <c r="O47" s="84">
        <f>'HPS LTO DAILY '!Q166</f>
        <v>196</v>
      </c>
      <c r="P47" s="84">
        <f>'HPS LTO DAILY '!R166</f>
        <v>196.8</v>
      </c>
      <c r="Q47" s="84">
        <f>'HPS LTO DAILY '!S166</f>
        <v>192.4</v>
      </c>
      <c r="R47" s="84">
        <f>'HPS LTO DAILY '!T166</f>
        <v>183.8</v>
      </c>
      <c r="S47" s="84">
        <f>'HPS LTO DAILY '!U166</f>
        <v>194.9</v>
      </c>
      <c r="T47" s="84">
        <f>'HPS LTO DAILY '!V166</f>
        <v>202.3</v>
      </c>
      <c r="U47" s="84">
        <f>'HPS LTO DAILY '!W166</f>
        <v>195.3</v>
      </c>
      <c r="V47" s="84">
        <f>'HPS LTO DAILY '!X166</f>
        <v>190.2</v>
      </c>
      <c r="W47" s="84">
        <f>'HPS LTO DAILY '!Y166</f>
        <v>186.7</v>
      </c>
      <c r="X47" s="84">
        <f>'HPS LTO DAILY '!Z166</f>
        <v>206.3</v>
      </c>
    </row>
    <row r="48" spans="4:24" ht="19.5" customHeight="1" x14ac:dyDescent="0.3">
      <c r="D48" s="83">
        <v>60</v>
      </c>
      <c r="E48" s="1552"/>
      <c r="F48" s="1550"/>
      <c r="G48" s="84">
        <v>705</v>
      </c>
      <c r="H48" s="84">
        <f>'HPS LTO DAILY '!J176</f>
        <v>179.6</v>
      </c>
      <c r="I48" s="84">
        <f>'HPS LTO DAILY '!K176</f>
        <v>221.3</v>
      </c>
      <c r="J48" s="84">
        <f>'HPS LTO DAILY '!L176</f>
        <v>221.3</v>
      </c>
      <c r="K48" s="84">
        <f>'HPS LTO DAILY '!M176</f>
        <v>232.8</v>
      </c>
      <c r="L48" s="84">
        <f>'HPS LTO DAILY '!N176</f>
        <v>229.8</v>
      </c>
      <c r="M48" s="84">
        <f>'HPS LTO DAILY '!O176</f>
        <v>220.4</v>
      </c>
      <c r="N48" s="84">
        <f>'HPS LTO DAILY '!P176</f>
        <v>214.6</v>
      </c>
      <c r="O48" s="84">
        <f>'HPS LTO DAILY '!Q176</f>
        <v>214.5</v>
      </c>
      <c r="P48" s="84">
        <f>'HPS LTO DAILY '!R176</f>
        <v>216</v>
      </c>
      <c r="Q48" s="84">
        <f>'HPS LTO DAILY '!S176</f>
        <v>211.1</v>
      </c>
      <c r="R48" s="84">
        <f>'HPS LTO DAILY '!T176</f>
        <v>203.6</v>
      </c>
      <c r="S48" s="84">
        <f>'HPS LTO DAILY '!U176</f>
        <v>213.6</v>
      </c>
      <c r="T48" s="84">
        <f>'HPS LTO DAILY '!V176</f>
        <v>221.3</v>
      </c>
      <c r="U48" s="84">
        <f>'HPS LTO DAILY '!W176</f>
        <v>214.5</v>
      </c>
      <c r="V48" s="84">
        <f>'HPS LTO DAILY '!X176</f>
        <v>210</v>
      </c>
      <c r="W48" s="84">
        <f>'HPS LTO DAILY '!Y176</f>
        <v>206.9</v>
      </c>
      <c r="X48" s="84">
        <f>'HPS LTO DAILY '!Z176</f>
        <v>224.1</v>
      </c>
    </row>
    <row r="49" spans="4:24" ht="19.5" customHeight="1" x14ac:dyDescent="0.3">
      <c r="D49" s="83">
        <v>70</v>
      </c>
      <c r="E49" s="1552"/>
      <c r="F49" s="1550"/>
      <c r="G49" s="47"/>
      <c r="H49" s="60">
        <f>'HPS LTO DAILY '!J186</f>
        <v>225</v>
      </c>
      <c r="I49" s="60">
        <f>'HPS LTO DAILY '!K186</f>
        <v>254.5</v>
      </c>
      <c r="J49" s="60">
        <f>'HPS LTO DAILY '!L186</f>
        <v>253.6</v>
      </c>
      <c r="K49" s="60">
        <f>'HPS LTO DAILY '!M186</f>
        <v>260.89999999999998</v>
      </c>
      <c r="L49" s="60">
        <f>'HPS LTO DAILY '!N186</f>
        <v>256.3</v>
      </c>
      <c r="M49" s="60">
        <f>'HPS LTO DAILY '!O186</f>
        <v>244.6</v>
      </c>
      <c r="N49" s="60">
        <f>'HPS LTO DAILY '!P186</f>
        <v>236.1</v>
      </c>
      <c r="O49" s="60">
        <f>'HPS LTO DAILY '!Q186</f>
        <v>236</v>
      </c>
      <c r="P49" s="60">
        <f>'HPS LTO DAILY '!R186</f>
        <v>236.2</v>
      </c>
      <c r="Q49" s="60">
        <f>'HPS LTO DAILY '!S186</f>
        <v>232.8</v>
      </c>
      <c r="R49" s="60">
        <f>'HPS LTO DAILY '!T186</f>
        <v>226</v>
      </c>
      <c r="S49" s="60">
        <f>'HPS LTO DAILY '!U186</f>
        <v>235.6</v>
      </c>
      <c r="T49" s="60">
        <f>'HPS LTO DAILY '!V186</f>
        <v>245.6</v>
      </c>
      <c r="U49" s="60">
        <f>'HPS LTO DAILY '!W186</f>
        <v>236.1</v>
      </c>
      <c r="V49" s="60">
        <f>'HPS LTO DAILY '!X186</f>
        <v>231.3</v>
      </c>
      <c r="W49" s="60">
        <f>'HPS LTO DAILY '!Y186</f>
        <v>229.7</v>
      </c>
      <c r="X49" s="60">
        <f>'HPS LTO DAILY '!Z186</f>
        <v>245.3</v>
      </c>
    </row>
    <row r="50" spans="4:24" ht="19.5" customHeight="1" x14ac:dyDescent="0.3">
      <c r="D50" s="83">
        <v>80</v>
      </c>
      <c r="E50" s="1552"/>
      <c r="F50" s="1550"/>
      <c r="G50" s="47"/>
      <c r="H50" s="60">
        <f>'HPS LTO DAILY '!J196</f>
        <v>281.7</v>
      </c>
      <c r="I50" s="60">
        <f>'HPS LTO DAILY '!K196</f>
        <v>291.2</v>
      </c>
      <c r="J50" s="60">
        <f>'HPS LTO DAILY '!L196</f>
        <v>288.2</v>
      </c>
      <c r="K50" s="60">
        <f>'HPS LTO DAILY '!M196</f>
        <v>295.10000000000002</v>
      </c>
      <c r="L50" s="60">
        <f>'HPS LTO DAILY '!N196</f>
        <v>289.7</v>
      </c>
      <c r="M50" s="60">
        <f>'HPS LTO DAILY '!O196</f>
        <v>272.89999999999998</v>
      </c>
      <c r="N50" s="60">
        <f>'HPS LTO DAILY '!P196</f>
        <v>264.2</v>
      </c>
      <c r="O50" s="60">
        <f>'HPS LTO DAILY '!Q196</f>
        <v>264.39999999999998</v>
      </c>
      <c r="P50" s="60">
        <f>'HPS LTO DAILY '!R196</f>
        <v>265.10000000000002</v>
      </c>
      <c r="Q50" s="60">
        <f>'HPS LTO DAILY '!S196</f>
        <v>260.3</v>
      </c>
      <c r="R50" s="60">
        <f>'HPS LTO DAILY '!T196</f>
        <v>254.8</v>
      </c>
      <c r="S50" s="60">
        <f>'HPS LTO DAILY '!U196</f>
        <v>263.8</v>
      </c>
      <c r="T50" s="60">
        <f>'HPS LTO DAILY '!V196</f>
        <v>273.39999999999998</v>
      </c>
      <c r="U50" s="60">
        <f>'HPS LTO DAILY '!W196</f>
        <v>264.60000000000002</v>
      </c>
      <c r="V50" s="60">
        <f>'HPS LTO DAILY '!X196</f>
        <v>258.60000000000002</v>
      </c>
      <c r="W50" s="60">
        <f>'HPS LTO DAILY '!Y196</f>
        <v>256.89999999999998</v>
      </c>
      <c r="X50" s="60">
        <f>'HPS LTO DAILY '!Z196</f>
        <v>271.60000000000002</v>
      </c>
    </row>
    <row r="51" spans="4:24" ht="19.5" customHeight="1" x14ac:dyDescent="0.3">
      <c r="D51" s="83">
        <v>90</v>
      </c>
      <c r="E51" s="1552"/>
      <c r="F51" s="1550"/>
      <c r="G51" s="47"/>
      <c r="H51" s="60">
        <f>'HPS LTO DAILY '!J206</f>
        <v>352.8</v>
      </c>
      <c r="I51" s="60">
        <f>'HPS LTO DAILY '!K206</f>
        <v>344.7</v>
      </c>
      <c r="J51" s="60">
        <f>'HPS LTO DAILY '!L206</f>
        <v>340</v>
      </c>
      <c r="K51" s="60">
        <f>'HPS LTO DAILY '!M206</f>
        <v>343.1</v>
      </c>
      <c r="L51" s="60">
        <f>'HPS LTO DAILY '!N206</f>
        <v>337.7</v>
      </c>
      <c r="M51" s="60">
        <f>'HPS LTO DAILY '!O206</f>
        <v>317.5</v>
      </c>
      <c r="N51" s="60">
        <f>'HPS LTO DAILY '!P206</f>
        <v>304.8</v>
      </c>
      <c r="O51" s="60">
        <f>'HPS LTO DAILY '!Q206</f>
        <v>305.5</v>
      </c>
      <c r="P51" s="60">
        <f>'HPS LTO DAILY '!R206</f>
        <v>306.8</v>
      </c>
      <c r="Q51" s="60">
        <f>'HPS LTO DAILY '!S206</f>
        <v>302.89999999999998</v>
      </c>
      <c r="R51" s="60">
        <f>'HPS LTO DAILY '!T206</f>
        <v>297.5</v>
      </c>
      <c r="S51" s="60">
        <f>'HPS LTO DAILY '!U206</f>
        <v>306.60000000000002</v>
      </c>
      <c r="T51" s="60">
        <f>'HPS LTO DAILY '!V206</f>
        <v>317.5</v>
      </c>
      <c r="U51" s="60">
        <f>'HPS LTO DAILY '!W206</f>
        <v>307.2</v>
      </c>
      <c r="V51" s="60">
        <f>'HPS LTO DAILY '!X206</f>
        <v>302.60000000000002</v>
      </c>
      <c r="W51" s="60">
        <f>'HPS LTO DAILY '!Y206</f>
        <v>301.7</v>
      </c>
      <c r="X51" s="60">
        <f>'HPS LTO DAILY '!Z206</f>
        <v>311.39999999999998</v>
      </c>
    </row>
    <row r="52" spans="4:24" ht="19.5" customHeight="1" x14ac:dyDescent="0.3">
      <c r="D52" s="83">
        <v>95</v>
      </c>
      <c r="E52" s="1552"/>
      <c r="F52" s="1550"/>
      <c r="G52" s="47"/>
      <c r="H52" s="60">
        <f>'HPS LTO DAILY '!J211</f>
        <v>393.3</v>
      </c>
      <c r="I52" s="60">
        <f>'HPS LTO DAILY '!K211</f>
        <v>384.6</v>
      </c>
      <c r="J52" s="60">
        <f>'HPS LTO DAILY '!L211</f>
        <v>380.3</v>
      </c>
      <c r="K52" s="60">
        <f>'HPS LTO DAILY '!M211</f>
        <v>381.3</v>
      </c>
      <c r="L52" s="60">
        <f>'HPS LTO DAILY '!N211</f>
        <v>376.9</v>
      </c>
      <c r="M52" s="60">
        <f>'HPS LTO DAILY '!O211</f>
        <v>357.1</v>
      </c>
      <c r="N52" s="60">
        <f>'HPS LTO DAILY '!P211</f>
        <v>343.7</v>
      </c>
      <c r="O52" s="60">
        <f>'HPS LTO DAILY '!Q211</f>
        <v>344.1</v>
      </c>
      <c r="P52" s="60">
        <f>'HPS LTO DAILY '!R211</f>
        <v>344.9</v>
      </c>
      <c r="Q52" s="60">
        <f>'HPS LTO DAILY '!S211</f>
        <v>340.8</v>
      </c>
      <c r="R52" s="60">
        <f>'HPS LTO DAILY '!T211</f>
        <v>334.9</v>
      </c>
      <c r="S52" s="60">
        <f>'HPS LTO DAILY '!U211</f>
        <v>345.7</v>
      </c>
      <c r="T52" s="60">
        <f>'HPS LTO DAILY '!V211</f>
        <v>357</v>
      </c>
      <c r="U52" s="60">
        <f>'HPS LTO DAILY '!W211</f>
        <v>345.9</v>
      </c>
      <c r="V52" s="60">
        <f>'HPS LTO DAILY '!X211</f>
        <v>341</v>
      </c>
      <c r="W52" s="60">
        <f>'HPS LTO DAILY '!Y211</f>
        <v>338.3</v>
      </c>
      <c r="X52" s="60">
        <f>'HPS LTO DAILY '!Z211</f>
        <v>347.3</v>
      </c>
    </row>
    <row r="53" spans="4:24" ht="19.5" customHeight="1" thickBot="1" x14ac:dyDescent="0.35">
      <c r="D53" s="83" t="s">
        <v>61</v>
      </c>
      <c r="E53" s="89" t="s">
        <v>54</v>
      </c>
      <c r="F53" s="1551"/>
      <c r="G53" s="90" t="s">
        <v>158</v>
      </c>
      <c r="H53" s="91">
        <f>'HPS LTO DAILY '!J216</f>
        <v>473</v>
      </c>
      <c r="I53" s="91">
        <f>'HPS LTO DAILY '!K216</f>
        <v>468.4</v>
      </c>
      <c r="J53" s="91">
        <f>'HPS LTO DAILY '!L216</f>
        <v>465.6</v>
      </c>
      <c r="K53" s="91">
        <f>'HPS LTO DAILY '!M216</f>
        <v>466.8</v>
      </c>
      <c r="L53" s="91">
        <f>'HPS LTO DAILY '!N216</f>
        <v>465.4</v>
      </c>
      <c r="M53" s="91">
        <f>'HPS LTO DAILY '!O216</f>
        <v>449.2</v>
      </c>
      <c r="N53" s="91">
        <f>'HPS LTO DAILY '!P216</f>
        <v>439.4</v>
      </c>
      <c r="O53" s="91">
        <f>'HPS LTO DAILY '!Q216</f>
        <v>437.2</v>
      </c>
      <c r="P53" s="91">
        <f>'HPS LTO DAILY '!R216</f>
        <v>442.6</v>
      </c>
      <c r="Q53" s="91">
        <f>'HPS LTO DAILY '!S216</f>
        <v>435.6</v>
      </c>
      <c r="R53" s="91">
        <f>'HPS LTO DAILY '!T216</f>
        <v>432.2</v>
      </c>
      <c r="S53" s="91">
        <f>'HPS LTO DAILY '!U216</f>
        <v>442.9</v>
      </c>
      <c r="T53" s="91">
        <f>'HPS LTO DAILY '!V216</f>
        <v>448.1</v>
      </c>
      <c r="U53" s="91">
        <f>'HPS LTO DAILY '!W216</f>
        <v>441.7</v>
      </c>
      <c r="V53" s="91">
        <f>'HPS LTO DAILY '!X216</f>
        <v>440.3</v>
      </c>
      <c r="W53" s="91">
        <f>'HPS LTO DAILY '!Y216</f>
        <v>433.3</v>
      </c>
      <c r="X53" s="91">
        <f>'HPS LTO DAILY '!Z216</f>
        <v>438.7</v>
      </c>
    </row>
    <row r="54" spans="4:24" ht="19.5" customHeight="1" x14ac:dyDescent="0.3">
      <c r="D54" s="92" t="s">
        <v>159</v>
      </c>
      <c r="E54" s="93"/>
      <c r="F54" s="94"/>
      <c r="G54" s="95"/>
      <c r="H54" s="95"/>
      <c r="I54" s="95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</row>
    <row r="55" spans="4:24" ht="19.5" customHeight="1" x14ac:dyDescent="0.3">
      <c r="D55" s="97" t="s">
        <v>101</v>
      </c>
      <c r="E55" s="1553" t="s">
        <v>58</v>
      </c>
      <c r="F55" s="1556" t="s">
        <v>36</v>
      </c>
      <c r="G55" s="98">
        <v>0</v>
      </c>
      <c r="H55" s="3">
        <v>2</v>
      </c>
      <c r="I55" s="3">
        <v>7.5</v>
      </c>
      <c r="J55" s="99">
        <v>9.5</v>
      </c>
      <c r="K55" s="99">
        <v>6.5</v>
      </c>
      <c r="L55" s="99">
        <v>4.5</v>
      </c>
      <c r="M55" s="99">
        <v>2.5</v>
      </c>
      <c r="N55" s="99">
        <v>3.5</v>
      </c>
      <c r="O55" s="99">
        <v>3.5</v>
      </c>
      <c r="P55" s="99">
        <v>3.5</v>
      </c>
      <c r="Q55" s="99">
        <v>3.5</v>
      </c>
      <c r="R55" s="99">
        <v>6.7</v>
      </c>
      <c r="S55" s="99">
        <v>3.5</v>
      </c>
      <c r="T55" s="99">
        <v>3.4</v>
      </c>
      <c r="U55" s="99">
        <v>3.6</v>
      </c>
      <c r="V55" s="99">
        <v>3.7</v>
      </c>
      <c r="W55" s="99">
        <v>6.8</v>
      </c>
      <c r="X55" s="99">
        <v>1.1000000000000001</v>
      </c>
    </row>
    <row r="56" spans="4:24" ht="19.5" customHeight="1" x14ac:dyDescent="0.3">
      <c r="D56" s="97" t="s">
        <v>102</v>
      </c>
      <c r="E56" s="1554"/>
      <c r="F56" s="1557"/>
      <c r="G56" s="98">
        <v>0</v>
      </c>
      <c r="H56" s="3">
        <v>29</v>
      </c>
      <c r="I56" s="3">
        <v>22</v>
      </c>
      <c r="J56" s="99">
        <v>23</v>
      </c>
      <c r="K56" s="99">
        <v>22</v>
      </c>
      <c r="L56" s="99">
        <v>23.5</v>
      </c>
      <c r="M56" s="99">
        <v>24</v>
      </c>
      <c r="N56" s="99">
        <v>26.5</v>
      </c>
      <c r="O56" s="99">
        <v>26.5</v>
      </c>
      <c r="P56" s="99">
        <v>25.5</v>
      </c>
      <c r="Q56" s="99">
        <v>27.4</v>
      </c>
      <c r="R56" s="99">
        <v>29.4</v>
      </c>
      <c r="S56" s="99">
        <v>26.6</v>
      </c>
      <c r="T56" s="99">
        <v>23.8</v>
      </c>
      <c r="U56" s="99">
        <v>26.9</v>
      </c>
      <c r="V56" s="99">
        <v>28.3</v>
      </c>
      <c r="W56" s="99">
        <v>28.5</v>
      </c>
      <c r="X56" s="99">
        <v>20.399999999999999</v>
      </c>
    </row>
    <row r="57" spans="4:24" ht="19.5" customHeight="1" x14ac:dyDescent="0.3">
      <c r="D57" s="97" t="s">
        <v>103</v>
      </c>
      <c r="E57" s="1554"/>
      <c r="F57" s="1557"/>
      <c r="G57" s="98">
        <v>0</v>
      </c>
      <c r="H57" s="3">
        <v>43.5</v>
      </c>
      <c r="I57" s="3">
        <v>39.5</v>
      </c>
      <c r="J57" s="99">
        <v>36.5</v>
      </c>
      <c r="K57" s="99">
        <v>37.5</v>
      </c>
      <c r="L57" s="99">
        <v>39.5</v>
      </c>
      <c r="M57" s="99">
        <v>45.5</v>
      </c>
      <c r="N57" s="99">
        <v>45</v>
      </c>
      <c r="O57" s="99">
        <v>45</v>
      </c>
      <c r="P57" s="99">
        <v>46</v>
      </c>
      <c r="Q57" s="99">
        <v>45.4</v>
      </c>
      <c r="R57" s="99">
        <v>42.4</v>
      </c>
      <c r="S57" s="99">
        <v>43.5</v>
      </c>
      <c r="T57" s="99">
        <v>44.3</v>
      </c>
      <c r="U57" s="99">
        <v>44.6</v>
      </c>
      <c r="V57" s="99">
        <v>44.7</v>
      </c>
      <c r="W57" s="99">
        <v>42</v>
      </c>
      <c r="X57" s="99">
        <v>50.3</v>
      </c>
    </row>
    <row r="58" spans="4:24" ht="19.5" customHeight="1" x14ac:dyDescent="0.3">
      <c r="D58" s="97" t="s">
        <v>104</v>
      </c>
      <c r="E58" s="1554"/>
      <c r="F58" s="1557"/>
      <c r="G58" s="98">
        <v>0</v>
      </c>
      <c r="H58" s="3">
        <v>16.5</v>
      </c>
      <c r="I58" s="3">
        <v>23</v>
      </c>
      <c r="J58" s="99">
        <v>24</v>
      </c>
      <c r="K58" s="99">
        <v>26.5</v>
      </c>
      <c r="L58" s="99">
        <v>25.5</v>
      </c>
      <c r="M58" s="99">
        <v>23.5</v>
      </c>
      <c r="N58" s="99">
        <v>21.5</v>
      </c>
      <c r="O58" s="99">
        <v>21.5</v>
      </c>
      <c r="P58" s="99">
        <v>21.5</v>
      </c>
      <c r="Q58" s="99">
        <v>20.3</v>
      </c>
      <c r="R58" s="99">
        <v>18.399999999999999</v>
      </c>
      <c r="S58" s="99">
        <v>20.8</v>
      </c>
      <c r="T58" s="99">
        <v>23.8</v>
      </c>
      <c r="U58" s="99">
        <v>21</v>
      </c>
      <c r="V58" s="99">
        <v>19.899999999999999</v>
      </c>
      <c r="W58" s="99">
        <v>19.5</v>
      </c>
      <c r="X58" s="99">
        <v>24.4</v>
      </c>
    </row>
    <row r="59" spans="4:24" ht="19.5" customHeight="1" x14ac:dyDescent="0.3">
      <c r="D59" s="97" t="s">
        <v>105</v>
      </c>
      <c r="E59" s="1554"/>
      <c r="F59" s="1557"/>
      <c r="G59" s="98">
        <v>4.17</v>
      </c>
      <c r="H59" s="3">
        <v>9</v>
      </c>
      <c r="I59" s="3">
        <v>8</v>
      </c>
      <c r="J59" s="99">
        <v>7</v>
      </c>
      <c r="K59" s="99">
        <v>7.5</v>
      </c>
      <c r="L59" s="99">
        <v>7</v>
      </c>
      <c r="M59" s="99">
        <v>4.5</v>
      </c>
      <c r="N59" s="99">
        <v>3.5</v>
      </c>
      <c r="O59" s="99">
        <v>3.5</v>
      </c>
      <c r="P59" s="99">
        <v>3.5</v>
      </c>
      <c r="Q59" s="99">
        <v>3.4</v>
      </c>
      <c r="R59" s="99">
        <v>3.1</v>
      </c>
      <c r="S59" s="99">
        <v>5.6</v>
      </c>
      <c r="T59" s="99">
        <v>4.7</v>
      </c>
      <c r="U59" s="99">
        <v>3.9</v>
      </c>
      <c r="V59" s="99">
        <v>3.4</v>
      </c>
      <c r="W59" s="99">
        <v>3.2</v>
      </c>
      <c r="X59" s="99">
        <v>3.8</v>
      </c>
    </row>
    <row r="60" spans="4:24" ht="19.5" customHeight="1" x14ac:dyDescent="0.3">
      <c r="D60" s="97" t="s">
        <v>100</v>
      </c>
      <c r="E60" s="1554"/>
      <c r="F60" s="1557"/>
      <c r="G60" s="98">
        <f>14.05-G59</f>
        <v>9.8800000000000008</v>
      </c>
      <c r="H60" s="3">
        <v>0</v>
      </c>
      <c r="I60" s="3">
        <v>0</v>
      </c>
      <c r="J60" s="99">
        <v>0</v>
      </c>
      <c r="K60" s="99">
        <v>0</v>
      </c>
      <c r="L60" s="99">
        <v>0</v>
      </c>
      <c r="M60" s="99">
        <v>0</v>
      </c>
      <c r="N60" s="99">
        <v>0</v>
      </c>
      <c r="O60" s="99">
        <v>0</v>
      </c>
      <c r="P60" s="99">
        <v>0</v>
      </c>
      <c r="Q60" s="99">
        <v>0</v>
      </c>
      <c r="R60" s="99">
        <v>0</v>
      </c>
      <c r="S60" s="99">
        <v>0</v>
      </c>
      <c r="T60" s="99">
        <v>0</v>
      </c>
      <c r="U60" s="99">
        <v>0</v>
      </c>
      <c r="V60" s="99">
        <v>0</v>
      </c>
      <c r="W60" s="99">
        <v>0</v>
      </c>
      <c r="X60" s="99">
        <v>0</v>
      </c>
    </row>
    <row r="61" spans="4:24" ht="19.5" customHeight="1" x14ac:dyDescent="0.3">
      <c r="D61" s="97" t="s">
        <v>160</v>
      </c>
      <c r="E61" s="1555"/>
      <c r="F61" s="1558"/>
      <c r="G61" s="98">
        <f>100-SUM(G55:G60)</f>
        <v>85.95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4:24" ht="19.5" customHeight="1" thickBot="1" x14ac:dyDescent="0.35">
      <c r="D62" s="100" t="s">
        <v>161</v>
      </c>
      <c r="E62" s="93"/>
      <c r="F62" s="94"/>
      <c r="G62" s="101">
        <f>SUM(G55:G61)</f>
        <v>100</v>
      </c>
      <c r="H62" s="636">
        <f>SUM(H55:H61)</f>
        <v>100</v>
      </c>
      <c r="I62" s="636">
        <f t="shared" ref="I62:W62" si="8">SUM(I55:I61)</f>
        <v>100</v>
      </c>
      <c r="J62" s="636">
        <f t="shared" si="8"/>
        <v>100</v>
      </c>
      <c r="K62" s="636">
        <f t="shared" si="8"/>
        <v>100</v>
      </c>
      <c r="L62" s="636">
        <f t="shared" si="8"/>
        <v>100</v>
      </c>
      <c r="M62" s="636">
        <f t="shared" si="8"/>
        <v>100</v>
      </c>
      <c r="N62" s="636">
        <f>SUM(N55:N61)</f>
        <v>100</v>
      </c>
      <c r="O62" s="636">
        <f t="shared" si="8"/>
        <v>100</v>
      </c>
      <c r="P62" s="636">
        <f t="shared" si="8"/>
        <v>100</v>
      </c>
      <c r="Q62" s="636">
        <f t="shared" si="8"/>
        <v>100</v>
      </c>
      <c r="R62" s="636">
        <f t="shared" si="8"/>
        <v>100</v>
      </c>
      <c r="S62" s="636">
        <f t="shared" si="8"/>
        <v>99.999999999999986</v>
      </c>
      <c r="T62" s="636">
        <f t="shared" si="8"/>
        <v>100</v>
      </c>
      <c r="U62" s="636">
        <f t="shared" si="8"/>
        <v>100</v>
      </c>
      <c r="V62" s="636">
        <f t="shared" si="8"/>
        <v>100</v>
      </c>
      <c r="W62" s="636">
        <f t="shared" si="8"/>
        <v>100</v>
      </c>
      <c r="X62" s="636">
        <f t="shared" ref="X62" si="9">SUM(X55:X61)</f>
        <v>99.999999999999986</v>
      </c>
    </row>
    <row r="63" spans="4:24" ht="18.75" customHeight="1" x14ac:dyDescent="0.3">
      <c r="D63" s="75" t="s">
        <v>62</v>
      </c>
      <c r="E63" s="1538" t="s">
        <v>63</v>
      </c>
      <c r="F63" s="1539" t="s">
        <v>55</v>
      </c>
      <c r="G63" s="47"/>
      <c r="H63" s="47"/>
      <c r="I63" s="47"/>
      <c r="J63" s="55"/>
      <c r="K63" s="55"/>
      <c r="L63" s="55"/>
      <c r="M63" s="55"/>
      <c r="N63" s="55"/>
      <c r="O63" s="55"/>
      <c r="P63" s="55"/>
      <c r="Q63" s="55"/>
      <c r="R63" s="56"/>
      <c r="S63" s="56"/>
      <c r="T63" s="56"/>
      <c r="U63" s="56"/>
      <c r="V63" s="56"/>
      <c r="W63" s="56"/>
      <c r="X63" s="56"/>
    </row>
    <row r="64" spans="4:24" ht="18.75" customHeight="1" x14ac:dyDescent="0.3">
      <c r="D64" s="44" t="s">
        <v>64</v>
      </c>
      <c r="E64" s="1538"/>
      <c r="F64" s="1539"/>
      <c r="G64" s="60">
        <v>2.2999999999999998</v>
      </c>
      <c r="H64" s="47"/>
      <c r="I64" s="47"/>
      <c r="J64" s="55"/>
      <c r="K64" s="55"/>
      <c r="L64" s="55"/>
      <c r="M64" s="55"/>
      <c r="N64" s="55"/>
      <c r="O64" s="55"/>
      <c r="P64" s="55"/>
      <c r="Q64" s="55"/>
      <c r="R64" s="56"/>
      <c r="S64" s="56"/>
      <c r="T64" s="56"/>
      <c r="U64" s="56"/>
      <c r="V64" s="56"/>
      <c r="W64" s="56"/>
      <c r="X64" s="56"/>
    </row>
    <row r="65" spans="2:24" ht="18.75" customHeight="1" x14ac:dyDescent="0.3">
      <c r="D65" s="44" t="s">
        <v>65</v>
      </c>
      <c r="E65" s="1538"/>
      <c r="F65" s="1539"/>
      <c r="G65" s="60">
        <v>41.8</v>
      </c>
      <c r="H65" s="47"/>
      <c r="I65" s="47"/>
      <c r="J65" s="55"/>
      <c r="K65" s="55"/>
      <c r="L65" s="55"/>
      <c r="M65" s="55"/>
      <c r="N65" s="55"/>
      <c r="O65" s="55"/>
      <c r="P65" s="55"/>
      <c r="Q65" s="55"/>
      <c r="R65" s="56"/>
      <c r="S65" s="56"/>
      <c r="T65" s="56"/>
      <c r="U65" s="56"/>
      <c r="V65" s="56"/>
      <c r="W65" s="56"/>
      <c r="X65" s="56"/>
    </row>
    <row r="66" spans="2:24" ht="18.75" customHeight="1" x14ac:dyDescent="0.3">
      <c r="D66" s="44" t="s">
        <v>66</v>
      </c>
      <c r="E66" s="1538"/>
      <c r="F66" s="1539"/>
      <c r="G66" s="60">
        <v>24.4</v>
      </c>
      <c r="H66" s="47"/>
      <c r="I66" s="47"/>
      <c r="J66" s="288"/>
      <c r="K66" s="55"/>
      <c r="L66" s="55"/>
      <c r="M66" s="55"/>
      <c r="N66" s="55"/>
      <c r="O66" s="55"/>
      <c r="P66" s="55"/>
      <c r="Q66" s="55"/>
      <c r="R66" s="289"/>
      <c r="S66" s="289"/>
      <c r="T66" s="289"/>
      <c r="U66" s="289"/>
      <c r="V66" s="289"/>
      <c r="W66" s="289"/>
      <c r="X66" s="289"/>
    </row>
    <row r="67" spans="2:24" ht="18.75" customHeight="1" x14ac:dyDescent="0.3">
      <c r="D67" s="44" t="s">
        <v>67</v>
      </c>
      <c r="E67" s="1538"/>
      <c r="F67" s="1539"/>
      <c r="G67" s="60">
        <v>31.6</v>
      </c>
      <c r="H67" s="47"/>
      <c r="I67" s="47"/>
      <c r="J67" s="55"/>
      <c r="K67" s="55"/>
      <c r="L67" s="55"/>
      <c r="M67" s="55"/>
      <c r="N67" s="55"/>
      <c r="O67" s="55"/>
      <c r="P67" s="55"/>
      <c r="Q67" s="55"/>
      <c r="R67" s="56"/>
      <c r="S67" s="56"/>
      <c r="T67" s="56"/>
      <c r="U67" s="56"/>
      <c r="V67" s="56"/>
      <c r="W67" s="56"/>
      <c r="X67" s="56"/>
    </row>
    <row r="68" spans="2:24" x14ac:dyDescent="0.3">
      <c r="B68" s="103"/>
      <c r="C68" s="10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2:24" x14ac:dyDescent="0.3">
      <c r="B69" s="103"/>
      <c r="C69" s="103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</row>
    <row r="70" spans="2:24" s="18" customFormat="1" x14ac:dyDescent="0.3">
      <c r="B70" s="13"/>
      <c r="C70" s="13"/>
      <c r="D70" s="105"/>
      <c r="E70" s="106"/>
      <c r="F70" s="107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2:24" x14ac:dyDescent="0.3">
      <c r="B71" s="103"/>
      <c r="C71" s="103"/>
      <c r="D71" s="105"/>
      <c r="E71" s="106"/>
      <c r="F71" s="107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2:24" x14ac:dyDescent="0.3">
      <c r="B72" s="103"/>
      <c r="C72" s="103"/>
      <c r="D72" s="108"/>
      <c r="E72" s="106"/>
      <c r="F72" s="107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2:24" x14ac:dyDescent="0.3">
      <c r="B73" s="103"/>
      <c r="C73" s="103"/>
      <c r="D73" s="108"/>
      <c r="E73" s="106"/>
      <c r="F73" s="107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2:24" x14ac:dyDescent="0.3">
      <c r="B74" s="103"/>
      <c r="C74" s="103"/>
      <c r="D74" s="108"/>
      <c r="E74" s="106"/>
      <c r="F74" s="107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2:24" x14ac:dyDescent="0.3">
      <c r="B75" s="103"/>
      <c r="C75" s="103"/>
      <c r="D75" s="105"/>
      <c r="E75" s="106"/>
      <c r="F75" s="107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2:24" x14ac:dyDescent="0.3">
      <c r="B76" s="103"/>
      <c r="C76" s="103"/>
      <c r="D76" s="105"/>
      <c r="E76" s="106"/>
      <c r="F76" s="107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2:24" x14ac:dyDescent="0.3">
      <c r="B77" s="103"/>
      <c r="C77" s="103"/>
      <c r="D77" s="108"/>
      <c r="E77" s="106"/>
      <c r="F77" s="107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2:24" x14ac:dyDescent="0.3">
      <c r="B78" s="103"/>
      <c r="C78" s="103"/>
      <c r="D78" s="108"/>
      <c r="E78" s="106"/>
      <c r="F78" s="107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2:24" x14ac:dyDescent="0.3">
      <c r="B79" s="103"/>
      <c r="C79" s="103"/>
      <c r="D79" s="105"/>
      <c r="E79" s="106"/>
      <c r="F79" s="107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2:24" x14ac:dyDescent="0.3">
      <c r="B80" s="103"/>
      <c r="C80" s="103"/>
      <c r="D80" s="108"/>
      <c r="E80" s="106"/>
      <c r="F80" s="107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2:22" x14ac:dyDescent="0.3">
      <c r="B81" s="103"/>
      <c r="C81" s="103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</row>
    <row r="82" spans="2:22" x14ac:dyDescent="0.3">
      <c r="B82" s="103"/>
      <c r="C82" s="103"/>
      <c r="D82" s="105"/>
      <c r="E82" s="106"/>
      <c r="F82" s="107"/>
      <c r="G82" s="13"/>
      <c r="H82" s="13"/>
      <c r="I82" s="13"/>
      <c r="J82" s="13"/>
      <c r="K82" s="109"/>
      <c r="L82" s="13"/>
      <c r="M82" s="13"/>
      <c r="N82" s="13"/>
      <c r="O82" s="13"/>
      <c r="P82" s="13"/>
      <c r="Q82" s="13"/>
      <c r="R82" s="109"/>
      <c r="S82" s="109"/>
      <c r="T82" s="109"/>
      <c r="U82" s="109"/>
      <c r="V82" s="109"/>
    </row>
    <row r="83" spans="2:22" x14ac:dyDescent="0.3">
      <c r="B83" s="103"/>
      <c r="C83" s="103"/>
      <c r="D83" s="105"/>
      <c r="E83" s="106"/>
      <c r="F83" s="107"/>
      <c r="G83" s="13"/>
      <c r="H83" s="13"/>
      <c r="I83" s="13"/>
      <c r="J83" s="13"/>
      <c r="K83" s="109"/>
      <c r="L83" s="13"/>
      <c r="M83" s="13"/>
      <c r="N83" s="13"/>
      <c r="O83" s="13"/>
      <c r="P83" s="13"/>
      <c r="Q83" s="13"/>
      <c r="R83" s="109"/>
      <c r="S83" s="109"/>
      <c r="T83" s="109"/>
      <c r="U83" s="109"/>
      <c r="V83" s="109"/>
    </row>
    <row r="84" spans="2:22" x14ac:dyDescent="0.3">
      <c r="B84" s="103"/>
      <c r="C84" s="103"/>
      <c r="D84" s="108"/>
      <c r="E84" s="106"/>
      <c r="F84" s="107"/>
      <c r="G84" s="13"/>
      <c r="H84" s="13"/>
      <c r="I84" s="13"/>
      <c r="J84" s="13"/>
      <c r="K84" s="109"/>
      <c r="L84" s="13"/>
      <c r="M84" s="13"/>
      <c r="N84" s="13"/>
      <c r="O84" s="13"/>
      <c r="P84" s="13"/>
      <c r="Q84" s="13"/>
      <c r="R84" s="109"/>
      <c r="S84" s="109"/>
      <c r="T84" s="109"/>
      <c r="U84" s="109"/>
      <c r="V84" s="109"/>
    </row>
    <row r="85" spans="2:22" x14ac:dyDescent="0.3">
      <c r="B85" s="103"/>
      <c r="C85" s="103"/>
      <c r="D85" s="108"/>
      <c r="E85" s="106"/>
      <c r="F85" s="107"/>
      <c r="G85" s="13"/>
      <c r="H85" s="13"/>
      <c r="I85" s="13"/>
      <c r="J85" s="13"/>
      <c r="K85" s="109"/>
      <c r="L85" s="13"/>
      <c r="M85" s="13"/>
      <c r="N85" s="13"/>
      <c r="O85" s="13"/>
      <c r="P85" s="13"/>
      <c r="Q85" s="13"/>
      <c r="R85" s="109"/>
      <c r="S85" s="109"/>
      <c r="T85" s="109"/>
      <c r="U85" s="109"/>
      <c r="V85" s="109"/>
    </row>
    <row r="86" spans="2:22" x14ac:dyDescent="0.3">
      <c r="B86" s="103"/>
      <c r="C86" s="103"/>
      <c r="D86" s="108"/>
      <c r="E86" s="106"/>
      <c r="F86" s="107"/>
      <c r="G86" s="13"/>
      <c r="H86" s="13"/>
      <c r="I86" s="13"/>
      <c r="J86" s="13"/>
      <c r="K86" s="109"/>
      <c r="L86" s="13"/>
      <c r="M86" s="13"/>
      <c r="N86" s="13"/>
      <c r="O86" s="13"/>
      <c r="P86" s="13"/>
      <c r="Q86" s="13"/>
      <c r="R86" s="109"/>
      <c r="S86" s="109"/>
      <c r="T86" s="109"/>
      <c r="U86" s="109"/>
      <c r="V86" s="109"/>
    </row>
    <row r="87" spans="2:22" x14ac:dyDescent="0.3">
      <c r="B87" s="103"/>
      <c r="C87" s="103"/>
      <c r="D87" s="105"/>
      <c r="E87" s="106"/>
      <c r="F87" s="107"/>
      <c r="G87" s="13"/>
      <c r="H87" s="13"/>
      <c r="I87" s="13"/>
      <c r="J87" s="13"/>
      <c r="K87" s="109"/>
      <c r="L87" s="13"/>
      <c r="M87" s="13"/>
      <c r="N87" s="13"/>
      <c r="O87" s="13"/>
      <c r="P87" s="13"/>
      <c r="Q87" s="13"/>
      <c r="R87" s="109"/>
      <c r="S87" s="109"/>
      <c r="T87" s="109"/>
      <c r="U87" s="109"/>
      <c r="V87" s="109"/>
    </row>
    <row r="88" spans="2:22" x14ac:dyDescent="0.3">
      <c r="B88" s="103"/>
      <c r="C88" s="103"/>
      <c r="D88" s="105"/>
      <c r="E88" s="106"/>
      <c r="F88" s="107"/>
      <c r="G88" s="13"/>
      <c r="H88" s="13"/>
      <c r="I88" s="13"/>
      <c r="J88" s="13"/>
      <c r="K88" s="109"/>
      <c r="L88" s="13"/>
      <c r="M88" s="13"/>
      <c r="N88" s="13"/>
      <c r="O88" s="13"/>
      <c r="P88" s="13"/>
      <c r="Q88" s="13"/>
      <c r="R88" s="109"/>
      <c r="S88" s="109"/>
      <c r="T88" s="109"/>
      <c r="U88" s="109"/>
      <c r="V88" s="109"/>
    </row>
    <row r="89" spans="2:22" x14ac:dyDescent="0.3">
      <c r="B89" s="103"/>
      <c r="C89" s="103"/>
      <c r="D89" s="108"/>
      <c r="E89" s="106"/>
      <c r="F89" s="107"/>
      <c r="G89" s="13"/>
      <c r="H89" s="13"/>
      <c r="I89" s="13"/>
      <c r="J89" s="13"/>
      <c r="K89" s="109"/>
      <c r="L89" s="13"/>
      <c r="M89" s="13"/>
      <c r="N89" s="13"/>
      <c r="O89" s="13"/>
      <c r="P89" s="13"/>
      <c r="Q89" s="13"/>
      <c r="R89" s="109"/>
      <c r="S89" s="109"/>
      <c r="T89" s="109"/>
      <c r="U89" s="109"/>
      <c r="V89" s="109"/>
    </row>
    <row r="90" spans="2:22" x14ac:dyDescent="0.3">
      <c r="B90" s="103"/>
      <c r="C90" s="103"/>
      <c r="D90" s="108"/>
      <c r="E90" s="106"/>
      <c r="F90" s="107"/>
      <c r="G90" s="13"/>
      <c r="H90" s="13"/>
      <c r="I90" s="13"/>
      <c r="J90" s="13"/>
      <c r="K90" s="109"/>
      <c r="L90" s="13"/>
      <c r="M90" s="13"/>
      <c r="N90" s="13"/>
      <c r="O90" s="13"/>
      <c r="P90" s="13"/>
      <c r="Q90" s="13"/>
      <c r="R90" s="109"/>
      <c r="S90" s="109"/>
      <c r="T90" s="109"/>
      <c r="U90" s="109"/>
      <c r="V90" s="109"/>
    </row>
    <row r="91" spans="2:22" x14ac:dyDescent="0.3">
      <c r="B91" s="103"/>
      <c r="C91" s="103"/>
      <c r="D91" s="105"/>
      <c r="E91" s="106"/>
      <c r="F91" s="107"/>
      <c r="G91" s="13"/>
      <c r="H91" s="13"/>
      <c r="I91" s="13"/>
      <c r="J91" s="13"/>
      <c r="K91" s="109"/>
      <c r="L91" s="13"/>
      <c r="M91" s="13"/>
      <c r="N91" s="13"/>
      <c r="O91" s="13"/>
      <c r="P91" s="13"/>
      <c r="Q91" s="13"/>
      <c r="R91" s="109"/>
      <c r="S91" s="109"/>
      <c r="T91" s="109"/>
      <c r="U91" s="109"/>
      <c r="V91" s="109"/>
    </row>
    <row r="92" spans="2:22" x14ac:dyDescent="0.3">
      <c r="B92" s="103"/>
      <c r="C92" s="103"/>
      <c r="D92" s="108"/>
      <c r="E92" s="106"/>
      <c r="F92" s="107"/>
      <c r="G92" s="13"/>
      <c r="H92" s="13"/>
      <c r="I92" s="13"/>
      <c r="J92" s="13"/>
      <c r="K92" s="109"/>
      <c r="L92" s="13"/>
      <c r="M92" s="13"/>
      <c r="N92" s="13"/>
      <c r="O92" s="13"/>
      <c r="P92" s="13"/>
      <c r="Q92" s="13"/>
      <c r="R92" s="109"/>
      <c r="S92" s="109"/>
      <c r="T92" s="109"/>
      <c r="U92" s="109"/>
      <c r="V92" s="109"/>
    </row>
    <row r="93" spans="2:22" x14ac:dyDescent="0.3">
      <c r="B93" s="103"/>
      <c r="C93" s="10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2:22" x14ac:dyDescent="0.3">
      <c r="B94" s="103"/>
      <c r="C94" s="10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2:22" x14ac:dyDescent="0.3">
      <c r="B95" s="103"/>
      <c r="C95" s="10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</sheetData>
  <mergeCells count="16">
    <mergeCell ref="E55:E61"/>
    <mergeCell ref="F55:F61"/>
    <mergeCell ref="E63:E67"/>
    <mergeCell ref="F63:F67"/>
    <mergeCell ref="H4:V4"/>
    <mergeCell ref="D21:D23"/>
    <mergeCell ref="E22:E23"/>
    <mergeCell ref="E24:E27"/>
    <mergeCell ref="F24:F27"/>
    <mergeCell ref="E39:E52"/>
    <mergeCell ref="F39:F53"/>
    <mergeCell ref="D1:H1"/>
    <mergeCell ref="E12:E17"/>
    <mergeCell ref="F12:F17"/>
    <mergeCell ref="D18:D20"/>
    <mergeCell ref="E19:E20"/>
  </mergeCells>
  <phoneticPr fontId="29" type="noConversion"/>
  <printOptions horizontalCentered="1"/>
  <pageMargins left="0.24" right="0.17" top="0.52" bottom="0.38" header="0.31496062992126" footer="0.16"/>
  <pageSetup paperSize="9" scale="63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91B2-32B8-4CE7-963E-DCD4FAFE3249}">
  <sheetPr codeName="Sheet12">
    <tabColor rgb="FFFF0000"/>
    <pageSetUpPr fitToPage="1"/>
  </sheetPr>
  <dimension ref="B1:Z128"/>
  <sheetViews>
    <sheetView showGridLines="0" zoomScale="54" zoomScaleNormal="10" zoomScaleSheetLayoutView="100" workbookViewId="0">
      <pane xSplit="4" ySplit="8" topLeftCell="E46" activePane="bottomRight" state="frozen"/>
      <selection activeCell="C183" sqref="C183"/>
      <selection pane="topRight" activeCell="C183" sqref="C183"/>
      <selection pane="bottomLeft" activeCell="C183" sqref="C183"/>
      <selection pane="bottomRight" activeCell="I6" sqref="I6"/>
    </sheetView>
  </sheetViews>
  <sheetFormatPr defaultColWidth="9.140625" defaultRowHeight="17.25" x14ac:dyDescent="0.3"/>
  <cols>
    <col min="1" max="2" width="9.140625" style="7"/>
    <col min="3" max="3" width="1" style="7" customWidth="1"/>
    <col min="4" max="4" width="31.140625" style="18" customWidth="1"/>
    <col min="5" max="5" width="31.85546875" style="18" bestFit="1" customWidth="1"/>
    <col min="6" max="6" width="14.42578125" style="18" customWidth="1"/>
    <col min="7" max="23" width="22.85546875" style="18" customWidth="1"/>
    <col min="24" max="24" width="22.85546875" style="7" customWidth="1"/>
    <col min="25" max="25" width="21.5703125" style="933" customWidth="1"/>
    <col min="26" max="26" width="21.5703125" style="18" customWidth="1"/>
    <col min="27" max="16384" width="9.140625" style="7"/>
  </cols>
  <sheetData>
    <row r="1" spans="4:26" ht="26.25" customHeight="1" x14ac:dyDescent="0.35">
      <c r="D1" s="1559" t="s">
        <v>5</v>
      </c>
      <c r="E1" s="1559"/>
      <c r="F1" s="1559"/>
      <c r="G1" s="1559"/>
      <c r="H1" s="1559"/>
      <c r="I1" s="1559"/>
      <c r="J1" s="1559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4:26" ht="30.75" customHeight="1" x14ac:dyDescent="0.3">
      <c r="D2" s="8" t="s">
        <v>6</v>
      </c>
      <c r="E2" s="9" t="s">
        <v>355</v>
      </c>
      <c r="F2" s="10"/>
      <c r="G2" s="10"/>
      <c r="H2" s="12"/>
      <c r="I2" s="12"/>
      <c r="J2" s="11"/>
      <c r="K2" s="11"/>
      <c r="L2" s="7"/>
      <c r="M2" s="7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4:26" ht="26.25" customHeight="1" x14ac:dyDescent="0.3">
      <c r="D3" s="8" t="s">
        <v>8</v>
      </c>
      <c r="E3" s="14" t="s">
        <v>435</v>
      </c>
      <c r="F3" s="15"/>
      <c r="G3" s="15"/>
      <c r="H3" s="12"/>
      <c r="I3" s="12"/>
      <c r="J3" s="11"/>
      <c r="K3" s="11"/>
      <c r="L3" s="7"/>
      <c r="M3" s="7"/>
      <c r="N3" s="1511"/>
      <c r="O3" s="1511"/>
      <c r="P3" s="1511"/>
      <c r="Q3" s="1511"/>
      <c r="R3" s="1511"/>
      <c r="S3" s="1511"/>
      <c r="T3" s="1511"/>
      <c r="U3" s="1511"/>
      <c r="V3" s="1511"/>
      <c r="W3" s="1511"/>
      <c r="X3" s="1511"/>
      <c r="Y3" s="945"/>
    </row>
    <row r="4" spans="4:26" ht="28.5" customHeight="1" x14ac:dyDescent="0.3">
      <c r="D4" s="8" t="s">
        <v>9</v>
      </c>
      <c r="E4" s="16" t="s">
        <v>10</v>
      </c>
      <c r="F4" s="15"/>
      <c r="G4" s="15"/>
      <c r="H4" s="12"/>
      <c r="I4" s="12"/>
      <c r="J4" s="1561" t="s">
        <v>162</v>
      </c>
      <c r="K4" s="1561"/>
      <c r="L4" s="1561"/>
      <c r="M4" s="1561"/>
      <c r="N4" s="1510" t="s">
        <v>149</v>
      </c>
      <c r="O4" s="1510"/>
      <c r="P4" s="1510"/>
      <c r="Q4" s="1510"/>
      <c r="R4" s="1510"/>
      <c r="S4" s="1510"/>
      <c r="T4" s="1510"/>
      <c r="U4" s="1510"/>
      <c r="V4" s="1510"/>
      <c r="W4" s="1510"/>
      <c r="X4" s="1510"/>
      <c r="Y4" s="946"/>
    </row>
    <row r="5" spans="4:26" ht="28.5" customHeight="1" x14ac:dyDescent="0.3">
      <c r="D5" s="8" t="s">
        <v>430</v>
      </c>
      <c r="E5" s="11"/>
      <c r="F5" s="12"/>
      <c r="G5" s="12"/>
      <c r="H5" s="12"/>
      <c r="I5" s="12"/>
      <c r="J5" s="187" t="s">
        <v>94</v>
      </c>
      <c r="K5" s="185"/>
      <c r="L5" s="185"/>
      <c r="M5" s="185"/>
      <c r="N5" s="188" t="s">
        <v>358</v>
      </c>
      <c r="O5" s="186"/>
      <c r="P5" s="186"/>
      <c r="Q5" s="186"/>
      <c r="R5" s="186"/>
      <c r="S5" s="186"/>
      <c r="T5" s="188" t="s">
        <v>359</v>
      </c>
      <c r="U5" s="186"/>
      <c r="V5" s="186"/>
      <c r="W5" s="186"/>
      <c r="X5" s="186"/>
    </row>
    <row r="6" spans="4:26" ht="21.6" customHeight="1" x14ac:dyDescent="0.3">
      <c r="D6" s="17"/>
      <c r="G6" s="18">
        <v>9.782</v>
      </c>
      <c r="I6" s="18" t="s">
        <v>357</v>
      </c>
      <c r="J6" s="1082">
        <v>1</v>
      </c>
      <c r="K6" s="213">
        <v>2</v>
      </c>
      <c r="L6" s="213">
        <v>3</v>
      </c>
      <c r="M6" s="213">
        <v>4</v>
      </c>
      <c r="N6" s="191">
        <v>5</v>
      </c>
      <c r="O6" s="192">
        <v>6</v>
      </c>
      <c r="P6" s="192">
        <v>7</v>
      </c>
      <c r="Q6" s="213">
        <v>8</v>
      </c>
      <c r="R6" s="213">
        <v>9</v>
      </c>
      <c r="S6" s="192">
        <v>10</v>
      </c>
      <c r="T6" s="191">
        <v>11</v>
      </c>
      <c r="U6" s="192">
        <v>12</v>
      </c>
      <c r="V6" s="192">
        <v>13</v>
      </c>
      <c r="W6" s="192">
        <v>14</v>
      </c>
      <c r="X6" s="192">
        <v>15</v>
      </c>
      <c r="Y6" s="213" t="s">
        <v>591</v>
      </c>
      <c r="Z6" s="213" t="s">
        <v>592</v>
      </c>
    </row>
    <row r="7" spans="4:26" ht="17.100000000000001" customHeight="1" thickBot="1" x14ac:dyDescent="0.35">
      <c r="D7" s="17"/>
      <c r="I7" s="18" t="s">
        <v>356</v>
      </c>
      <c r="J7" s="621">
        <v>45856</v>
      </c>
      <c r="K7" s="12"/>
      <c r="L7" s="12"/>
      <c r="M7" s="12"/>
      <c r="N7" s="184"/>
      <c r="O7" s="12"/>
      <c r="P7" s="12"/>
      <c r="Q7" s="12"/>
      <c r="R7" s="12"/>
      <c r="S7" s="12"/>
      <c r="T7" s="184"/>
      <c r="U7" s="12"/>
      <c r="V7" s="12"/>
      <c r="W7" s="12"/>
      <c r="X7" s="12"/>
      <c r="Y7" s="933" t="s">
        <v>593</v>
      </c>
      <c r="Z7" s="18" t="s">
        <v>590</v>
      </c>
    </row>
    <row r="8" spans="4:26" ht="18" thickBot="1" x14ac:dyDescent="0.35">
      <c r="D8" s="19" t="s">
        <v>11</v>
      </c>
      <c r="E8" s="20" t="s">
        <v>12</v>
      </c>
      <c r="F8" s="21" t="s">
        <v>13</v>
      </c>
      <c r="G8" s="22" t="s">
        <v>363</v>
      </c>
      <c r="H8" s="22" t="s">
        <v>362</v>
      </c>
      <c r="I8" s="22" t="s">
        <v>398</v>
      </c>
      <c r="J8" s="22" t="s">
        <v>15</v>
      </c>
      <c r="K8" s="110" t="s">
        <v>15</v>
      </c>
      <c r="L8" s="110" t="s">
        <v>15</v>
      </c>
      <c r="M8" s="111" t="s">
        <v>15</v>
      </c>
      <c r="N8" s="111" t="s">
        <v>15</v>
      </c>
      <c r="O8" s="111" t="s">
        <v>15</v>
      </c>
      <c r="P8" s="111" t="s">
        <v>15</v>
      </c>
      <c r="Q8" s="111" t="s">
        <v>15</v>
      </c>
      <c r="R8" s="111" t="s">
        <v>15</v>
      </c>
      <c r="S8" s="111" t="s">
        <v>15</v>
      </c>
      <c r="T8" s="111" t="s">
        <v>15</v>
      </c>
      <c r="U8" s="111" t="s">
        <v>15</v>
      </c>
      <c r="V8" s="111" t="s">
        <v>15</v>
      </c>
      <c r="W8" s="111" t="s">
        <v>15</v>
      </c>
      <c r="X8" s="111" t="s">
        <v>15</v>
      </c>
      <c r="Y8" s="111" t="s">
        <v>15</v>
      </c>
      <c r="Z8" s="111" t="s">
        <v>15</v>
      </c>
    </row>
    <row r="9" spans="4:26" ht="19.5" customHeight="1" x14ac:dyDescent="0.3">
      <c r="D9" s="23" t="s">
        <v>16</v>
      </c>
      <c r="E9" s="24" t="s">
        <v>17</v>
      </c>
      <c r="F9" s="25" t="s">
        <v>18</v>
      </c>
      <c r="G9" s="26">
        <v>100</v>
      </c>
      <c r="H9" s="26"/>
      <c r="I9" s="26"/>
      <c r="J9" s="27"/>
      <c r="K9" s="28"/>
      <c r="L9" s="28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193"/>
      <c r="Y9" s="947"/>
      <c r="Z9" s="172"/>
    </row>
    <row r="10" spans="4:26" ht="19.5" customHeight="1" x14ac:dyDescent="0.3">
      <c r="D10" s="30" t="s">
        <v>846</v>
      </c>
      <c r="E10" s="31" t="s">
        <v>17</v>
      </c>
      <c r="F10" s="32"/>
      <c r="G10" s="1277">
        <f>(141.5/(G11/0.9991))-131.5</f>
        <v>3.3589621291615117</v>
      </c>
      <c r="H10" s="1277">
        <f t="shared" ref="H10:I10" si="0">(141.5/(H11/0.9991))-131.5</f>
        <v>1.431499764927139</v>
      </c>
      <c r="I10" s="1277">
        <f t="shared" si="0"/>
        <v>1.8201150509241586</v>
      </c>
      <c r="J10" s="34">
        <v>11.8</v>
      </c>
      <c r="K10" s="35">
        <v>11.9</v>
      </c>
      <c r="L10" s="35">
        <v>11.91</v>
      </c>
      <c r="M10" s="36">
        <v>11.86</v>
      </c>
      <c r="N10" s="36">
        <v>17.899999999999999</v>
      </c>
      <c r="O10" s="36">
        <v>15.7</v>
      </c>
      <c r="P10" s="36">
        <v>14.6</v>
      </c>
      <c r="Q10" s="36">
        <v>14.98</v>
      </c>
      <c r="R10" s="36">
        <v>14.76</v>
      </c>
      <c r="S10" s="36">
        <v>14.4</v>
      </c>
      <c r="T10" s="36">
        <v>15.12</v>
      </c>
      <c r="U10" s="36">
        <v>15.88</v>
      </c>
      <c r="V10" s="36">
        <v>15.45</v>
      </c>
      <c r="W10" s="36">
        <v>16.07</v>
      </c>
      <c r="X10" s="194">
        <v>15.69</v>
      </c>
      <c r="Y10" s="934">
        <v>15.1</v>
      </c>
      <c r="Z10" s="39">
        <v>15.6</v>
      </c>
    </row>
    <row r="11" spans="4:26" ht="19.5" customHeight="1" x14ac:dyDescent="0.3">
      <c r="D11" s="37" t="s">
        <v>847</v>
      </c>
      <c r="E11" s="31" t="s">
        <v>22</v>
      </c>
      <c r="F11" s="32" t="s">
        <v>23</v>
      </c>
      <c r="G11" s="39">
        <v>1.0483</v>
      </c>
      <c r="H11" s="617">
        <v>1.0634999999999999</v>
      </c>
      <c r="I11" s="39">
        <v>1.0604</v>
      </c>
      <c r="J11" s="39">
        <v>0.98680000000000001</v>
      </c>
      <c r="K11" s="40">
        <v>0.98580000000000001</v>
      </c>
      <c r="L11" s="40">
        <v>0.98570000000000002</v>
      </c>
      <c r="M11" s="41">
        <v>0.98609999999999998</v>
      </c>
      <c r="N11" s="41">
        <v>0.94620000000000004</v>
      </c>
      <c r="O11" s="41">
        <v>0.96040000000000003</v>
      </c>
      <c r="P11" s="41">
        <v>0.9677</v>
      </c>
      <c r="Q11" s="41">
        <v>0.96509999999999996</v>
      </c>
      <c r="R11" s="41">
        <v>0.96650000000000003</v>
      </c>
      <c r="S11" s="41">
        <v>0.96889999999999998</v>
      </c>
      <c r="T11" s="41">
        <v>0.96409999999999996</v>
      </c>
      <c r="U11" s="148">
        <v>0.95920000000000005</v>
      </c>
      <c r="V11" s="41">
        <v>0.96199999999999997</v>
      </c>
      <c r="W11" s="41">
        <v>0.95789999999999997</v>
      </c>
      <c r="X11" s="32">
        <v>0.96040000000000003</v>
      </c>
      <c r="Y11" s="934">
        <v>0.96440000000000003</v>
      </c>
      <c r="Z11" s="39">
        <v>0.96120000000000005</v>
      </c>
    </row>
    <row r="12" spans="4:26" ht="19.5" customHeight="1" x14ac:dyDescent="0.3">
      <c r="D12" s="37" t="s">
        <v>24</v>
      </c>
      <c r="E12" s="31" t="s">
        <v>25</v>
      </c>
      <c r="F12" s="32" t="s">
        <v>17</v>
      </c>
      <c r="G12" s="39">
        <v>1.0489999999999999</v>
      </c>
      <c r="H12" s="617">
        <v>1.0649999999999999</v>
      </c>
      <c r="I12" s="39">
        <v>1.0609999999999999</v>
      </c>
      <c r="J12" s="38"/>
      <c r="K12" s="42"/>
      <c r="L12" s="42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195"/>
      <c r="Y12" s="948"/>
      <c r="Z12" s="38"/>
    </row>
    <row r="13" spans="4:26" ht="19.5" customHeight="1" x14ac:dyDescent="0.3">
      <c r="D13" s="44" t="s">
        <v>26</v>
      </c>
      <c r="E13" s="1563" t="s">
        <v>27</v>
      </c>
      <c r="F13" s="1549" t="s">
        <v>28</v>
      </c>
      <c r="G13" s="38"/>
      <c r="H13" s="38"/>
      <c r="I13" s="38"/>
      <c r="J13" s="38"/>
      <c r="K13" s="42"/>
      <c r="L13" s="42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195"/>
      <c r="Y13" s="947"/>
      <c r="Z13" s="172"/>
    </row>
    <row r="14" spans="4:26" ht="19.5" customHeight="1" x14ac:dyDescent="0.3">
      <c r="D14" s="44" t="s">
        <v>29</v>
      </c>
      <c r="E14" s="1541"/>
      <c r="F14" s="1550"/>
      <c r="G14" s="47"/>
      <c r="H14" s="47"/>
      <c r="I14" s="47"/>
      <c r="J14" s="47"/>
      <c r="K14" s="55"/>
      <c r="L14" s="55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196"/>
      <c r="Y14" s="947"/>
      <c r="Z14" s="172"/>
    </row>
    <row r="15" spans="4:26" ht="19.5" customHeight="1" x14ac:dyDescent="0.3">
      <c r="D15" s="44" t="s">
        <v>30</v>
      </c>
      <c r="E15" s="1541"/>
      <c r="F15" s="1550"/>
      <c r="G15" s="47"/>
      <c r="H15" s="47"/>
      <c r="I15" s="47"/>
      <c r="J15" s="47"/>
      <c r="K15" s="298"/>
      <c r="L15" s="298"/>
      <c r="M15" s="299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300"/>
      <c r="Y15" s="948"/>
      <c r="Z15" s="38"/>
    </row>
    <row r="16" spans="4:26" ht="19.5" customHeight="1" x14ac:dyDescent="0.3">
      <c r="D16" s="44" t="s">
        <v>31</v>
      </c>
      <c r="E16" s="1541"/>
      <c r="F16" s="1550"/>
      <c r="G16" s="47"/>
      <c r="H16" s="47"/>
      <c r="I16" s="47"/>
      <c r="J16" s="47"/>
      <c r="K16" s="55"/>
      <c r="L16" s="55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196"/>
      <c r="Y16" s="948"/>
      <c r="Z16" s="38"/>
    </row>
    <row r="17" spans="2:26" ht="19.5" customHeight="1" x14ac:dyDescent="0.3">
      <c r="D17" s="44" t="s">
        <v>431</v>
      </c>
      <c r="E17" s="1541"/>
      <c r="F17" s="1550"/>
      <c r="G17" s="48"/>
      <c r="H17" s="48"/>
      <c r="I17" s="48"/>
      <c r="J17" s="47"/>
      <c r="K17" s="55"/>
      <c r="L17" s="55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196"/>
      <c r="Y17" s="948"/>
      <c r="Z17" s="38"/>
    </row>
    <row r="18" spans="2:26" ht="19.5" customHeight="1" x14ac:dyDescent="0.3">
      <c r="D18" s="44" t="s">
        <v>32</v>
      </c>
      <c r="E18" s="1541"/>
      <c r="F18" s="1550"/>
      <c r="G18" s="48"/>
      <c r="H18" s="48"/>
      <c r="I18" s="48"/>
      <c r="J18" s="47"/>
      <c r="K18" s="55"/>
      <c r="L18" s="55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196"/>
      <c r="Y18" s="947"/>
      <c r="Z18" s="172"/>
    </row>
    <row r="19" spans="2:26" ht="19.5" customHeight="1" x14ac:dyDescent="0.3">
      <c r="D19" s="44" t="s">
        <v>33</v>
      </c>
      <c r="E19" s="1542"/>
      <c r="F19" s="1551"/>
      <c r="G19" s="57"/>
      <c r="H19" s="57"/>
      <c r="I19" s="1274"/>
      <c r="J19" s="47"/>
      <c r="K19" s="55"/>
      <c r="L19" s="55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196"/>
      <c r="Y19" s="947"/>
      <c r="Z19" s="172"/>
    </row>
    <row r="20" spans="2:26" ht="19.5" customHeight="1" x14ac:dyDescent="0.3">
      <c r="D20" s="1564" t="s">
        <v>34</v>
      </c>
      <c r="E20" s="58" t="s">
        <v>35</v>
      </c>
      <c r="F20" s="59" t="s">
        <v>36</v>
      </c>
      <c r="G20" s="48">
        <v>5.9859999999999998</v>
      </c>
      <c r="H20" s="616">
        <v>5.69</v>
      </c>
      <c r="I20" s="48">
        <v>5.2480000000000002</v>
      </c>
      <c r="J20" s="60">
        <v>2.34</v>
      </c>
      <c r="K20" s="62">
        <v>2.27</v>
      </c>
      <c r="L20" s="62">
        <v>2.3340000000000001</v>
      </c>
      <c r="M20" s="63">
        <v>2.3660000000000001</v>
      </c>
      <c r="N20" s="112">
        <v>1.01</v>
      </c>
      <c r="O20" s="112">
        <v>1.1919999999999999</v>
      </c>
      <c r="P20" s="112">
        <v>1.45</v>
      </c>
      <c r="Q20" s="112">
        <v>1.4119999999999999</v>
      </c>
      <c r="R20" s="112">
        <v>1.452</v>
      </c>
      <c r="S20" s="112">
        <v>1.5389999999999999</v>
      </c>
      <c r="T20" s="112">
        <v>1.4430000000000001</v>
      </c>
      <c r="U20" s="112">
        <v>1.24</v>
      </c>
      <c r="V20" s="112">
        <v>1.288</v>
      </c>
      <c r="W20" s="112">
        <v>1.2649999999999999</v>
      </c>
      <c r="X20" s="197">
        <v>1.302</v>
      </c>
      <c r="Y20" s="934">
        <v>1.363</v>
      </c>
      <c r="Z20" s="39">
        <v>1.3540000000000001</v>
      </c>
    </row>
    <row r="21" spans="2:26" ht="19.5" customHeight="1" x14ac:dyDescent="0.3">
      <c r="D21" s="1564"/>
      <c r="E21" s="1538" t="s">
        <v>37</v>
      </c>
      <c r="F21" s="59" t="s">
        <v>36</v>
      </c>
      <c r="G21" s="47"/>
      <c r="H21" s="47"/>
      <c r="I21" s="47"/>
      <c r="J21" s="47"/>
      <c r="K21" s="55"/>
      <c r="L21" s="55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196"/>
      <c r="Y21" s="947"/>
      <c r="Z21" s="172"/>
    </row>
    <row r="22" spans="2:26" ht="19.5" customHeight="1" x14ac:dyDescent="0.3">
      <c r="D22" s="1564"/>
      <c r="E22" s="1538"/>
      <c r="F22" s="59" t="s">
        <v>38</v>
      </c>
      <c r="G22" s="47"/>
      <c r="H22" s="47"/>
      <c r="I22" s="47"/>
      <c r="J22" s="47"/>
      <c r="K22" s="55"/>
      <c r="L22" s="55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196"/>
      <c r="Y22" s="947"/>
      <c r="Z22" s="172"/>
    </row>
    <row r="23" spans="2:26" ht="19.5" customHeight="1" x14ac:dyDescent="0.3">
      <c r="D23" s="1565" t="s">
        <v>39</v>
      </c>
      <c r="E23" s="64" t="s">
        <v>40</v>
      </c>
      <c r="F23" s="59" t="s">
        <v>38</v>
      </c>
      <c r="G23" s="65"/>
      <c r="H23" s="65"/>
      <c r="I23" s="65"/>
      <c r="J23" s="47"/>
      <c r="K23" s="55"/>
      <c r="L23" s="55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196"/>
      <c r="Y23" s="947"/>
      <c r="Z23" s="172"/>
    </row>
    <row r="24" spans="2:26" ht="19.5" customHeight="1" x14ac:dyDescent="0.3">
      <c r="D24" s="1566"/>
      <c r="E24" s="1563" t="s">
        <v>41</v>
      </c>
      <c r="F24" s="66" t="s">
        <v>38</v>
      </c>
      <c r="G24" s="67">
        <v>5601</v>
      </c>
      <c r="H24" s="67">
        <v>7378</v>
      </c>
      <c r="I24" s="67">
        <v>7863.48</v>
      </c>
      <c r="J24" s="68">
        <v>3786</v>
      </c>
      <c r="K24" s="70">
        <v>3837</v>
      </c>
      <c r="L24" s="70">
        <v>3540</v>
      </c>
      <c r="M24" s="71">
        <v>3816</v>
      </c>
      <c r="N24" s="71">
        <v>3079.62</v>
      </c>
      <c r="O24" s="71">
        <v>5151</v>
      </c>
      <c r="P24" s="71">
        <v>5473</v>
      </c>
      <c r="Q24" s="71">
        <v>5357.83</v>
      </c>
      <c r="R24" s="71">
        <v>5756.65</v>
      </c>
      <c r="S24" s="71">
        <v>5612.97</v>
      </c>
      <c r="T24" s="71">
        <v>5704.94</v>
      </c>
      <c r="U24" s="71">
        <v>6137</v>
      </c>
      <c r="V24" s="71">
        <v>6649</v>
      </c>
      <c r="W24" s="71">
        <v>6476.22</v>
      </c>
      <c r="X24" s="198">
        <v>6435.59</v>
      </c>
      <c r="Y24" s="934">
        <v>6506</v>
      </c>
      <c r="Z24" s="39">
        <v>6415</v>
      </c>
    </row>
    <row r="25" spans="2:26" ht="19.5" customHeight="1" x14ac:dyDescent="0.3">
      <c r="B25" s="72">
        <v>0.45190000000000002</v>
      </c>
      <c r="D25" s="1567"/>
      <c r="E25" s="1542"/>
      <c r="F25" s="66" t="s">
        <v>36</v>
      </c>
      <c r="G25" s="160">
        <f>G24/10000</f>
        <v>0.56010000000000004</v>
      </c>
      <c r="H25" s="160">
        <f>H24/10000</f>
        <v>0.73780000000000001</v>
      </c>
      <c r="I25" s="160">
        <f>I24/10000</f>
        <v>0.78634799999999994</v>
      </c>
      <c r="J25" s="74">
        <f t="shared" ref="J25:Y25" si="1">J24/10000</f>
        <v>0.37859999999999999</v>
      </c>
      <c r="K25" s="74">
        <f t="shared" si="1"/>
        <v>0.38369999999999999</v>
      </c>
      <c r="L25" s="74">
        <f t="shared" si="1"/>
        <v>0.35399999999999998</v>
      </c>
      <c r="M25" s="74">
        <f t="shared" si="1"/>
        <v>0.38159999999999999</v>
      </c>
      <c r="N25" s="74">
        <f t="shared" si="1"/>
        <v>0.30796200000000001</v>
      </c>
      <c r="O25" s="74">
        <f t="shared" si="1"/>
        <v>0.5151</v>
      </c>
      <c r="P25" s="74">
        <f t="shared" si="1"/>
        <v>0.54730000000000001</v>
      </c>
      <c r="Q25" s="74">
        <f t="shared" si="1"/>
        <v>0.53578300000000001</v>
      </c>
      <c r="R25" s="74">
        <f t="shared" si="1"/>
        <v>0.57566499999999998</v>
      </c>
      <c r="S25" s="74">
        <f t="shared" si="1"/>
        <v>0.56129700000000005</v>
      </c>
      <c r="T25" s="74">
        <f t="shared" si="1"/>
        <v>0.57049399999999995</v>
      </c>
      <c r="U25" s="74">
        <f t="shared" si="1"/>
        <v>0.61370000000000002</v>
      </c>
      <c r="V25" s="74">
        <f t="shared" si="1"/>
        <v>0.66490000000000005</v>
      </c>
      <c r="W25" s="74">
        <f t="shared" si="1"/>
        <v>0.64762200000000003</v>
      </c>
      <c r="X25" s="74">
        <f t="shared" si="1"/>
        <v>0.64355899999999999</v>
      </c>
      <c r="Y25" s="935">
        <f t="shared" si="1"/>
        <v>0.65059999999999996</v>
      </c>
      <c r="Z25" s="74">
        <f t="shared" ref="Z25" si="2">Z24/10000</f>
        <v>0.64149999999999996</v>
      </c>
    </row>
    <row r="26" spans="2:26" ht="19.5" customHeight="1" x14ac:dyDescent="0.3">
      <c r="D26" s="75" t="s">
        <v>42</v>
      </c>
      <c r="E26" s="1563" t="s">
        <v>43</v>
      </c>
      <c r="F26" s="1549" t="s">
        <v>36</v>
      </c>
      <c r="G26" s="47"/>
      <c r="H26" s="47"/>
      <c r="I26" s="47"/>
      <c r="J26" s="47"/>
      <c r="K26" s="55"/>
      <c r="L26" s="55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196"/>
      <c r="Y26" s="947"/>
      <c r="Z26" s="172"/>
    </row>
    <row r="27" spans="2:26" ht="19.5" customHeight="1" x14ac:dyDescent="0.3">
      <c r="B27" s="76"/>
      <c r="D27" s="44" t="s">
        <v>44</v>
      </c>
      <c r="E27" s="1541"/>
      <c r="F27" s="1550"/>
      <c r="G27" s="60">
        <v>84.31</v>
      </c>
      <c r="H27" s="60">
        <v>84.05</v>
      </c>
      <c r="I27" s="60">
        <v>84.66</v>
      </c>
      <c r="J27" s="77">
        <v>88.08</v>
      </c>
      <c r="K27" s="62">
        <v>87.96</v>
      </c>
      <c r="L27" s="62">
        <v>87.83</v>
      </c>
      <c r="M27" s="63">
        <v>87.56</v>
      </c>
      <c r="N27" s="63">
        <v>88.31</v>
      </c>
      <c r="O27" s="63">
        <v>88.14</v>
      </c>
      <c r="P27" s="63">
        <v>88.24</v>
      </c>
      <c r="Q27" s="63">
        <v>88.37</v>
      </c>
      <c r="R27" s="63">
        <v>88.46</v>
      </c>
      <c r="S27" s="63">
        <v>88.77</v>
      </c>
      <c r="T27" s="63">
        <v>88.86</v>
      </c>
      <c r="U27" s="63">
        <v>88.53</v>
      </c>
      <c r="V27" s="63">
        <v>88.67</v>
      </c>
      <c r="W27" s="63">
        <v>88.1</v>
      </c>
      <c r="X27" s="199">
        <v>88.52</v>
      </c>
      <c r="Y27" s="934">
        <v>88.35</v>
      </c>
      <c r="Z27" s="39">
        <v>88.33</v>
      </c>
    </row>
    <row r="28" spans="2:26" ht="19.5" customHeight="1" x14ac:dyDescent="0.3">
      <c r="B28" s="76"/>
      <c r="D28" s="44" t="s">
        <v>45</v>
      </c>
      <c r="E28" s="1541"/>
      <c r="F28" s="1550"/>
      <c r="G28" s="60">
        <v>9.782</v>
      </c>
      <c r="H28" s="60">
        <v>9.68</v>
      </c>
      <c r="I28" s="60">
        <v>9.7899999999999991</v>
      </c>
      <c r="J28" s="77">
        <v>11.2</v>
      </c>
      <c r="K28" s="62">
        <v>10.56</v>
      </c>
      <c r="L28" s="62">
        <v>10.98</v>
      </c>
      <c r="M28" s="63">
        <v>11.44</v>
      </c>
      <c r="N28" s="63">
        <v>11.57</v>
      </c>
      <c r="O28" s="63">
        <v>11.26</v>
      </c>
      <c r="P28" s="63">
        <v>11.51</v>
      </c>
      <c r="Q28" s="63">
        <v>11.43</v>
      </c>
      <c r="R28" s="63">
        <v>11.44</v>
      </c>
      <c r="S28" s="63">
        <v>11.32</v>
      </c>
      <c r="T28" s="63">
        <v>11.41</v>
      </c>
      <c r="U28" s="63">
        <v>11.55</v>
      </c>
      <c r="V28" s="63">
        <v>11.65</v>
      </c>
      <c r="W28" s="63">
        <v>11.73</v>
      </c>
      <c r="X28" s="199">
        <v>11.77</v>
      </c>
      <c r="Y28" s="934">
        <v>11.55</v>
      </c>
      <c r="Z28" s="39">
        <v>11.86</v>
      </c>
    </row>
    <row r="29" spans="2:26" ht="19.5" customHeight="1" x14ac:dyDescent="0.3">
      <c r="B29" s="76"/>
      <c r="D29" s="44" t="s">
        <v>46</v>
      </c>
      <c r="E29" s="1542"/>
      <c r="F29" s="1551"/>
      <c r="G29" s="60">
        <v>0.56699999999999995</v>
      </c>
      <c r="H29" s="60">
        <v>0.79</v>
      </c>
      <c r="I29" s="60">
        <v>2.5089999999999999</v>
      </c>
      <c r="J29" s="77">
        <v>0.44</v>
      </c>
      <c r="K29" s="62">
        <v>0.44419999999999998</v>
      </c>
      <c r="L29" s="62">
        <v>0.44556000000000001</v>
      </c>
      <c r="M29" s="63">
        <v>0.44</v>
      </c>
      <c r="N29" s="63">
        <v>0.48570000000000002</v>
      </c>
      <c r="O29" s="866">
        <v>1.0069999999999999</v>
      </c>
      <c r="P29" s="866">
        <v>0.52500000000000002</v>
      </c>
      <c r="Q29" s="866">
        <v>1.0449999999999999</v>
      </c>
      <c r="R29" s="866">
        <v>0.64729999999999999</v>
      </c>
      <c r="S29" s="866">
        <v>2.14</v>
      </c>
      <c r="T29" s="866">
        <v>2.1949999999999998</v>
      </c>
      <c r="U29" s="866">
        <v>2.31</v>
      </c>
      <c r="V29" s="866">
        <v>3.16</v>
      </c>
      <c r="W29" s="866">
        <v>3.266</v>
      </c>
      <c r="X29" s="870">
        <v>5.1470000000000002</v>
      </c>
      <c r="Y29" s="949">
        <v>4.8899999999999997</v>
      </c>
      <c r="Z29" s="954">
        <v>9.0299999999999994</v>
      </c>
    </row>
    <row r="30" spans="2:26" ht="19.5" customHeight="1" x14ac:dyDescent="0.3">
      <c r="B30" s="76"/>
      <c r="D30" s="78" t="s">
        <v>150</v>
      </c>
      <c r="E30" s="79"/>
      <c r="F30" s="80"/>
      <c r="G30" s="2">
        <f>(G$27+G$28+G$25+G$20)</f>
        <v>100.63810000000001</v>
      </c>
      <c r="H30" s="2">
        <f t="shared" ref="H30:Z30" si="3">(H$27+H$28+H$25+H$20)</f>
        <v>100.15779999999998</v>
      </c>
      <c r="I30" s="2">
        <f t="shared" si="3"/>
        <v>100.484348</v>
      </c>
      <c r="J30" s="2">
        <f t="shared" si="3"/>
        <v>101.99860000000001</v>
      </c>
      <c r="K30" s="2">
        <f t="shared" si="3"/>
        <v>101.1737</v>
      </c>
      <c r="L30" s="2">
        <f t="shared" si="3"/>
        <v>101.498</v>
      </c>
      <c r="M30" s="2">
        <f t="shared" si="3"/>
        <v>101.74760000000001</v>
      </c>
      <c r="N30" s="2">
        <f t="shared" si="3"/>
        <v>101.197962</v>
      </c>
      <c r="O30" s="2">
        <f t="shared" si="3"/>
        <v>101.1071</v>
      </c>
      <c r="P30" s="2">
        <f t="shared" si="3"/>
        <v>101.74730000000001</v>
      </c>
      <c r="Q30" s="2">
        <f t="shared" si="3"/>
        <v>101.74778300000001</v>
      </c>
      <c r="R30" s="2">
        <f t="shared" si="3"/>
        <v>101.92766499999999</v>
      </c>
      <c r="S30" s="2">
        <f t="shared" si="3"/>
        <v>102.190297</v>
      </c>
      <c r="T30" s="2">
        <f t="shared" si="3"/>
        <v>102.28349399999999</v>
      </c>
      <c r="U30" s="2">
        <f t="shared" si="3"/>
        <v>101.93369999999999</v>
      </c>
      <c r="V30" s="2">
        <f t="shared" si="3"/>
        <v>102.27290000000001</v>
      </c>
      <c r="W30" s="2">
        <f t="shared" si="3"/>
        <v>101.742622</v>
      </c>
      <c r="X30" s="2">
        <f t="shared" si="3"/>
        <v>102.23555899999999</v>
      </c>
      <c r="Y30" s="2">
        <f t="shared" si="3"/>
        <v>101.91359999999999</v>
      </c>
      <c r="Z30" s="2">
        <f t="shared" si="3"/>
        <v>102.18549999999999</v>
      </c>
    </row>
    <row r="31" spans="2:26" ht="19.5" customHeight="1" x14ac:dyDescent="0.3">
      <c r="D31" s="78" t="s">
        <v>151</v>
      </c>
      <c r="E31" s="79"/>
      <c r="F31" s="80"/>
      <c r="G31" s="2">
        <f>(100-G$33-G$34)/(1+(G$28/G$27))</f>
        <v>83.775428987629937</v>
      </c>
      <c r="H31" s="2">
        <f t="shared" ref="H31" si="4">(100-H$33-H$34)/(1+(H$28/H$27))</f>
        <v>83.91757806181846</v>
      </c>
      <c r="I31" s="2">
        <f>(100-I$33-I$34)/(1+(I$28/I$27))</f>
        <v>84.251927474316702</v>
      </c>
      <c r="J31" s="2">
        <f t="shared" ref="J31:Z31" si="5">(100-J$33-J$34)/(1+(J$28/J$27))</f>
        <v>86.35412642918628</v>
      </c>
      <c r="K31" s="2">
        <f t="shared" si="5"/>
        <v>86.939590031796797</v>
      </c>
      <c r="L31" s="2">
        <f t="shared" si="5"/>
        <v>86.533724802459176</v>
      </c>
      <c r="M31" s="2">
        <f t="shared" si="5"/>
        <v>86.056083878145543</v>
      </c>
      <c r="N31" s="2">
        <f t="shared" si="5"/>
        <v>87.264603214044968</v>
      </c>
      <c r="O31" s="2">
        <f t="shared" si="5"/>
        <v>87.174886827927992</v>
      </c>
      <c r="P31" s="2">
        <f t="shared" si="5"/>
        <v>86.724660015548309</v>
      </c>
      <c r="Q31" s="2">
        <f>(100-Q$33-Q$34)/(1+(Q$28/Q$27))</f>
        <v>86.852015242435314</v>
      </c>
      <c r="R31" s="2">
        <f t="shared" si="5"/>
        <v>86.787036669583287</v>
      </c>
      <c r="S31" s="2">
        <f t="shared" si="5"/>
        <v>86.867347102435758</v>
      </c>
      <c r="T31" s="2">
        <f t="shared" si="5"/>
        <v>86.876187471655996</v>
      </c>
      <c r="U31" s="2">
        <f t="shared" si="5"/>
        <v>86.850570517895449</v>
      </c>
      <c r="V31" s="2">
        <f t="shared" si="5"/>
        <v>86.699409129886803</v>
      </c>
      <c r="W31" s="2">
        <f t="shared" si="5"/>
        <v>86.591045392952438</v>
      </c>
      <c r="X31" s="2">
        <f t="shared" si="5"/>
        <v>86.584355644790861</v>
      </c>
      <c r="Y31" s="936">
        <f t="shared" si="5"/>
        <v>86.691079502637521</v>
      </c>
      <c r="Z31" s="2">
        <f t="shared" si="5"/>
        <v>86.440835539288855</v>
      </c>
    </row>
    <row r="32" spans="2:26" ht="19.5" customHeight="1" x14ac:dyDescent="0.3">
      <c r="D32" s="78" t="s">
        <v>152</v>
      </c>
      <c r="E32" s="79"/>
      <c r="F32" s="80" t="s">
        <v>36</v>
      </c>
      <c r="G32" s="2">
        <f>G$31*(G$28/G$27)</f>
        <v>9.7199768278614158</v>
      </c>
      <c r="H32" s="2">
        <f t="shared" ref="H32:Z32" si="6">H$31*(H$28/H$27)</f>
        <v>9.6647490260369153</v>
      </c>
      <c r="I32" s="2">
        <f t="shared" si="6"/>
        <v>9.7428108903090074</v>
      </c>
      <c r="J32" s="2">
        <f t="shared" si="6"/>
        <v>10.980542870196256</v>
      </c>
      <c r="K32" s="2">
        <f t="shared" si="6"/>
        <v>10.437495119779154</v>
      </c>
      <c r="L32" s="2">
        <f t="shared" si="6"/>
        <v>10.817947151668017</v>
      </c>
      <c r="M32" s="2">
        <f t="shared" si="6"/>
        <v>11.243508446390873</v>
      </c>
      <c r="N32" s="2">
        <f t="shared" si="6"/>
        <v>11.433036566487377</v>
      </c>
      <c r="O32" s="2">
        <f t="shared" si="6"/>
        <v>11.136705533043672</v>
      </c>
      <c r="P32" s="2">
        <f t="shared" si="6"/>
        <v>11.312339492055315</v>
      </c>
      <c r="Q32" s="2">
        <f t="shared" si="6"/>
        <v>11.233660000238039</v>
      </c>
      <c r="R32" s="2">
        <f t="shared" si="6"/>
        <v>11.22364570992576</v>
      </c>
      <c r="S32" s="2">
        <f t="shared" si="6"/>
        <v>11.077372639400391</v>
      </c>
      <c r="T32" s="2">
        <f t="shared" si="6"/>
        <v>11.155270077105502</v>
      </c>
      <c r="U32" s="2">
        <f t="shared" si="6"/>
        <v>11.330894493185276</v>
      </c>
      <c r="V32" s="2">
        <f t="shared" si="6"/>
        <v>11.391091872822614</v>
      </c>
      <c r="W32" s="2">
        <f t="shared" si="6"/>
        <v>11.529091514861888</v>
      </c>
      <c r="X32" s="2">
        <f t="shared" si="6"/>
        <v>11.512628399674519</v>
      </c>
      <c r="Y32" s="936">
        <f t="shared" si="6"/>
        <v>11.333129238884702</v>
      </c>
      <c r="Z32" s="2">
        <f t="shared" si="6"/>
        <v>11.606343365741717</v>
      </c>
    </row>
    <row r="33" spans="4:26" ht="19.5" customHeight="1" x14ac:dyDescent="0.3">
      <c r="D33" s="78" t="s">
        <v>153</v>
      </c>
      <c r="E33" s="79"/>
      <c r="F33" s="80"/>
      <c r="G33" s="2">
        <f>G$25*100/G$30</f>
        <v>0.55654866298151495</v>
      </c>
      <c r="H33" s="2">
        <f t="shared" ref="H33" si="7">H$25*100/H$30</f>
        <v>0.7366375858894666</v>
      </c>
      <c r="I33" s="2">
        <f t="shared" ref="I33:Z33" si="8">I$25*100/I$30</f>
        <v>0.78255769744358594</v>
      </c>
      <c r="J33" s="2">
        <f t="shared" si="8"/>
        <v>0.37118156523716989</v>
      </c>
      <c r="K33" s="2">
        <f t="shared" si="8"/>
        <v>0.37924875733515723</v>
      </c>
      <c r="L33" s="2">
        <f t="shared" si="8"/>
        <v>0.3487753453270015</v>
      </c>
      <c r="M33" s="2">
        <f t="shared" si="8"/>
        <v>0.37504570132366755</v>
      </c>
      <c r="N33" s="2">
        <f t="shared" si="8"/>
        <v>0.30431640510705149</v>
      </c>
      <c r="O33" s="2">
        <f t="shared" si="8"/>
        <v>0.50945977087662486</v>
      </c>
      <c r="P33" s="2">
        <f t="shared" si="8"/>
        <v>0.53790125143369893</v>
      </c>
      <c r="Q33" s="2">
        <f>Q$25*100/Q$30</f>
        <v>0.52657953245035316</v>
      </c>
      <c r="R33" s="2">
        <f t="shared" si="8"/>
        <v>0.56477797269269348</v>
      </c>
      <c r="S33" s="2">
        <f t="shared" si="8"/>
        <v>0.54926643377893314</v>
      </c>
      <c r="T33" s="2">
        <f t="shared" si="8"/>
        <v>0.55775763780615473</v>
      </c>
      <c r="U33" s="2">
        <f t="shared" si="8"/>
        <v>0.60205800436950696</v>
      </c>
      <c r="V33" s="2">
        <f t="shared" si="8"/>
        <v>0.65012334645834824</v>
      </c>
      <c r="W33" s="2">
        <f t="shared" si="8"/>
        <v>0.63652969352411626</v>
      </c>
      <c r="X33" s="2">
        <f t="shared" si="8"/>
        <v>0.62948645881615428</v>
      </c>
      <c r="Y33" s="936">
        <f t="shared" si="8"/>
        <v>0.63838388595830198</v>
      </c>
      <c r="Z33" s="2">
        <f t="shared" si="8"/>
        <v>0.62777987092102105</v>
      </c>
    </row>
    <row r="34" spans="4:26" ht="19.5" customHeight="1" x14ac:dyDescent="0.3">
      <c r="D34" s="78" t="s">
        <v>154</v>
      </c>
      <c r="E34" s="79"/>
      <c r="F34" s="80"/>
      <c r="G34" s="2">
        <f>G$20*100/G$30</f>
        <v>5.9480455215271348</v>
      </c>
      <c r="H34" s="2">
        <f t="shared" ref="H34:Z34" si="9">H$20*100/H$30</f>
        <v>5.68103532625517</v>
      </c>
      <c r="I34" s="2">
        <f t="shared" si="9"/>
        <v>5.2227039379307119</v>
      </c>
      <c r="J34" s="2">
        <f t="shared" si="9"/>
        <v>2.2941491353802892</v>
      </c>
      <c r="K34" s="2">
        <f t="shared" si="9"/>
        <v>2.2436660910888899</v>
      </c>
      <c r="L34" s="2">
        <f t="shared" si="9"/>
        <v>2.2995527005458234</v>
      </c>
      <c r="M34" s="2">
        <f t="shared" si="9"/>
        <v>2.3253619741399305</v>
      </c>
      <c r="N34" s="2">
        <f t="shared" si="9"/>
        <v>0.99804381436060929</v>
      </c>
      <c r="O34" s="2">
        <f t="shared" si="9"/>
        <v>1.1789478681516925</v>
      </c>
      <c r="P34" s="2">
        <f t="shared" si="9"/>
        <v>1.4250992409626593</v>
      </c>
      <c r="Q34" s="2">
        <f t="shared" si="9"/>
        <v>1.3877452248763</v>
      </c>
      <c r="R34" s="2">
        <f t="shared" si="9"/>
        <v>1.4245396477982695</v>
      </c>
      <c r="S34" s="2">
        <f t="shared" si="9"/>
        <v>1.5060138243849119</v>
      </c>
      <c r="T34" s="2">
        <f t="shared" si="9"/>
        <v>1.4107848134323611</v>
      </c>
      <c r="U34" s="2">
        <f t="shared" si="9"/>
        <v>1.2164769845497614</v>
      </c>
      <c r="V34" s="2">
        <f t="shared" si="9"/>
        <v>1.2593756508322342</v>
      </c>
      <c r="W34" s="2">
        <f t="shared" si="9"/>
        <v>1.2433333986615756</v>
      </c>
      <c r="X34" s="2">
        <f t="shared" si="9"/>
        <v>1.2735294967184561</v>
      </c>
      <c r="Y34" s="936">
        <f t="shared" si="9"/>
        <v>1.3374073725194677</v>
      </c>
      <c r="Z34" s="2">
        <f t="shared" si="9"/>
        <v>1.325041224048422</v>
      </c>
    </row>
    <row r="35" spans="4:26" ht="19.5" customHeight="1" x14ac:dyDescent="0.3">
      <c r="D35" s="78" t="s">
        <v>155</v>
      </c>
      <c r="E35" s="79"/>
      <c r="F35" s="80"/>
      <c r="G35" s="149">
        <f>G$32/G$31</f>
        <v>0.11602419641798124</v>
      </c>
      <c r="H35" s="149">
        <f t="shared" ref="H35:Z35" si="10">H$32/H$31</f>
        <v>0.11516954193932184</v>
      </c>
      <c r="I35" s="149">
        <f t="shared" si="10"/>
        <v>0.11563902669501536</v>
      </c>
      <c r="J35" s="149">
        <f t="shared" si="10"/>
        <v>0.12715712988192551</v>
      </c>
      <c r="K35" s="149">
        <f t="shared" si="10"/>
        <v>0.12005457025920875</v>
      </c>
      <c r="L35" s="149">
        <f t="shared" si="10"/>
        <v>0.12501423203916659</v>
      </c>
      <c r="M35" s="149">
        <f t="shared" si="10"/>
        <v>0.13065326633165827</v>
      </c>
      <c r="N35" s="149">
        <f t="shared" si="10"/>
        <v>0.13101574000679425</v>
      </c>
      <c r="O35" s="149">
        <f t="shared" si="10"/>
        <v>0.12775130474245519</v>
      </c>
      <c r="P35" s="149">
        <f t="shared" si="10"/>
        <v>0.13043970988213963</v>
      </c>
      <c r="Q35" s="149">
        <f t="shared" si="10"/>
        <v>0.12934253706008825</v>
      </c>
      <c r="R35" s="149">
        <f t="shared" si="10"/>
        <v>0.12932398824327379</v>
      </c>
      <c r="S35" s="149">
        <f t="shared" si="10"/>
        <v>0.12752055874732454</v>
      </c>
      <c r="T35" s="149">
        <f t="shared" si="10"/>
        <v>0.12840423137519694</v>
      </c>
      <c r="U35" s="149">
        <f t="shared" si="10"/>
        <v>0.1304642494069807</v>
      </c>
      <c r="V35" s="149">
        <f t="shared" si="10"/>
        <v>0.1313860381188677</v>
      </c>
      <c r="W35" s="149">
        <f t="shared" si="10"/>
        <v>0.13314415437003407</v>
      </c>
      <c r="X35" s="149">
        <f t="shared" si="10"/>
        <v>0.13296430185268865</v>
      </c>
      <c r="Y35" s="937">
        <f t="shared" si="10"/>
        <v>0.13073005093378609</v>
      </c>
      <c r="Z35" s="149">
        <f t="shared" si="10"/>
        <v>0.13426921770632855</v>
      </c>
    </row>
    <row r="36" spans="4:26" ht="19.5" hidden="1" customHeight="1" x14ac:dyDescent="0.3">
      <c r="D36" s="81" t="s">
        <v>106</v>
      </c>
      <c r="E36" s="45"/>
      <c r="F36" s="46"/>
      <c r="G36" s="82">
        <f>G27*100/G30</f>
        <v>83.775428987629923</v>
      </c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200"/>
      <c r="Y36" s="934"/>
      <c r="Z36" s="39"/>
    </row>
    <row r="37" spans="4:26" ht="19.5" hidden="1" customHeight="1" x14ac:dyDescent="0.3">
      <c r="D37" s="81" t="s">
        <v>107</v>
      </c>
      <c r="E37" s="45"/>
      <c r="F37" s="46"/>
      <c r="G37" s="82">
        <f>G28*100/G30</f>
        <v>9.7199768278614158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200"/>
      <c r="Y37" s="934"/>
      <c r="Z37" s="39"/>
    </row>
    <row r="38" spans="4:26" ht="19.5" hidden="1" customHeight="1" x14ac:dyDescent="0.3">
      <c r="D38" s="81" t="s">
        <v>156</v>
      </c>
      <c r="E38" s="45"/>
      <c r="F38" s="46"/>
      <c r="G38" s="82">
        <f>G29*100/G30</f>
        <v>0.56340491324856079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200"/>
      <c r="Y38" s="934"/>
      <c r="Z38" s="39"/>
    </row>
    <row r="39" spans="4:26" ht="19.5" hidden="1" customHeight="1" x14ac:dyDescent="0.3">
      <c r="D39" s="81" t="s">
        <v>157</v>
      </c>
      <c r="E39" s="45"/>
      <c r="F39" s="46"/>
      <c r="G39" s="82">
        <f>G20*100/G30</f>
        <v>5.9480455215271348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200"/>
      <c r="Y39" s="934"/>
      <c r="Z39" s="39"/>
    </row>
    <row r="40" spans="4:26" ht="19.5" hidden="1" customHeight="1" x14ac:dyDescent="0.3">
      <c r="D40" s="81" t="s">
        <v>108</v>
      </c>
      <c r="E40" s="45"/>
      <c r="F40" s="46"/>
      <c r="G40" s="82">
        <f>G37/G36</f>
        <v>0.11602419641798127</v>
      </c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200"/>
      <c r="Y40" s="934"/>
      <c r="Z40" s="39"/>
    </row>
    <row r="41" spans="4:26" ht="19.5" customHeight="1" x14ac:dyDescent="0.3">
      <c r="D41" s="75" t="s">
        <v>47</v>
      </c>
      <c r="E41" s="1546" t="s">
        <v>48</v>
      </c>
      <c r="F41" s="1549" t="s">
        <v>38</v>
      </c>
      <c r="G41" s="47"/>
      <c r="H41" s="47"/>
      <c r="I41" s="47"/>
      <c r="J41" s="47"/>
      <c r="K41" s="55"/>
      <c r="L41" s="55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196"/>
      <c r="Y41" s="947"/>
      <c r="Z41" s="172"/>
    </row>
    <row r="42" spans="4:26" ht="19.5" customHeight="1" x14ac:dyDescent="0.3">
      <c r="D42" s="44" t="s">
        <v>49</v>
      </c>
      <c r="E42" s="1547"/>
      <c r="F42" s="1550"/>
      <c r="G42" s="48">
        <v>57.54</v>
      </c>
      <c r="H42" s="48">
        <v>113.36</v>
      </c>
      <c r="I42" s="48">
        <v>171.3</v>
      </c>
      <c r="J42" s="60">
        <v>23.22</v>
      </c>
      <c r="K42" s="62">
        <v>21.56</v>
      </c>
      <c r="L42" s="62">
        <v>20.83</v>
      </c>
      <c r="M42" s="63">
        <v>20.440000000000001</v>
      </c>
      <c r="N42" s="63">
        <v>15.95</v>
      </c>
      <c r="O42" s="63">
        <v>19.940000000000001</v>
      </c>
      <c r="P42" s="63">
        <v>22.84</v>
      </c>
      <c r="Q42" s="63">
        <v>21.74</v>
      </c>
      <c r="R42" s="63">
        <v>25.13</v>
      </c>
      <c r="S42" s="63">
        <v>24.63</v>
      </c>
      <c r="T42" s="63">
        <v>24.52</v>
      </c>
      <c r="U42" s="63">
        <v>30.84</v>
      </c>
      <c r="V42" s="63">
        <v>41.32</v>
      </c>
      <c r="W42" s="63">
        <v>34.82</v>
      </c>
      <c r="X42" s="199">
        <v>47.78</v>
      </c>
      <c r="Y42" s="934">
        <v>42.98</v>
      </c>
      <c r="Z42" s="934">
        <v>48.83</v>
      </c>
    </row>
    <row r="43" spans="4:26" ht="19.5" customHeight="1" x14ac:dyDescent="0.3">
      <c r="D43" s="44" t="s">
        <v>50</v>
      </c>
      <c r="E43" s="1547"/>
      <c r="F43" s="1550"/>
      <c r="G43" s="48">
        <v>194.27</v>
      </c>
      <c r="H43" s="48">
        <v>285.95999999999998</v>
      </c>
      <c r="I43" s="48">
        <v>481.4</v>
      </c>
      <c r="J43" s="60">
        <v>37.799999999999997</v>
      </c>
      <c r="K43" s="62">
        <v>35.770000000000003</v>
      </c>
      <c r="L43" s="62">
        <v>36</v>
      </c>
      <c r="M43" s="63">
        <v>35.1</v>
      </c>
      <c r="N43" s="63">
        <v>12.19</v>
      </c>
      <c r="O43" s="63">
        <v>16.88</v>
      </c>
      <c r="P43" s="63">
        <v>21.84</v>
      </c>
      <c r="Q43" s="63">
        <v>19.579999999999998</v>
      </c>
      <c r="R43" s="63">
        <v>24.52</v>
      </c>
      <c r="S43" s="63">
        <v>25.21</v>
      </c>
      <c r="T43" s="63">
        <v>22.28</v>
      </c>
      <c r="U43" s="18">
        <v>31.92</v>
      </c>
      <c r="V43" s="63">
        <v>50.16</v>
      </c>
      <c r="W43" s="63">
        <v>36.43</v>
      </c>
      <c r="X43" s="199">
        <v>63.12</v>
      </c>
      <c r="Y43" s="934">
        <v>55.81</v>
      </c>
      <c r="Z43" s="934">
        <v>73.86</v>
      </c>
    </row>
    <row r="44" spans="4:26" ht="19.5" customHeight="1" x14ac:dyDescent="0.3">
      <c r="D44" s="44" t="s">
        <v>51</v>
      </c>
      <c r="E44" s="1547"/>
      <c r="F44" s="1550"/>
      <c r="G44" s="60">
        <v>25.11</v>
      </c>
      <c r="H44" s="60">
        <v>50.58</v>
      </c>
      <c r="I44" s="60">
        <v>45.9</v>
      </c>
      <c r="J44" s="60">
        <v>19.440000000000001</v>
      </c>
      <c r="K44" s="62">
        <v>16.399999999999999</v>
      </c>
      <c r="L44" s="62">
        <v>20.23</v>
      </c>
      <c r="M44" s="63">
        <v>22.15</v>
      </c>
      <c r="N44" s="63">
        <v>22.65</v>
      </c>
      <c r="O44" s="63">
        <v>5.87</v>
      </c>
      <c r="P44" s="63">
        <v>12.06</v>
      </c>
      <c r="Q44" s="63">
        <v>11.15</v>
      </c>
      <c r="R44" s="63">
        <v>15.22</v>
      </c>
      <c r="S44" s="63">
        <v>16.100000000000001</v>
      </c>
      <c r="T44" s="63">
        <v>21.25</v>
      </c>
      <c r="U44" s="63">
        <v>16.920000000000002</v>
      </c>
      <c r="V44" s="63">
        <v>17.38</v>
      </c>
      <c r="W44" s="63">
        <v>22.14</v>
      </c>
      <c r="X44" s="199">
        <v>14.15</v>
      </c>
      <c r="Y44" s="934">
        <v>35.68</v>
      </c>
      <c r="Z44" s="934">
        <v>25.16</v>
      </c>
    </row>
    <row r="45" spans="4:26" ht="19.5" customHeight="1" x14ac:dyDescent="0.3">
      <c r="D45" s="44" t="s">
        <v>52</v>
      </c>
      <c r="E45" s="1547"/>
      <c r="F45" s="1550"/>
      <c r="G45" s="60">
        <v>1.38</v>
      </c>
      <c r="H45" s="60">
        <v>24.93</v>
      </c>
      <c r="I45" s="60">
        <v>122.4</v>
      </c>
      <c r="J45" s="84">
        <v>3.88</v>
      </c>
      <c r="K45" s="62">
        <v>5.26</v>
      </c>
      <c r="L45" s="62">
        <v>3.28</v>
      </c>
      <c r="M45" s="63">
        <v>5.72</v>
      </c>
      <c r="N45" s="63">
        <v>7.08</v>
      </c>
      <c r="O45" s="63">
        <v>19.68</v>
      </c>
      <c r="P45" s="63">
        <v>1.1499999999999999</v>
      </c>
      <c r="Q45" s="63">
        <v>1.1200000000000001</v>
      </c>
      <c r="R45" s="63">
        <v>3.89</v>
      </c>
      <c r="S45" s="63">
        <v>2.41</v>
      </c>
      <c r="T45" s="63">
        <v>2.4300000000000002</v>
      </c>
      <c r="U45" s="63">
        <v>5.5</v>
      </c>
      <c r="V45" s="63">
        <v>10.75</v>
      </c>
      <c r="W45" s="63">
        <v>5.71</v>
      </c>
      <c r="X45" s="199">
        <v>16.510000000000002</v>
      </c>
      <c r="Y45" s="934">
        <v>18.75</v>
      </c>
      <c r="Z45" s="934">
        <v>24.09</v>
      </c>
    </row>
    <row r="46" spans="4:26" ht="19.5" customHeight="1" x14ac:dyDescent="0.3">
      <c r="D46" s="44" t="s">
        <v>53</v>
      </c>
      <c r="E46" s="1548"/>
      <c r="F46" s="1551"/>
      <c r="G46" s="60">
        <v>16.48</v>
      </c>
      <c r="H46" s="60">
        <v>82.57</v>
      </c>
      <c r="I46" s="60">
        <v>68.900000000000006</v>
      </c>
      <c r="J46" s="60">
        <v>13.76</v>
      </c>
      <c r="K46" s="62">
        <v>12.41</v>
      </c>
      <c r="L46" s="62">
        <v>10.57</v>
      </c>
      <c r="M46" s="63">
        <v>7.49</v>
      </c>
      <c r="N46" s="63">
        <v>26.69</v>
      </c>
      <c r="O46" s="63">
        <v>7.39</v>
      </c>
      <c r="P46" s="63">
        <v>3</v>
      </c>
      <c r="Q46" s="63">
        <v>2.46</v>
      </c>
      <c r="R46" s="63">
        <v>5.58</v>
      </c>
      <c r="S46" s="63">
        <v>2.93</v>
      </c>
      <c r="T46" s="63">
        <v>3.26</v>
      </c>
      <c r="U46" s="63">
        <v>7.29</v>
      </c>
      <c r="V46" s="63">
        <v>21.38</v>
      </c>
      <c r="W46" s="63">
        <v>3.41</v>
      </c>
      <c r="X46" s="199">
        <v>30.31</v>
      </c>
      <c r="Y46" s="934">
        <v>10.45</v>
      </c>
      <c r="Z46" s="934">
        <v>28.42</v>
      </c>
    </row>
    <row r="47" spans="4:26" ht="19.5" customHeight="1" x14ac:dyDescent="0.3">
      <c r="D47" s="113" t="s">
        <v>3</v>
      </c>
      <c r="E47" s="79"/>
      <c r="F47" s="80"/>
      <c r="G47" s="114" t="s">
        <v>17</v>
      </c>
      <c r="H47" s="114"/>
      <c r="I47" s="114"/>
      <c r="J47" s="115">
        <f>100-(J42*100/$G$42)</f>
        <v>59.645464025026065</v>
      </c>
      <c r="K47" s="115">
        <f t="shared" ref="K47:M47" si="11">100-(K42*100/$G$42)</f>
        <v>62.530413625304135</v>
      </c>
      <c r="L47" s="115">
        <f t="shared" si="11"/>
        <v>63.799096280848104</v>
      </c>
      <c r="M47" s="115">
        <f t="shared" si="11"/>
        <v>64.476885644768856</v>
      </c>
      <c r="N47" s="115">
        <f>100-(N42*100/$H$42)</f>
        <v>85.929781227946364</v>
      </c>
      <c r="O47" s="115">
        <f t="shared" ref="O47:S47" si="12">100-(O42*100/$H$42)</f>
        <v>82.410021171489063</v>
      </c>
      <c r="P47" s="115">
        <f t="shared" si="12"/>
        <v>79.851799576570215</v>
      </c>
      <c r="Q47" s="115">
        <f t="shared" si="12"/>
        <v>80.822159491884264</v>
      </c>
      <c r="R47" s="115">
        <f t="shared" si="12"/>
        <v>77.831686661961896</v>
      </c>
      <c r="S47" s="115">
        <f t="shared" si="12"/>
        <v>78.272759350740998</v>
      </c>
      <c r="T47" s="115">
        <f>100-(T42*100/$I$42)</f>
        <v>85.685931115002916</v>
      </c>
      <c r="U47" s="115">
        <f t="shared" ref="U47:Y47" si="13">100-(U42*100/$I$42)</f>
        <v>81.996497373029769</v>
      </c>
      <c r="V47" s="115">
        <f t="shared" si="13"/>
        <v>75.878575598365444</v>
      </c>
      <c r="W47" s="115">
        <f t="shared" si="13"/>
        <v>79.67308814944542</v>
      </c>
      <c r="X47" s="115">
        <f t="shared" si="13"/>
        <v>72.107413893753659</v>
      </c>
      <c r="Y47" s="938">
        <f t="shared" si="13"/>
        <v>74.909515469935783</v>
      </c>
      <c r="Z47" s="115">
        <f t="shared" ref="Z47" si="14">100-(Z42*100/$I$42)</f>
        <v>71.494454173963817</v>
      </c>
    </row>
    <row r="48" spans="4:26" ht="19.5" customHeight="1" x14ac:dyDescent="0.3">
      <c r="D48" s="113" t="s">
        <v>4</v>
      </c>
      <c r="E48" s="79" t="s">
        <v>163</v>
      </c>
      <c r="F48" s="80" t="s">
        <v>55</v>
      </c>
      <c r="G48" s="114" t="s">
        <v>17</v>
      </c>
      <c r="H48" s="114"/>
      <c r="I48" s="114"/>
      <c r="J48" s="115">
        <f>100-(J43*100/$G$43)</f>
        <v>80.542543882225772</v>
      </c>
      <c r="K48" s="115">
        <f t="shared" ref="K48:M48" si="15">100-(K43*100/$G$43)</f>
        <v>81.587481340402533</v>
      </c>
      <c r="L48" s="115">
        <f t="shared" si="15"/>
        <v>81.469089411643594</v>
      </c>
      <c r="M48" s="115">
        <f t="shared" si="15"/>
        <v>81.932362176352498</v>
      </c>
      <c r="N48" s="115">
        <f>100-(N43*100/$H$43)</f>
        <v>95.737166037207999</v>
      </c>
      <c r="O48" s="115">
        <f t="shared" ref="O48:S48" si="16">100-(O43*100/$H$43)</f>
        <v>94.097076514197795</v>
      </c>
      <c r="P48" s="115">
        <f t="shared" si="16"/>
        <v>92.362568191355436</v>
      </c>
      <c r="Q48" s="115">
        <f t="shared" si="16"/>
        <v>93.152888515876342</v>
      </c>
      <c r="R48" s="115">
        <f t="shared" si="16"/>
        <v>91.425374178206738</v>
      </c>
      <c r="S48" s="115">
        <f t="shared" si="16"/>
        <v>91.184081689746819</v>
      </c>
      <c r="T48" s="115">
        <f>100-(T43*100/$I$43)</f>
        <v>95.371832156211056</v>
      </c>
      <c r="U48" s="115">
        <f>100-(U44*100/$I$43)</f>
        <v>96.485251350228495</v>
      </c>
      <c r="V48" s="115">
        <f t="shared" ref="V48:Y48" si="17">100-(V43*100/$I$43)</f>
        <v>89.580390527627756</v>
      </c>
      <c r="W48" s="115">
        <f t="shared" si="17"/>
        <v>92.43248857498962</v>
      </c>
      <c r="X48" s="115">
        <f t="shared" si="17"/>
        <v>86.888242625675119</v>
      </c>
      <c r="Y48" s="938">
        <f t="shared" si="17"/>
        <v>88.406730369754882</v>
      </c>
      <c r="Z48" s="115">
        <f t="shared" ref="Z48" si="18">100-(Z43*100/$I$43)</f>
        <v>84.657249688408811</v>
      </c>
    </row>
    <row r="49" spans="4:26" ht="19.5" customHeight="1" x14ac:dyDescent="0.3">
      <c r="D49" s="113" t="s">
        <v>56</v>
      </c>
      <c r="E49" s="79"/>
      <c r="F49" s="80"/>
      <c r="G49" s="114" t="s">
        <v>17</v>
      </c>
      <c r="H49" s="114"/>
      <c r="I49" s="114"/>
      <c r="J49" s="115">
        <f>100-((J42+J43)*100/($G$42+$G$43))</f>
        <v>75.767443707557277</v>
      </c>
      <c r="K49" s="115">
        <f t="shared" ref="K49:L49" si="19">100-((K42+K43)*100/($G$42+$G$43))</f>
        <v>77.232834279814142</v>
      </c>
      <c r="L49" s="115">
        <f t="shared" si="19"/>
        <v>77.431396687979031</v>
      </c>
      <c r="M49" s="115">
        <f>100-((M42+M43)*100/($G$42+$G$43))</f>
        <v>77.943687701044439</v>
      </c>
      <c r="N49" s="115">
        <f>100-((N42+N43)*100/($H$42+$H$43))</f>
        <v>92.953020134228183</v>
      </c>
      <c r="O49" s="115">
        <f t="shared" ref="O49:R49" si="20">100-((O42+O43)*100/($H$42+$H$43))</f>
        <v>90.77932485224882</v>
      </c>
      <c r="P49" s="115">
        <f t="shared" si="20"/>
        <v>88.810978663728335</v>
      </c>
      <c r="Q49" s="115">
        <f t="shared" si="20"/>
        <v>89.652409095462289</v>
      </c>
      <c r="R49" s="115">
        <f t="shared" si="20"/>
        <v>87.566362816788541</v>
      </c>
      <c r="S49" s="115">
        <f>100-((S42+S43)*100/($H$42+$H$43))</f>
        <v>87.518781929279783</v>
      </c>
      <c r="T49" s="115">
        <f>100-((T42+T43)*100/($I$42+$I$43))</f>
        <v>92.829783974260764</v>
      </c>
      <c r="U49" s="115">
        <f>100-((U42+U44)*100/($I$42+$I$43))</f>
        <v>92.682702619886626</v>
      </c>
      <c r="V49" s="115">
        <f t="shared" ref="V49:Y49" si="21">100-((V42+V43)*100/($I$42+$I$43))</f>
        <v>85.98437260609775</v>
      </c>
      <c r="W49" s="115">
        <f t="shared" si="21"/>
        <v>89.083805730044432</v>
      </c>
      <c r="X49" s="115">
        <f t="shared" si="21"/>
        <v>83.009039374904248</v>
      </c>
      <c r="Y49" s="938">
        <f t="shared" si="21"/>
        <v>84.864409376436342</v>
      </c>
      <c r="Z49" s="115">
        <f t="shared" ref="Z49" si="22">100-((Z42+Z43)*100/($I$42+$I$43))</f>
        <v>81.202696491496852</v>
      </c>
    </row>
    <row r="50" spans="4:26" ht="19.5" customHeight="1" x14ac:dyDescent="0.3">
      <c r="D50" s="75" t="s">
        <v>57</v>
      </c>
      <c r="E50" s="1546" t="s">
        <v>58</v>
      </c>
      <c r="F50" s="1549" t="s">
        <v>59</v>
      </c>
      <c r="G50" s="47"/>
      <c r="H50" s="47"/>
      <c r="I50" s="47"/>
      <c r="J50" s="47"/>
      <c r="K50" s="55"/>
      <c r="L50" s="55"/>
      <c r="M50" s="56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201"/>
      <c r="Y50" s="947"/>
      <c r="Z50" s="172"/>
    </row>
    <row r="51" spans="4:26" ht="19.5" customHeight="1" x14ac:dyDescent="0.3">
      <c r="D51" s="83" t="s">
        <v>60</v>
      </c>
      <c r="E51" s="1552"/>
      <c r="F51" s="1550"/>
      <c r="G51" s="84">
        <v>281.3</v>
      </c>
      <c r="H51" s="618">
        <v>462.3</v>
      </c>
      <c r="I51" s="84">
        <f>'HPS LTO DAILY '!I10</f>
        <v>436.7</v>
      </c>
      <c r="J51" s="84">
        <f>'HPS LTO DAILY '!J10</f>
        <v>142.1</v>
      </c>
      <c r="K51" s="84">
        <f>'HPS LTO DAILY '!K10</f>
        <v>140.19999999999999</v>
      </c>
      <c r="L51" s="84">
        <f>'HPS LTO DAILY '!L10</f>
        <v>152.5</v>
      </c>
      <c r="M51" s="84">
        <f>'HPS LTO DAILY '!M10</f>
        <v>133.6</v>
      </c>
      <c r="N51" s="84">
        <f>'HPS LTO DAILY '!N10</f>
        <v>95.5</v>
      </c>
      <c r="O51" s="84">
        <f>'HPS LTO DAILY '!O10</f>
        <v>110.4</v>
      </c>
      <c r="P51" s="84">
        <v>106</v>
      </c>
      <c r="Q51" s="84">
        <f>'HPS LTO DAILY '!Q10</f>
        <v>96.3</v>
      </c>
      <c r="R51" s="84">
        <f>'HPS LTO DAILY '!R10</f>
        <v>123.5</v>
      </c>
      <c r="S51" s="84">
        <f>'HPS LTO DAILY '!S10</f>
        <v>111.7</v>
      </c>
      <c r="T51" s="84">
        <f>'HPS LTO DAILY '!T10</f>
        <v>68.7</v>
      </c>
      <c r="U51" s="84">
        <f>'HPS LTO DAILY '!U10</f>
        <v>107.7</v>
      </c>
      <c r="V51" s="84">
        <f>'HPS LTO DAILY '!V10</f>
        <v>121.9</v>
      </c>
      <c r="W51" s="84">
        <f>'HPS LTO DAILY '!W10</f>
        <v>77</v>
      </c>
      <c r="X51" s="84">
        <f>'HPS LTO DAILY '!X10</f>
        <v>114.7</v>
      </c>
      <c r="Y51" s="939">
        <f>'HPS LTO DAILY '!Y10</f>
        <v>116.5</v>
      </c>
      <c r="Z51" s="84">
        <f>'HPS LTO DAILY '!Z10</f>
        <v>116.6</v>
      </c>
    </row>
    <row r="52" spans="4:26" ht="19.5" customHeight="1" x14ac:dyDescent="0.3">
      <c r="D52" s="83">
        <v>5</v>
      </c>
      <c r="E52" s="1552"/>
      <c r="F52" s="1550"/>
      <c r="G52" s="84">
        <v>473.3</v>
      </c>
      <c r="H52" s="618">
        <v>565.70000000000005</v>
      </c>
      <c r="I52" s="84">
        <f>'HPS LTO DAILY '!I15</f>
        <v>553.1</v>
      </c>
      <c r="J52" s="84">
        <f>'HPS LTO DAILY '!J15</f>
        <v>291.2</v>
      </c>
      <c r="K52" s="84">
        <f>'HPS LTO DAILY '!K15</f>
        <v>305.60000000000002</v>
      </c>
      <c r="L52" s="84">
        <f>'HPS LTO DAILY '!L15</f>
        <v>299.2</v>
      </c>
      <c r="M52" s="84">
        <f>'HPS LTO DAILY '!M15</f>
        <v>300.89999999999998</v>
      </c>
      <c r="N52" s="84">
        <f>'HPS LTO DAILY '!N15</f>
        <v>203.2</v>
      </c>
      <c r="O52" s="84">
        <f>'HPS LTO DAILY '!O15</f>
        <v>211.2</v>
      </c>
      <c r="P52" s="84">
        <v>211.5</v>
      </c>
      <c r="Q52" s="84">
        <f>'HPS LTO DAILY '!Q15</f>
        <v>211.3</v>
      </c>
      <c r="R52" s="84">
        <f>'HPS LTO DAILY '!R15</f>
        <v>209.7</v>
      </c>
      <c r="S52" s="84">
        <f>'HPS LTO DAILY '!S15</f>
        <v>210.8</v>
      </c>
      <c r="T52" s="84">
        <f>'HPS LTO DAILY '!T15</f>
        <v>193.1</v>
      </c>
      <c r="U52" s="84">
        <f>'HPS LTO DAILY '!U15</f>
        <v>206</v>
      </c>
      <c r="V52" s="84">
        <f>'HPS LTO DAILY '!V15</f>
        <v>212.1</v>
      </c>
      <c r="W52" s="84">
        <f>'HPS LTO DAILY '!W15</f>
        <v>195.3</v>
      </c>
      <c r="X52" s="84">
        <f>'HPS LTO DAILY '!X15</f>
        <v>200.3</v>
      </c>
      <c r="Y52" s="939">
        <f>'HPS LTO DAILY '!Y15</f>
        <v>217.3</v>
      </c>
      <c r="Z52" s="84">
        <f>'HPS LTO DAILY '!Z15</f>
        <v>213.1</v>
      </c>
    </row>
    <row r="53" spans="4:26" ht="19.5" customHeight="1" x14ac:dyDescent="0.3">
      <c r="D53" s="83">
        <v>10</v>
      </c>
      <c r="E53" s="1552"/>
      <c r="F53" s="1550"/>
      <c r="G53" s="84">
        <v>550.79999999999995</v>
      </c>
      <c r="H53" s="618">
        <v>583.4</v>
      </c>
      <c r="I53" s="84">
        <f>'HPS LTO DAILY '!I20</f>
        <v>574.70000000000005</v>
      </c>
      <c r="J53" s="84">
        <f>'HPS LTO DAILY '!J20</f>
        <v>363.5</v>
      </c>
      <c r="K53" s="84">
        <f>'HPS LTO DAILY '!K20</f>
        <v>374.1</v>
      </c>
      <c r="L53" s="84">
        <f>'HPS LTO DAILY '!L20</f>
        <v>366.7</v>
      </c>
      <c r="M53" s="84">
        <f>'HPS LTO DAILY '!M20</f>
        <v>367.8</v>
      </c>
      <c r="N53" s="84">
        <f>'HPS LTO DAILY '!N20</f>
        <v>253.3</v>
      </c>
      <c r="O53" s="84">
        <f>'HPS LTO DAILY '!O20</f>
        <v>264</v>
      </c>
      <c r="P53" s="84">
        <v>262.60000000000002</v>
      </c>
      <c r="Q53" s="84">
        <f>'HPS LTO DAILY '!Q20</f>
        <v>261.89999999999998</v>
      </c>
      <c r="R53" s="84">
        <f>'HPS LTO DAILY '!R20</f>
        <v>258.39999999999998</v>
      </c>
      <c r="S53" s="84">
        <f>'HPS LTO DAILY '!S20</f>
        <v>267.8</v>
      </c>
      <c r="T53" s="84">
        <f>'HPS LTO DAILY '!T20</f>
        <v>245</v>
      </c>
      <c r="U53" s="84">
        <f>'HPS LTO DAILY '!U20</f>
        <v>258.10000000000002</v>
      </c>
      <c r="V53" s="84">
        <f>'HPS LTO DAILY '!V20</f>
        <v>257</v>
      </c>
      <c r="W53" s="84">
        <f>'HPS LTO DAILY '!W20</f>
        <v>242.2</v>
      </c>
      <c r="X53" s="84">
        <f>'HPS LTO DAILY '!X20</f>
        <v>244.6</v>
      </c>
      <c r="Y53" s="939">
        <f>'HPS LTO DAILY '!Y20</f>
        <v>268.8</v>
      </c>
      <c r="Z53" s="84">
        <f>'HPS LTO DAILY '!Z20</f>
        <v>266</v>
      </c>
    </row>
    <row r="54" spans="4:26" ht="19.5" customHeight="1" x14ac:dyDescent="0.3">
      <c r="D54" s="83">
        <v>15</v>
      </c>
      <c r="E54" s="1552"/>
      <c r="F54" s="1550"/>
      <c r="G54" s="84">
        <v>575.1</v>
      </c>
      <c r="H54" s="618">
        <v>583.4</v>
      </c>
      <c r="I54" s="84">
        <f>'HPS LTO DAILY '!I25</f>
        <v>591.6</v>
      </c>
      <c r="J54" s="84">
        <f>'HPS LTO DAILY '!J25</f>
        <v>413.2</v>
      </c>
      <c r="K54" s="84">
        <f>'HPS LTO DAILY '!K25</f>
        <v>424.4</v>
      </c>
      <c r="L54" s="84">
        <f>'HPS LTO DAILY '!L25</f>
        <v>415.7</v>
      </c>
      <c r="M54" s="84">
        <f>'HPS LTO DAILY '!M25</f>
        <v>417</v>
      </c>
      <c r="N54" s="84">
        <f>'HPS LTO DAILY '!N25</f>
        <v>294.10000000000002</v>
      </c>
      <c r="O54" s="84">
        <f>'HPS LTO DAILY '!O25</f>
        <v>306.89999999999998</v>
      </c>
      <c r="P54" s="84">
        <v>305</v>
      </c>
      <c r="Q54" s="84">
        <f>'HPS LTO DAILY '!Q25</f>
        <v>304.2</v>
      </c>
      <c r="R54" s="84">
        <f>'HPS LTO DAILY '!R25</f>
        <v>301.89999999999998</v>
      </c>
      <c r="S54" s="84">
        <f>'HPS LTO DAILY '!S25</f>
        <v>314.5</v>
      </c>
      <c r="T54" s="84">
        <f>'HPS LTO DAILY '!T25</f>
        <v>287.39999999999998</v>
      </c>
      <c r="U54" s="84">
        <f>'HPS LTO DAILY '!U25</f>
        <v>300.7</v>
      </c>
      <c r="V54" s="84">
        <f>'HPS LTO DAILY '!V25</f>
        <v>298.7</v>
      </c>
      <c r="W54" s="84">
        <f>'HPS LTO DAILY '!W25</f>
        <v>283.10000000000002</v>
      </c>
      <c r="X54" s="84">
        <f>'HPS LTO DAILY '!X25</f>
        <v>284.10000000000002</v>
      </c>
      <c r="Y54" s="939">
        <f>'HPS LTO DAILY '!Y25</f>
        <v>310</v>
      </c>
      <c r="Z54" s="84">
        <f>'HPS LTO DAILY '!Z25</f>
        <v>308.39999999999998</v>
      </c>
    </row>
    <row r="55" spans="4:26" ht="19.5" customHeight="1" x14ac:dyDescent="0.3">
      <c r="D55" s="83">
        <v>20</v>
      </c>
      <c r="E55" s="1552"/>
      <c r="F55" s="1550"/>
      <c r="G55" s="84">
        <v>591.1</v>
      </c>
      <c r="H55" s="618">
        <v>598.5</v>
      </c>
      <c r="I55" s="84">
        <f>'HPS LTO DAILY '!I30</f>
        <v>607.9</v>
      </c>
      <c r="J55" s="84">
        <f>'HPS LTO DAILY '!J30</f>
        <v>454.4</v>
      </c>
      <c r="K55" s="84">
        <f>'HPS LTO DAILY '!K30</f>
        <v>465.4</v>
      </c>
      <c r="L55" s="84">
        <f>'HPS LTO DAILY '!L30</f>
        <v>455.9</v>
      </c>
      <c r="M55" s="84">
        <f>'HPS LTO DAILY '!M30</f>
        <v>457.4</v>
      </c>
      <c r="N55" s="84">
        <f>'HPS LTO DAILY '!N30</f>
        <v>328.2</v>
      </c>
      <c r="O55" s="84">
        <f>'HPS LTO DAILY '!O30</f>
        <v>342.6</v>
      </c>
      <c r="P55" s="84">
        <v>341</v>
      </c>
      <c r="Q55" s="84">
        <f>'HPS LTO DAILY '!Q30</f>
        <v>340.1</v>
      </c>
      <c r="R55" s="84">
        <f>'HPS LTO DAILY '!R30</f>
        <v>338.2</v>
      </c>
      <c r="S55" s="84">
        <f>'HPS LTO DAILY '!S30</f>
        <v>353.6</v>
      </c>
      <c r="T55" s="84">
        <f>'HPS LTO DAILY '!T30</f>
        <v>323.2</v>
      </c>
      <c r="U55" s="84">
        <f>'HPS LTO DAILY '!U30</f>
        <v>336.6</v>
      </c>
      <c r="V55" s="84">
        <f>'HPS LTO DAILY '!V30</f>
        <v>332.5</v>
      </c>
      <c r="W55" s="84">
        <f>'HPS LTO DAILY '!W30</f>
        <v>317.89999999999998</v>
      </c>
      <c r="X55" s="84">
        <f>'HPS LTO DAILY '!X30</f>
        <v>318.2</v>
      </c>
      <c r="Y55" s="939">
        <f>'HPS LTO DAILY '!Y30</f>
        <v>344.6</v>
      </c>
      <c r="Z55" s="84">
        <f>'HPS LTO DAILY '!Z30</f>
        <v>344.7</v>
      </c>
    </row>
    <row r="56" spans="4:26" ht="19.5" customHeight="1" x14ac:dyDescent="0.3">
      <c r="D56" s="83">
        <v>30</v>
      </c>
      <c r="E56" s="1552"/>
      <c r="F56" s="1550"/>
      <c r="G56" s="84">
        <v>617.79999999999995</v>
      </c>
      <c r="H56" s="618">
        <v>613.1</v>
      </c>
      <c r="I56" s="84">
        <f>'HPS LTO DAILY '!I40</f>
        <v>642.6</v>
      </c>
      <c r="J56" s="84">
        <f>'HPS LTO DAILY '!J40</f>
        <v>519.1</v>
      </c>
      <c r="K56" s="84">
        <f>'HPS LTO DAILY '!K40</f>
        <v>529.6</v>
      </c>
      <c r="L56" s="84">
        <f>'HPS LTO DAILY '!L40</f>
        <v>520.6</v>
      </c>
      <c r="M56" s="84">
        <f>'HPS LTO DAILY '!M40</f>
        <v>522.4</v>
      </c>
      <c r="N56" s="84">
        <f>'HPS LTO DAILY '!N40</f>
        <v>388.2</v>
      </c>
      <c r="O56" s="84">
        <f>'HPS LTO DAILY '!O40</f>
        <v>407.5</v>
      </c>
      <c r="P56" s="84">
        <v>402.8</v>
      </c>
      <c r="Q56" s="84">
        <f>'HPS LTO DAILY '!Q40</f>
        <v>401.6</v>
      </c>
      <c r="R56" s="84">
        <f>'HPS LTO DAILY '!R40</f>
        <v>401.5</v>
      </c>
      <c r="S56" s="84">
        <f>'HPS LTO DAILY '!S40</f>
        <v>424.1</v>
      </c>
      <c r="T56" s="84">
        <f>'HPS LTO DAILY '!T40</f>
        <v>388.5</v>
      </c>
      <c r="U56" s="84">
        <f>'HPS LTO DAILY '!U40</f>
        <v>402.9</v>
      </c>
      <c r="V56" s="84">
        <f>'HPS LTO DAILY '!V40</f>
        <v>395.2</v>
      </c>
      <c r="W56" s="84">
        <f>'HPS LTO DAILY '!W40</f>
        <v>380.8</v>
      </c>
      <c r="X56" s="84">
        <f>'HPS LTO DAILY '!X40</f>
        <v>379.1</v>
      </c>
      <c r="Y56" s="939">
        <f>'HPS LTO DAILY '!Y40</f>
        <v>409.1</v>
      </c>
      <c r="Z56" s="84">
        <f>'HPS LTO DAILY '!Z40</f>
        <v>412.9</v>
      </c>
    </row>
    <row r="57" spans="4:26" ht="19.5" customHeight="1" x14ac:dyDescent="0.3">
      <c r="D57" s="83">
        <v>40</v>
      </c>
      <c r="E57" s="1552"/>
      <c r="F57" s="1550"/>
      <c r="G57" s="84">
        <v>643.9</v>
      </c>
      <c r="H57" s="618">
        <v>644.20000000000005</v>
      </c>
      <c r="I57" s="84">
        <f>'HPS LTO DAILY '!I50</f>
        <v>688.5</v>
      </c>
      <c r="J57" s="84">
        <f>'HPS LTO DAILY '!J50</f>
        <v>560.4</v>
      </c>
      <c r="K57" s="84">
        <f>'HPS LTO DAILY '!K50</f>
        <v>571.4</v>
      </c>
      <c r="L57" s="84">
        <f>'HPS LTO DAILY '!L50</f>
        <v>563.5</v>
      </c>
      <c r="M57" s="84">
        <f>'HPS LTO DAILY '!M50</f>
        <v>564.9</v>
      </c>
      <c r="N57" s="84">
        <f>'HPS LTO DAILY '!N50</f>
        <v>443.3</v>
      </c>
      <c r="O57" s="84">
        <f>'HPS LTO DAILY '!O50</f>
        <v>466.1</v>
      </c>
      <c r="P57" s="84">
        <v>457.1</v>
      </c>
      <c r="Q57" s="84">
        <f>'HPS LTO DAILY '!Q50</f>
        <v>459.8</v>
      </c>
      <c r="R57" s="84">
        <f>'HPS LTO DAILY '!R50</f>
        <v>461.7</v>
      </c>
      <c r="S57" s="84">
        <f>'HPS LTO DAILY '!S50</f>
        <v>488</v>
      </c>
      <c r="T57" s="84">
        <f>'HPS LTO DAILY '!T50</f>
        <v>448.2</v>
      </c>
      <c r="U57" s="84">
        <f>'HPS LTO DAILY '!U50</f>
        <v>465</v>
      </c>
      <c r="V57" s="84">
        <f>'HPS LTO DAILY '!V50</f>
        <v>450.9</v>
      </c>
      <c r="W57" s="84">
        <f>'HPS LTO DAILY '!W50</f>
        <v>437.8</v>
      </c>
      <c r="X57" s="84">
        <f>'HPS LTO DAILY '!X50</f>
        <v>435.4</v>
      </c>
      <c r="Y57" s="939">
        <f>'HPS LTO DAILY '!Y50</f>
        <v>470.8</v>
      </c>
      <c r="Z57" s="84">
        <f>'HPS LTO DAILY '!Z50</f>
        <v>478.4</v>
      </c>
    </row>
    <row r="58" spans="4:26" ht="19.5" customHeight="1" x14ac:dyDescent="0.3">
      <c r="D58" s="83">
        <v>50</v>
      </c>
      <c r="E58" s="1552"/>
      <c r="F58" s="1550"/>
      <c r="G58" s="84">
        <v>673</v>
      </c>
      <c r="H58" s="618">
        <v>683.9</v>
      </c>
      <c r="I58" s="84" t="str">
        <f>'HPS LTO DAILY '!I60</f>
        <v>-</v>
      </c>
      <c r="J58" s="84">
        <f>'HPS LTO DAILY '!J60</f>
        <v>591.6</v>
      </c>
      <c r="K58" s="84">
        <f>'HPS LTO DAILY '!K60</f>
        <v>601.5</v>
      </c>
      <c r="L58" s="84">
        <f>'HPS LTO DAILY '!L60</f>
        <v>592.79999999999995</v>
      </c>
      <c r="M58" s="84">
        <f>'HPS LTO DAILY '!M60</f>
        <v>594.29999999999995</v>
      </c>
      <c r="N58" s="84">
        <f>'HPS LTO DAILY '!N60</f>
        <v>498.4</v>
      </c>
      <c r="O58" s="84">
        <f>'HPS LTO DAILY '!O60</f>
        <v>520.79999999999995</v>
      </c>
      <c r="P58" s="84">
        <v>507.9</v>
      </c>
      <c r="Q58" s="84">
        <f>'HPS LTO DAILY '!Q60</f>
        <v>513.1</v>
      </c>
      <c r="R58" s="84">
        <f>'HPS LTO DAILY '!R60</f>
        <v>516.29999999999995</v>
      </c>
      <c r="S58" s="84">
        <f>'HPS LTO DAILY '!S60</f>
        <v>543</v>
      </c>
      <c r="T58" s="84">
        <f>'HPS LTO DAILY '!T60</f>
        <v>506</v>
      </c>
      <c r="U58" s="84">
        <f>'HPS LTO DAILY '!U60</f>
        <v>523.6</v>
      </c>
      <c r="V58" s="84">
        <f>'HPS LTO DAILY '!V60</f>
        <v>507.4</v>
      </c>
      <c r="W58" s="84">
        <f>'HPS LTO DAILY '!W60</f>
        <v>494.9</v>
      </c>
      <c r="X58" s="84">
        <f>'HPS LTO DAILY '!X60</f>
        <v>490.6</v>
      </c>
      <c r="Y58" s="939">
        <f>'HPS LTO DAILY '!Y60</f>
        <v>527</v>
      </c>
      <c r="Z58" s="84">
        <f>'HPS LTO DAILY '!Z60</f>
        <v>537</v>
      </c>
    </row>
    <row r="59" spans="4:26" ht="19.5" customHeight="1" x14ac:dyDescent="0.3">
      <c r="D59" s="83">
        <v>60</v>
      </c>
      <c r="E59" s="1552"/>
      <c r="F59" s="1550"/>
      <c r="G59" s="84">
        <v>705.3</v>
      </c>
      <c r="H59" s="618" t="s">
        <v>17</v>
      </c>
      <c r="I59" s="84" t="str">
        <f>'HPS LTO DAILY '!I70</f>
        <v>-</v>
      </c>
      <c r="J59" s="84">
        <f>'HPS LTO DAILY '!J70</f>
        <v>625</v>
      </c>
      <c r="K59" s="84">
        <f>'HPS LTO DAILY '!K70</f>
        <v>631.9</v>
      </c>
      <c r="L59" s="84">
        <f>'HPS LTO DAILY '!L70</f>
        <v>620.1</v>
      </c>
      <c r="M59" s="84">
        <f>'HPS LTO DAILY '!M70</f>
        <v>622.70000000000005</v>
      </c>
      <c r="N59" s="84">
        <f>'HPS LTO DAILY '!N70</f>
        <v>548.1</v>
      </c>
      <c r="O59" s="84">
        <f>'HPS LTO DAILY '!O70</f>
        <v>565.79999999999995</v>
      </c>
      <c r="P59" s="84">
        <v>551.70000000000005</v>
      </c>
      <c r="Q59" s="84">
        <f>'HPS LTO DAILY '!Q70</f>
        <v>558.1</v>
      </c>
      <c r="R59" s="84">
        <f>'HPS LTO DAILY '!R70</f>
        <v>561.29999999999995</v>
      </c>
      <c r="S59" s="84">
        <f>'HPS LTO DAILY '!S70</f>
        <v>585.29999999999995</v>
      </c>
      <c r="T59" s="84">
        <f>'HPS LTO DAILY '!T70</f>
        <v>556.1</v>
      </c>
      <c r="U59" s="84">
        <f>'HPS LTO DAILY '!U70</f>
        <v>571.5</v>
      </c>
      <c r="V59" s="84">
        <f>'HPS LTO DAILY '!V70</f>
        <v>556</v>
      </c>
      <c r="W59" s="84">
        <f>'HPS LTO DAILY '!W70</f>
        <v>544.5</v>
      </c>
      <c r="X59" s="84">
        <f>'HPS LTO DAILY '!X70</f>
        <v>540.4</v>
      </c>
      <c r="Y59" s="939">
        <f>'HPS LTO DAILY '!Y70</f>
        <v>572.6</v>
      </c>
      <c r="Z59" s="84">
        <f>'HPS LTO DAILY '!Z70</f>
        <v>584.4</v>
      </c>
    </row>
    <row r="60" spans="4:26" ht="19.5" customHeight="1" x14ac:dyDescent="0.3">
      <c r="D60" s="83">
        <v>70</v>
      </c>
      <c r="E60" s="1552"/>
      <c r="F60" s="1550"/>
      <c r="G60" s="60" t="s">
        <v>17</v>
      </c>
      <c r="H60" s="618" t="s">
        <v>17</v>
      </c>
      <c r="I60" s="60" t="str">
        <f>'HPS LTO DAILY '!I80</f>
        <v>-</v>
      </c>
      <c r="J60" s="60">
        <f>'HPS LTO DAILY '!J80</f>
        <v>664.4</v>
      </c>
      <c r="K60" s="60">
        <f>'HPS LTO DAILY '!K80</f>
        <v>669.1</v>
      </c>
      <c r="L60" s="60">
        <f>'HPS LTO DAILY '!L80</f>
        <v>649.20000000000005</v>
      </c>
      <c r="M60" s="60">
        <f>'HPS LTO DAILY '!M80</f>
        <v>653.70000000000005</v>
      </c>
      <c r="N60" s="60">
        <f>'HPS LTO DAILY '!N80</f>
        <v>591.6</v>
      </c>
      <c r="O60" s="60">
        <f>'HPS LTO DAILY '!O80</f>
        <v>605.1</v>
      </c>
      <c r="P60" s="60">
        <v>586.9</v>
      </c>
      <c r="Q60" s="60">
        <f>'HPS LTO DAILY '!Q80</f>
        <v>594.4</v>
      </c>
      <c r="R60" s="60">
        <f>'HPS LTO DAILY '!R80</f>
        <v>598</v>
      </c>
      <c r="S60" s="60">
        <f>'HPS LTO DAILY '!S80</f>
        <v>629.6</v>
      </c>
      <c r="T60" s="60">
        <f>'HPS LTO DAILY '!T80</f>
        <v>596.29999999999995</v>
      </c>
      <c r="U60" s="60">
        <f>'HPS LTO DAILY '!U80</f>
        <v>618.1</v>
      </c>
      <c r="V60" s="60">
        <f>'HPS LTO DAILY '!V80</f>
        <v>596.79999999999995</v>
      </c>
      <c r="W60" s="60">
        <f>'HPS LTO DAILY '!W80</f>
        <v>587.1</v>
      </c>
      <c r="X60" s="60">
        <f>'HPS LTO DAILY '!X80</f>
        <v>582.79999999999995</v>
      </c>
      <c r="Y60" s="940">
        <f>'HPS LTO DAILY '!Y80</f>
        <v>617.70000000000005</v>
      </c>
      <c r="Z60" s="60">
        <f>'HPS LTO DAILY '!Z80</f>
        <v>638.70000000000005</v>
      </c>
    </row>
    <row r="61" spans="4:26" ht="19.5" customHeight="1" x14ac:dyDescent="0.3">
      <c r="D61" s="83">
        <v>80</v>
      </c>
      <c r="E61" s="1552"/>
      <c r="F61" s="1550"/>
      <c r="G61" s="60" t="s">
        <v>17</v>
      </c>
      <c r="H61" s="618" t="s">
        <v>17</v>
      </c>
      <c r="I61" s="60" t="str">
        <f>'HPS LTO DAILY '!I90</f>
        <v>-</v>
      </c>
      <c r="J61" s="60" t="str">
        <f>'HPS LTO DAILY '!J90</f>
        <v>-</v>
      </c>
      <c r="K61" s="60">
        <f>'HPS LTO DAILY '!K90</f>
        <v>733.8</v>
      </c>
      <c r="L61" s="60">
        <f>'HPS LTO DAILY '!L90</f>
        <v>685</v>
      </c>
      <c r="M61" s="60">
        <f>'HPS LTO DAILY '!M90</f>
        <v>694.8</v>
      </c>
      <c r="N61" s="60">
        <f>'HPS LTO DAILY '!N90</f>
        <v>644.6</v>
      </c>
      <c r="O61" s="60">
        <f>'HPS LTO DAILY '!O90</f>
        <v>658</v>
      </c>
      <c r="P61" s="60">
        <v>626.1</v>
      </c>
      <c r="Q61" s="60">
        <f>'HPS LTO DAILY '!Q90</f>
        <v>637</v>
      </c>
      <c r="R61" s="60">
        <f>'HPS LTO DAILY '!R90</f>
        <v>643.29999999999995</v>
      </c>
      <c r="S61" s="60">
        <f>'HPS LTO DAILY '!S90</f>
        <v>700.8</v>
      </c>
      <c r="T61" s="60">
        <f>'HPS LTO DAILY '!T90</f>
        <v>646.70000000000005</v>
      </c>
      <c r="U61" s="60">
        <f>'HPS LTO DAILY '!U90</f>
        <v>695.6</v>
      </c>
      <c r="V61" s="60">
        <f>'HPS LTO DAILY '!V90</f>
        <v>648.29999999999995</v>
      </c>
      <c r="W61" s="60">
        <f>'HPS LTO DAILY '!W90</f>
        <v>636.1</v>
      </c>
      <c r="X61" s="60">
        <f>'HPS LTO DAILY '!X90</f>
        <v>630.20000000000005</v>
      </c>
      <c r="Y61" s="940">
        <f>'HPS LTO DAILY '!Y90</f>
        <v>693.7</v>
      </c>
      <c r="Z61" s="60" t="str">
        <f>'HPS LTO DAILY '!Z90</f>
        <v>-</v>
      </c>
    </row>
    <row r="62" spans="4:26" ht="19.5" customHeight="1" x14ac:dyDescent="0.3">
      <c r="D62" s="83">
        <v>90</v>
      </c>
      <c r="E62" s="1552"/>
      <c r="F62" s="1550"/>
      <c r="G62" s="60" t="s">
        <v>17</v>
      </c>
      <c r="H62" s="618" t="s">
        <v>17</v>
      </c>
      <c r="I62" s="60" t="str">
        <f>'HPS LTO DAILY '!I100</f>
        <v>-</v>
      </c>
      <c r="J62" s="60" t="str">
        <f>'HPS LTO DAILY '!J100</f>
        <v>-</v>
      </c>
      <c r="K62" s="60" t="str">
        <f>'HPS LTO DAILY '!K100</f>
        <v>-</v>
      </c>
      <c r="L62" s="60">
        <f>'HPS LTO DAILY '!L100</f>
        <v>722.6</v>
      </c>
      <c r="M62" s="60" t="str">
        <f>'HPS LTO DAILY '!M100</f>
        <v>-</v>
      </c>
      <c r="N62" s="60" t="str">
        <f>'HPS LTO DAILY '!N100</f>
        <v>-</v>
      </c>
      <c r="O62" s="60">
        <f>'HPS LTO DAILY '!O100</f>
        <v>0</v>
      </c>
      <c r="P62" s="60">
        <v>693.3</v>
      </c>
      <c r="Q62" s="60">
        <f>'HPS LTO DAILY '!Q100</f>
        <v>713.8</v>
      </c>
      <c r="R62" s="60" t="str">
        <f>'HPS LTO DAILY '!R100</f>
        <v>-</v>
      </c>
      <c r="S62" s="60">
        <f>'HPS LTO DAILY '!S100</f>
        <v>0</v>
      </c>
      <c r="T62" s="60" t="str">
        <f>'HPS LTO DAILY '!T100</f>
        <v>-</v>
      </c>
      <c r="U62" s="60" t="str">
        <f>'HPS LTO DAILY '!U100</f>
        <v>-</v>
      </c>
      <c r="V62" s="60" t="str">
        <f>'HPS LTO DAILY '!V100</f>
        <v>-</v>
      </c>
      <c r="W62" s="60" t="str">
        <f>'HPS LTO DAILY '!W100</f>
        <v>-</v>
      </c>
      <c r="X62" s="60">
        <f>'HPS LTO DAILY '!X100</f>
        <v>720</v>
      </c>
      <c r="Y62" s="940" t="str">
        <f>'HPS LTO DAILY '!Y100</f>
        <v>-</v>
      </c>
      <c r="Z62" s="60" t="str">
        <f>'HPS LTO DAILY '!Z100</f>
        <v>-</v>
      </c>
    </row>
    <row r="63" spans="4:26" ht="19.5" customHeight="1" x14ac:dyDescent="0.3">
      <c r="D63" s="83">
        <v>95</v>
      </c>
      <c r="E63" s="1552"/>
      <c r="F63" s="1550"/>
      <c r="G63" s="60" t="s">
        <v>17</v>
      </c>
      <c r="H63" s="618" t="s">
        <v>17</v>
      </c>
      <c r="I63" s="60" t="str">
        <f>'HPS LTO DAILY '!I105</f>
        <v>-</v>
      </c>
      <c r="J63" s="60" t="str">
        <f>'HPS LTO DAILY '!J105</f>
        <v>-</v>
      </c>
      <c r="K63" s="60" t="str">
        <f>'HPS LTO DAILY '!K105</f>
        <v>-</v>
      </c>
      <c r="L63" s="60" t="str">
        <f>'HPS LTO DAILY '!L105</f>
        <v>-</v>
      </c>
      <c r="M63" s="60" t="str">
        <f>'HPS LTO DAILY '!M105</f>
        <v>-</v>
      </c>
      <c r="N63" s="60" t="str">
        <f>'HPS LTO DAILY '!N105</f>
        <v>-</v>
      </c>
      <c r="O63" s="60">
        <f>'HPS LTO DAILY '!O105</f>
        <v>0</v>
      </c>
      <c r="P63" s="60" t="s">
        <v>17</v>
      </c>
      <c r="Q63" s="60" t="str">
        <f>'HPS LTO DAILY '!Q105</f>
        <v>-</v>
      </c>
      <c r="R63" s="60" t="str">
        <f>'HPS LTO DAILY '!R105</f>
        <v>-</v>
      </c>
      <c r="S63" s="60">
        <f>'HPS LTO DAILY '!S105</f>
        <v>0</v>
      </c>
      <c r="T63" s="60" t="str">
        <f>'HPS LTO DAILY '!T105</f>
        <v>-</v>
      </c>
      <c r="U63" s="60" t="str">
        <f>'HPS LTO DAILY '!U105</f>
        <v>-</v>
      </c>
      <c r="V63" s="60" t="str">
        <f>'HPS LTO DAILY '!V105</f>
        <v>-</v>
      </c>
      <c r="W63" s="60" t="str">
        <f>'HPS LTO DAILY '!W105</f>
        <v>-</v>
      </c>
      <c r="X63" s="60">
        <f>'HPS LTO DAILY '!X105</f>
        <v>0</v>
      </c>
      <c r="Y63" s="940" t="str">
        <f>'HPS LTO DAILY '!Y105</f>
        <v>-</v>
      </c>
      <c r="Z63" s="60" t="str">
        <f>'HPS LTO DAILY '!Z105</f>
        <v>-</v>
      </c>
    </row>
    <row r="64" spans="4:26" ht="19.5" customHeight="1" thickBot="1" x14ac:dyDescent="0.35">
      <c r="D64" s="83" t="s">
        <v>61</v>
      </c>
      <c r="E64" s="89" t="s">
        <v>54</v>
      </c>
      <c r="F64" s="1551"/>
      <c r="G64" s="90" t="s">
        <v>440</v>
      </c>
      <c r="H64" s="834" t="s">
        <v>547</v>
      </c>
      <c r="I64" s="90" t="s">
        <v>546</v>
      </c>
      <c r="J64" s="91" t="str">
        <f>'HPS LTO DAILY '!J110</f>
        <v>-</v>
      </c>
      <c r="K64" s="91" t="str">
        <f>'HPS LTO DAILY '!K110</f>
        <v>-</v>
      </c>
      <c r="L64" s="91" t="str">
        <f>'HPS LTO DAILY '!L110</f>
        <v>-</v>
      </c>
      <c r="M64" s="91" t="str">
        <f>'HPS LTO DAILY '!M110</f>
        <v>-</v>
      </c>
      <c r="N64" s="91" t="str">
        <f>'HPS LTO DAILY '!N110</f>
        <v>-</v>
      </c>
      <c r="O64" s="91">
        <f>'HPS LTO DAILY '!O110</f>
        <v>0</v>
      </c>
      <c r="P64" s="91" t="s">
        <v>17</v>
      </c>
      <c r="Q64" s="91" t="str">
        <f>'HPS LTO DAILY '!Q110</f>
        <v>-</v>
      </c>
      <c r="R64" s="91" t="str">
        <f>'HPS LTO DAILY '!R110</f>
        <v>-</v>
      </c>
      <c r="S64" s="91">
        <f>'HPS LTO DAILY '!S110</f>
        <v>0</v>
      </c>
      <c r="T64" s="91" t="str">
        <f>'HPS LTO DAILY '!T110</f>
        <v>-</v>
      </c>
      <c r="U64" s="91" t="str">
        <f>'HPS LTO DAILY '!U110</f>
        <v>-</v>
      </c>
      <c r="V64" s="91" t="str">
        <f>'HPS LTO DAILY '!V110</f>
        <v>-</v>
      </c>
      <c r="W64" s="91" t="str">
        <f>'HPS LTO DAILY '!W110</f>
        <v>-</v>
      </c>
      <c r="X64" s="91">
        <f>'HPS LTO DAILY '!X110</f>
        <v>0</v>
      </c>
      <c r="Y64" s="941" t="str">
        <f>'HPS LTO DAILY '!Y110</f>
        <v>-</v>
      </c>
      <c r="Z64" s="91" t="str">
        <f>'HPS LTO DAILY '!Z110</f>
        <v>-</v>
      </c>
    </row>
    <row r="65" spans="4:26" ht="19.5" customHeight="1" x14ac:dyDescent="0.3">
      <c r="D65" s="92" t="s">
        <v>159</v>
      </c>
      <c r="E65" s="93"/>
      <c r="F65" s="94"/>
      <c r="G65" s="95"/>
      <c r="H65" s="95"/>
      <c r="I65" s="95"/>
      <c r="J65" s="95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202"/>
      <c r="Y65" s="942"/>
      <c r="Z65" s="202"/>
    </row>
    <row r="66" spans="4:26" ht="19.5" customHeight="1" x14ac:dyDescent="0.3">
      <c r="D66" s="97" t="s">
        <v>101</v>
      </c>
      <c r="E66" s="1553" t="s">
        <v>58</v>
      </c>
      <c r="F66" s="1556" t="s">
        <v>36</v>
      </c>
      <c r="G66" s="98">
        <v>0</v>
      </c>
      <c r="H66" s="98">
        <v>0</v>
      </c>
      <c r="I66" s="98">
        <v>0</v>
      </c>
      <c r="J66" s="3">
        <v>0.14299999999999999</v>
      </c>
      <c r="K66" s="99">
        <v>0.26600000000000001</v>
      </c>
      <c r="L66" s="99">
        <v>0.151</v>
      </c>
      <c r="M66" s="99">
        <v>0.26400000000000001</v>
      </c>
      <c r="N66" s="99">
        <v>0.58399999999999996</v>
      </c>
      <c r="O66" s="99">
        <v>0.73</v>
      </c>
      <c r="P66" s="99">
        <v>0.28000000000000003</v>
      </c>
      <c r="Q66" s="99">
        <v>0.45400000000000001</v>
      </c>
      <c r="R66" s="99">
        <v>0.161</v>
      </c>
      <c r="S66" s="99">
        <v>0.158</v>
      </c>
      <c r="T66" s="99">
        <v>0.308</v>
      </c>
      <c r="U66" s="99">
        <v>0.77400000000000002</v>
      </c>
      <c r="V66" s="99">
        <v>0.156</v>
      </c>
      <c r="W66" s="99">
        <v>0.64700000000000002</v>
      </c>
      <c r="X66" s="203">
        <v>0.20499999999999999</v>
      </c>
      <c r="Y66" s="959">
        <v>0.19600000000000001</v>
      </c>
      <c r="Z66" s="3">
        <v>0.192</v>
      </c>
    </row>
    <row r="67" spans="4:26" ht="19.5" customHeight="1" x14ac:dyDescent="0.3">
      <c r="D67" s="97" t="s">
        <v>102</v>
      </c>
      <c r="E67" s="1554"/>
      <c r="F67" s="1557"/>
      <c r="G67" s="98">
        <v>7.0000000000000001E-3</v>
      </c>
      <c r="H67" s="98">
        <v>0</v>
      </c>
      <c r="I67" s="98">
        <v>0</v>
      </c>
      <c r="J67" s="3">
        <v>0.58399999999999996</v>
      </c>
      <c r="K67" s="99">
        <v>0.40200000000000002</v>
      </c>
      <c r="L67" s="99">
        <v>0.45700000000000002</v>
      </c>
      <c r="M67" s="99">
        <v>0.49399999999999999</v>
      </c>
      <c r="N67" s="99">
        <v>1.6970000000000001</v>
      </c>
      <c r="O67" s="99">
        <v>1.605</v>
      </c>
      <c r="P67" s="99">
        <v>1.5880000000000001</v>
      </c>
      <c r="Q67" s="99">
        <v>1.393</v>
      </c>
      <c r="R67" s="99">
        <v>1.5049999999999999</v>
      </c>
      <c r="S67" s="99">
        <v>1.484</v>
      </c>
      <c r="T67" s="99">
        <v>1.8759999999999999</v>
      </c>
      <c r="U67" s="99">
        <v>1.7490000000000001</v>
      </c>
      <c r="V67" s="99">
        <v>1.4419999999999999</v>
      </c>
      <c r="W67" s="99">
        <v>1.9410000000000001</v>
      </c>
      <c r="X67" s="203">
        <v>1.897</v>
      </c>
      <c r="Y67" s="959">
        <v>1.3480000000000001</v>
      </c>
      <c r="Z67" s="3">
        <v>1.4990000000000001</v>
      </c>
    </row>
    <row r="68" spans="4:26" ht="19.5" customHeight="1" x14ac:dyDescent="0.3">
      <c r="D68" s="97" t="s">
        <v>103</v>
      </c>
      <c r="E68" s="1554"/>
      <c r="F68" s="1557"/>
      <c r="G68" s="98">
        <v>0.26400000000000001</v>
      </c>
      <c r="H68" s="98">
        <v>0.03</v>
      </c>
      <c r="I68" s="98">
        <v>0</v>
      </c>
      <c r="J68" s="3">
        <v>2.33</v>
      </c>
      <c r="K68" s="99">
        <v>1.913</v>
      </c>
      <c r="L68" s="99">
        <v>2.169</v>
      </c>
      <c r="M68" s="99">
        <v>2.0150000000000001</v>
      </c>
      <c r="N68" s="99">
        <v>7.016</v>
      </c>
      <c r="O68" s="99">
        <v>6.6289999999999996</v>
      </c>
      <c r="P68" s="99">
        <v>7.0439999999999996</v>
      </c>
      <c r="Q68" s="99">
        <v>6.84</v>
      </c>
      <c r="R68" s="99">
        <v>7.343</v>
      </c>
      <c r="S68" s="99">
        <v>6.8390000000000004</v>
      </c>
      <c r="T68" s="99">
        <v>7.7</v>
      </c>
      <c r="U68" s="99">
        <v>7.0110000000000001</v>
      </c>
      <c r="V68" s="99">
        <v>7.4290000000000003</v>
      </c>
      <c r="W68" s="99">
        <v>8.2919999999999998</v>
      </c>
      <c r="X68" s="203">
        <v>8.5809999999999995</v>
      </c>
      <c r="Y68" s="959">
        <v>6.4180000000000001</v>
      </c>
      <c r="Z68" s="3">
        <v>6.6379999999999999</v>
      </c>
    </row>
    <row r="69" spans="4:26" ht="19.5" customHeight="1" x14ac:dyDescent="0.3">
      <c r="D69" s="97" t="s">
        <v>104</v>
      </c>
      <c r="E69" s="1554"/>
      <c r="F69" s="1557"/>
      <c r="G69" s="98">
        <v>1.0409999999999999</v>
      </c>
      <c r="H69" s="98">
        <v>0.16500000000000001</v>
      </c>
      <c r="I69" s="98">
        <v>0.219</v>
      </c>
      <c r="J69" s="3">
        <v>6.6609999999999996</v>
      </c>
      <c r="K69" s="99">
        <v>6.17</v>
      </c>
      <c r="L69" s="99">
        <v>6.61</v>
      </c>
      <c r="M69" s="99">
        <v>6.5049999999999999</v>
      </c>
      <c r="N69" s="99">
        <v>16.114999999999998</v>
      </c>
      <c r="O69" s="99">
        <v>14.157</v>
      </c>
      <c r="P69" s="99">
        <v>14.746</v>
      </c>
      <c r="Q69" s="99">
        <v>14.393000000000001</v>
      </c>
      <c r="R69" s="99">
        <v>14.273</v>
      </c>
      <c r="S69" s="99">
        <v>13.709</v>
      </c>
      <c r="T69" s="99">
        <v>15.262</v>
      </c>
      <c r="U69" s="99">
        <v>14.618</v>
      </c>
      <c r="V69" s="99">
        <v>15.250999999999999</v>
      </c>
      <c r="W69" s="99">
        <v>15.74</v>
      </c>
      <c r="X69" s="203">
        <v>16.094999999999999</v>
      </c>
      <c r="Y69" s="959">
        <v>14.513</v>
      </c>
      <c r="Z69" s="3">
        <v>14.006</v>
      </c>
    </row>
    <row r="70" spans="4:26" ht="19.5" customHeight="1" x14ac:dyDescent="0.3">
      <c r="D70" s="97" t="s">
        <v>105</v>
      </c>
      <c r="E70" s="1554"/>
      <c r="F70" s="1557"/>
      <c r="G70" s="98">
        <v>4.7430000000000003</v>
      </c>
      <c r="H70" s="98">
        <v>0.47199999999999998</v>
      </c>
      <c r="I70" s="98">
        <v>0.80500000000000005</v>
      </c>
      <c r="J70" s="3">
        <v>16.82</v>
      </c>
      <c r="K70" s="99">
        <v>16.152000000000001</v>
      </c>
      <c r="L70" s="99">
        <v>17.013000000000002</v>
      </c>
      <c r="M70" s="99">
        <v>16.838000000000001</v>
      </c>
      <c r="N70" s="99">
        <v>26.524000000000001</v>
      </c>
      <c r="O70" s="99">
        <v>23.327999999999999</v>
      </c>
      <c r="P70" s="99">
        <v>24.245000000000001</v>
      </c>
      <c r="Q70" s="99">
        <v>24.225999999999999</v>
      </c>
      <c r="R70" s="99">
        <v>23.512</v>
      </c>
      <c r="S70" s="99">
        <v>22.968</v>
      </c>
      <c r="T70" s="99">
        <v>23</v>
      </c>
      <c r="U70" s="99">
        <v>22.116</v>
      </c>
      <c r="V70" s="99">
        <v>24.204000000000001</v>
      </c>
      <c r="W70" s="99">
        <v>24.353999999999999</v>
      </c>
      <c r="X70" s="203">
        <v>24.951000000000001</v>
      </c>
      <c r="Y70" s="959">
        <v>22.513000000000002</v>
      </c>
      <c r="Z70" s="3">
        <v>21.085000000000001</v>
      </c>
    </row>
    <row r="71" spans="4:26" ht="19.5" customHeight="1" x14ac:dyDescent="0.3">
      <c r="D71" s="97" t="s">
        <v>100</v>
      </c>
      <c r="E71" s="1554"/>
      <c r="F71" s="1557"/>
      <c r="G71" s="98">
        <v>5.3239999999999998</v>
      </c>
      <c r="H71" s="98">
        <v>3.141</v>
      </c>
      <c r="I71" s="98">
        <v>5.2809999999999997</v>
      </c>
      <c r="J71" s="3">
        <v>13.346</v>
      </c>
      <c r="K71" s="99">
        <v>11.814</v>
      </c>
      <c r="L71" s="99">
        <v>12.590999999999999</v>
      </c>
      <c r="M71" s="99">
        <v>12.481999999999999</v>
      </c>
      <c r="N71" s="99">
        <v>12.973000000000001</v>
      </c>
      <c r="O71" s="99">
        <v>12.542</v>
      </c>
      <c r="P71" s="99">
        <v>13.506</v>
      </c>
      <c r="Q71" s="99">
        <v>13.202999999999999</v>
      </c>
      <c r="R71" s="99">
        <v>12.878</v>
      </c>
      <c r="S71" s="99">
        <v>12.824999999999999</v>
      </c>
      <c r="T71" s="99">
        <v>12.103999999999999</v>
      </c>
      <c r="U71" s="99">
        <v>11.558</v>
      </c>
      <c r="V71" s="99">
        <v>12.454000000000001</v>
      </c>
      <c r="W71" s="99">
        <v>12.411</v>
      </c>
      <c r="X71" s="203">
        <v>12.65</v>
      </c>
      <c r="Y71" s="959">
        <v>11.971</v>
      </c>
      <c r="Z71" s="3">
        <v>11.154999999999999</v>
      </c>
    </row>
    <row r="72" spans="4:26" ht="19.5" customHeight="1" x14ac:dyDescent="0.3">
      <c r="D72" s="97" t="s">
        <v>160</v>
      </c>
      <c r="E72" s="1555"/>
      <c r="F72" s="1558"/>
      <c r="G72" s="98">
        <f>100-SUM(G66:G71)</f>
        <v>88.620999999999995</v>
      </c>
      <c r="H72" s="98">
        <f>100-SUM(H66:H71)</f>
        <v>96.192000000000007</v>
      </c>
      <c r="I72" s="98">
        <f t="shared" ref="I72:Y72" si="23">100-SUM(I66:I71)</f>
        <v>93.694999999999993</v>
      </c>
      <c r="J72" s="98">
        <f t="shared" si="23"/>
        <v>60.116</v>
      </c>
      <c r="K72" s="98">
        <f t="shared" si="23"/>
        <v>63.283000000000001</v>
      </c>
      <c r="L72" s="98">
        <f t="shared" si="23"/>
        <v>61.009</v>
      </c>
      <c r="M72" s="98">
        <f t="shared" si="23"/>
        <v>61.402000000000001</v>
      </c>
      <c r="N72" s="98">
        <f t="shared" si="23"/>
        <v>35.090999999999994</v>
      </c>
      <c r="O72" s="98">
        <f t="shared" si="23"/>
        <v>41.009</v>
      </c>
      <c r="P72" s="98">
        <f t="shared" si="23"/>
        <v>38.590999999999994</v>
      </c>
      <c r="Q72" s="98">
        <f t="shared" si="23"/>
        <v>39.491</v>
      </c>
      <c r="R72" s="98">
        <f t="shared" si="23"/>
        <v>40.328000000000003</v>
      </c>
      <c r="S72" s="98">
        <f t="shared" si="23"/>
        <v>42.016999999999996</v>
      </c>
      <c r="T72" s="98">
        <f t="shared" si="23"/>
        <v>39.75</v>
      </c>
      <c r="U72" s="98">
        <f t="shared" si="23"/>
        <v>42.173999999999999</v>
      </c>
      <c r="V72" s="98">
        <f t="shared" si="23"/>
        <v>39.064</v>
      </c>
      <c r="W72" s="98">
        <f t="shared" si="23"/>
        <v>36.615000000000002</v>
      </c>
      <c r="X72" s="98">
        <f t="shared" si="23"/>
        <v>35.620999999999995</v>
      </c>
      <c r="Y72" s="959">
        <f t="shared" si="23"/>
        <v>43.040999999999997</v>
      </c>
      <c r="Z72" s="3">
        <f t="shared" ref="Z72" si="24">100-SUM(Z66:Z71)</f>
        <v>45.424999999999997</v>
      </c>
    </row>
    <row r="73" spans="4:26" ht="19.5" customHeight="1" thickBot="1" x14ac:dyDescent="0.35">
      <c r="D73" s="100" t="s">
        <v>161</v>
      </c>
      <c r="E73" s="93"/>
      <c r="F73" s="94"/>
      <c r="G73" s="101">
        <f>SUM(G66:G72)</f>
        <v>100</v>
      </c>
      <c r="H73" s="101">
        <f t="shared" ref="H73:Y73" si="25">SUM(H66:H72)</f>
        <v>100</v>
      </c>
      <c r="I73" s="101">
        <f t="shared" si="25"/>
        <v>100</v>
      </c>
      <c r="J73" s="101">
        <f t="shared" si="25"/>
        <v>100</v>
      </c>
      <c r="K73" s="101">
        <f t="shared" si="25"/>
        <v>100</v>
      </c>
      <c r="L73" s="101">
        <f t="shared" si="25"/>
        <v>100</v>
      </c>
      <c r="M73" s="101">
        <f t="shared" si="25"/>
        <v>100</v>
      </c>
      <c r="N73" s="101">
        <f t="shared" si="25"/>
        <v>100</v>
      </c>
      <c r="O73" s="101">
        <f t="shared" si="25"/>
        <v>100</v>
      </c>
      <c r="P73" s="101">
        <f t="shared" si="25"/>
        <v>100</v>
      </c>
      <c r="Q73" s="101">
        <f t="shared" si="25"/>
        <v>100</v>
      </c>
      <c r="R73" s="101">
        <f t="shared" si="25"/>
        <v>100</v>
      </c>
      <c r="S73" s="101">
        <f t="shared" si="25"/>
        <v>100</v>
      </c>
      <c r="T73" s="101">
        <f t="shared" si="25"/>
        <v>100</v>
      </c>
      <c r="U73" s="101">
        <f t="shared" si="25"/>
        <v>100</v>
      </c>
      <c r="V73" s="101">
        <f t="shared" si="25"/>
        <v>100</v>
      </c>
      <c r="W73" s="101">
        <f t="shared" si="25"/>
        <v>100</v>
      </c>
      <c r="X73" s="101">
        <f t="shared" si="25"/>
        <v>100</v>
      </c>
      <c r="Y73" s="943">
        <f t="shared" si="25"/>
        <v>100</v>
      </c>
      <c r="Z73" s="101">
        <f t="shared" ref="Z73" si="26">SUM(Z66:Z72)</f>
        <v>100</v>
      </c>
    </row>
    <row r="74" spans="4:26" ht="18.75" customHeight="1" x14ac:dyDescent="0.3">
      <c r="D74" s="75" t="s">
        <v>62</v>
      </c>
      <c r="E74" s="1538" t="s">
        <v>63</v>
      </c>
      <c r="F74" s="1539" t="s">
        <v>55</v>
      </c>
      <c r="G74" s="47"/>
      <c r="H74" s="47"/>
      <c r="I74" s="47"/>
      <c r="J74" s="47"/>
      <c r="K74" s="55"/>
      <c r="L74" s="55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196"/>
      <c r="Y74" s="947"/>
      <c r="Z74" s="172"/>
    </row>
    <row r="75" spans="4:26" ht="18.75" customHeight="1" x14ac:dyDescent="0.3">
      <c r="D75" s="44" t="s">
        <v>64</v>
      </c>
      <c r="E75" s="1538"/>
      <c r="F75" s="1539"/>
      <c r="G75" s="60">
        <v>2.8</v>
      </c>
      <c r="H75" s="618">
        <v>2</v>
      </c>
      <c r="I75" s="60">
        <v>1.4</v>
      </c>
      <c r="J75" s="60">
        <v>13.8</v>
      </c>
      <c r="K75" s="87">
        <v>11.4</v>
      </c>
      <c r="L75" s="87">
        <v>12.4</v>
      </c>
      <c r="M75" s="88"/>
      <c r="N75" s="88">
        <v>16.7</v>
      </c>
      <c r="O75" s="88">
        <v>13.2</v>
      </c>
      <c r="P75" s="88">
        <v>14</v>
      </c>
      <c r="Q75" s="88">
        <v>17.899999999999999</v>
      </c>
      <c r="R75" s="88">
        <v>13.4</v>
      </c>
      <c r="S75" s="88">
        <v>13</v>
      </c>
      <c r="T75" s="88">
        <v>15.8</v>
      </c>
      <c r="U75" s="88">
        <v>18.3</v>
      </c>
      <c r="V75" s="88">
        <v>16.899999999999999</v>
      </c>
      <c r="W75" s="88">
        <v>19.399999999999999</v>
      </c>
      <c r="X75" s="59">
        <v>18.8</v>
      </c>
      <c r="Y75" s="934">
        <v>18.600000000000001</v>
      </c>
      <c r="Z75" s="39">
        <v>19.5</v>
      </c>
    </row>
    <row r="76" spans="4:26" ht="18.75" customHeight="1" x14ac:dyDescent="0.3">
      <c r="D76" s="44" t="s">
        <v>65</v>
      </c>
      <c r="E76" s="1538"/>
      <c r="F76" s="1539"/>
      <c r="G76" s="60">
        <v>34.299999999999997</v>
      </c>
      <c r="H76" s="618">
        <v>27.7</v>
      </c>
      <c r="I76" s="60">
        <v>25.8</v>
      </c>
      <c r="J76" s="60">
        <v>68</v>
      </c>
      <c r="K76" s="87">
        <v>51</v>
      </c>
      <c r="L76" s="87">
        <v>53.4</v>
      </c>
      <c r="M76" s="88"/>
      <c r="N76" s="88">
        <v>66.5</v>
      </c>
      <c r="O76" s="88">
        <v>60.7</v>
      </c>
      <c r="P76" s="88">
        <v>56.6</v>
      </c>
      <c r="Q76" s="88">
        <v>56.1</v>
      </c>
      <c r="R76" s="88">
        <v>51.5</v>
      </c>
      <c r="S76" s="88">
        <v>54.1</v>
      </c>
      <c r="T76" s="88">
        <v>59.1</v>
      </c>
      <c r="U76" s="88">
        <v>52</v>
      </c>
      <c r="V76" s="88">
        <v>52.7</v>
      </c>
      <c r="W76" s="88">
        <v>53.1</v>
      </c>
      <c r="X76" s="59">
        <v>58.9</v>
      </c>
      <c r="Y76" s="934">
        <v>51.6</v>
      </c>
      <c r="Z76" s="39">
        <v>52.9</v>
      </c>
    </row>
    <row r="77" spans="4:26" ht="18.75" customHeight="1" x14ac:dyDescent="0.3">
      <c r="D77" s="44" t="s">
        <v>66</v>
      </c>
      <c r="E77" s="1538"/>
      <c r="F77" s="1539"/>
      <c r="G77" s="60">
        <v>15.5</v>
      </c>
      <c r="H77" s="618">
        <v>15.6</v>
      </c>
      <c r="I77" s="60">
        <v>12.5</v>
      </c>
      <c r="J77" s="60">
        <v>4.9000000000000004</v>
      </c>
      <c r="K77" s="85">
        <v>6.5</v>
      </c>
      <c r="L77" s="87">
        <v>5</v>
      </c>
      <c r="M77" s="86"/>
      <c r="N77" s="86">
        <v>6.4</v>
      </c>
      <c r="O77" s="86">
        <v>9.6</v>
      </c>
      <c r="P77" s="86">
        <v>10.7</v>
      </c>
      <c r="Q77" s="86">
        <v>8.3000000000000007</v>
      </c>
      <c r="R77" s="86">
        <v>11.5</v>
      </c>
      <c r="S77" s="86">
        <v>13.9</v>
      </c>
      <c r="T77" s="86">
        <v>10.3</v>
      </c>
      <c r="U77" s="86">
        <v>13.6</v>
      </c>
      <c r="V77" s="86">
        <v>10.1</v>
      </c>
      <c r="W77" s="86">
        <v>8.6999999999999993</v>
      </c>
      <c r="X77" s="204">
        <v>6.9</v>
      </c>
      <c r="Y77" s="934">
        <v>8.9</v>
      </c>
      <c r="Z77" s="39">
        <v>7.7</v>
      </c>
    </row>
    <row r="78" spans="4:26" ht="18.75" customHeight="1" x14ac:dyDescent="0.3">
      <c r="D78" s="44" t="s">
        <v>67</v>
      </c>
      <c r="E78" s="1538"/>
      <c r="F78" s="1539"/>
      <c r="G78" s="60">
        <v>47.4</v>
      </c>
      <c r="H78" s="618">
        <v>54.6</v>
      </c>
      <c r="I78" s="60">
        <v>60.3</v>
      </c>
      <c r="J78" s="60">
        <v>13.3</v>
      </c>
      <c r="K78" s="87">
        <v>31.1</v>
      </c>
      <c r="L78" s="87">
        <v>29.2</v>
      </c>
      <c r="M78" s="88"/>
      <c r="N78" s="88">
        <v>10.5</v>
      </c>
      <c r="O78" s="88">
        <v>16.600000000000001</v>
      </c>
      <c r="P78" s="88">
        <v>18.7</v>
      </c>
      <c r="Q78" s="88">
        <v>17.7</v>
      </c>
      <c r="R78" s="88">
        <v>23.6</v>
      </c>
      <c r="S78" s="88">
        <v>19</v>
      </c>
      <c r="T78" s="88">
        <v>14.8</v>
      </c>
      <c r="U78" s="88">
        <v>16.100000000000001</v>
      </c>
      <c r="V78" s="88">
        <v>20.3</v>
      </c>
      <c r="W78" s="88">
        <v>18.8</v>
      </c>
      <c r="X78" s="59">
        <v>15.4</v>
      </c>
      <c r="Y78" s="934">
        <v>20.9</v>
      </c>
      <c r="Z78" s="39">
        <v>19.899999999999999</v>
      </c>
    </row>
    <row r="79" spans="4:26" ht="18.75" customHeight="1" x14ac:dyDescent="0.3">
      <c r="D79" s="758" t="s">
        <v>320</v>
      </c>
      <c r="E79" s="158"/>
      <c r="F79" s="159"/>
      <c r="G79" s="77">
        <f>(G78+G75)/(G76+G77)</f>
        <v>1.0080321285140561</v>
      </c>
      <c r="H79" s="77">
        <f t="shared" ref="H79:Y79" si="27">(H78+H75)/(H76+H77)</f>
        <v>1.30715935334873</v>
      </c>
      <c r="I79" s="77">
        <f t="shared" si="27"/>
        <v>1.6109660574412532</v>
      </c>
      <c r="J79" s="77">
        <f t="shared" si="27"/>
        <v>0.37174211248285322</v>
      </c>
      <c r="K79" s="77">
        <f t="shared" si="27"/>
        <v>0.73913043478260865</v>
      </c>
      <c r="L79" s="77">
        <f t="shared" si="27"/>
        <v>0.71232876712328774</v>
      </c>
      <c r="M79" s="77" t="e">
        <f t="shared" si="27"/>
        <v>#DIV/0!</v>
      </c>
      <c r="N79" s="77">
        <f t="shared" si="27"/>
        <v>0.37311385459533603</v>
      </c>
      <c r="O79" s="77">
        <f t="shared" si="27"/>
        <v>0.42389758179231868</v>
      </c>
      <c r="P79" s="77">
        <f t="shared" si="27"/>
        <v>0.48588410104011892</v>
      </c>
      <c r="Q79" s="77">
        <f t="shared" si="27"/>
        <v>0.55279503105590044</v>
      </c>
      <c r="R79" s="77">
        <f t="shared" si="27"/>
        <v>0.58730158730158732</v>
      </c>
      <c r="S79" s="77">
        <f t="shared" si="27"/>
        <v>0.47058823529411764</v>
      </c>
      <c r="T79" s="77">
        <f t="shared" si="27"/>
        <v>0.44092219020172907</v>
      </c>
      <c r="U79" s="77">
        <f t="shared" si="27"/>
        <v>0.52439024390243916</v>
      </c>
      <c r="V79" s="77">
        <f t="shared" si="27"/>
        <v>0.59235668789808915</v>
      </c>
      <c r="W79" s="77">
        <f t="shared" si="27"/>
        <v>0.61812297734627841</v>
      </c>
      <c r="X79" s="77">
        <f t="shared" si="27"/>
        <v>0.51975683890577518</v>
      </c>
      <c r="Y79" s="944">
        <f t="shared" si="27"/>
        <v>0.65289256198347112</v>
      </c>
      <c r="Z79" s="77">
        <f t="shared" ref="Z79" si="28">(Z78+Z75)/(Z76+Z77)</f>
        <v>0.65016501650165015</v>
      </c>
    </row>
    <row r="80" spans="4:26" ht="18.75" customHeight="1" x14ac:dyDescent="0.3">
      <c r="D80" s="75" t="s">
        <v>68</v>
      </c>
      <c r="E80" s="1540" t="s">
        <v>69</v>
      </c>
      <c r="F80" s="1543" t="s">
        <v>17</v>
      </c>
      <c r="G80" s="47"/>
      <c r="H80" s="47"/>
      <c r="I80" s="47"/>
      <c r="J80" s="47"/>
      <c r="K80" s="55"/>
      <c r="L80" s="55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196"/>
      <c r="Y80" s="947"/>
      <c r="Z80" s="172"/>
    </row>
    <row r="81" spans="4:26" ht="18.75" customHeight="1" x14ac:dyDescent="0.3">
      <c r="D81" s="44" t="s">
        <v>70</v>
      </c>
      <c r="E81" s="1541"/>
      <c r="F81" s="1544"/>
      <c r="G81" s="60">
        <v>0.59040000000000004</v>
      </c>
      <c r="H81" s="618">
        <v>0.55030000000000001</v>
      </c>
      <c r="I81" s="60">
        <v>0.61009999999999998</v>
      </c>
      <c r="J81" s="47"/>
      <c r="K81" s="55"/>
      <c r="L81" s="55"/>
      <c r="M81" s="56"/>
      <c r="N81" s="88">
        <v>0.2467</v>
      </c>
      <c r="O81" s="88">
        <v>0.216</v>
      </c>
      <c r="P81" s="88">
        <v>0.31659999999999999</v>
      </c>
      <c r="Q81" s="88">
        <v>0.2442</v>
      </c>
      <c r="R81" s="88">
        <v>0.22320000000000001</v>
      </c>
      <c r="S81" s="88">
        <v>0.24149999999999999</v>
      </c>
      <c r="T81" s="88">
        <v>0.22919999999999999</v>
      </c>
      <c r="U81" s="88">
        <v>0.1784</v>
      </c>
      <c r="V81" s="56"/>
      <c r="W81" s="56"/>
      <c r="X81" s="196"/>
      <c r="Y81" s="948"/>
      <c r="Z81" s="38"/>
    </row>
    <row r="82" spans="4:26" ht="18.75" customHeight="1" x14ac:dyDescent="0.3">
      <c r="D82" s="44" t="s">
        <v>71</v>
      </c>
      <c r="E82" s="1541"/>
      <c r="F82" s="1544"/>
      <c r="G82" s="60">
        <v>1.5</v>
      </c>
      <c r="H82" s="618">
        <v>1.5483</v>
      </c>
      <c r="I82" s="60">
        <v>1.4153</v>
      </c>
      <c r="J82" s="47"/>
      <c r="K82" s="55"/>
      <c r="L82" s="55"/>
      <c r="M82" s="56"/>
      <c r="N82" s="88">
        <v>0.9375</v>
      </c>
      <c r="O82" s="88">
        <v>0.99419999999999997</v>
      </c>
      <c r="P82" s="88">
        <v>0.80189999999999995</v>
      </c>
      <c r="Q82" s="88">
        <v>0.91239999999999999</v>
      </c>
      <c r="R82" s="88">
        <v>0.98360000000000003</v>
      </c>
      <c r="S82" s="88">
        <v>0.95920000000000005</v>
      </c>
      <c r="T82" s="88">
        <v>0.8468</v>
      </c>
      <c r="U82" s="88">
        <v>0.93030000000000002</v>
      </c>
      <c r="V82" s="56"/>
      <c r="W82" s="56"/>
      <c r="X82" s="196"/>
      <c r="Y82" s="948"/>
      <c r="Z82" s="38"/>
    </row>
    <row r="83" spans="4:26" ht="18.75" customHeight="1" x14ac:dyDescent="0.3">
      <c r="D83" s="44" t="s">
        <v>72</v>
      </c>
      <c r="E83" s="1541"/>
      <c r="F83" s="1544"/>
      <c r="G83" s="60">
        <v>3.6623999999999999</v>
      </c>
      <c r="H83" s="618">
        <v>3.44</v>
      </c>
      <c r="I83" s="60">
        <v>3.63</v>
      </c>
      <c r="J83" s="47"/>
      <c r="K83" s="55"/>
      <c r="L83" s="55"/>
      <c r="M83" s="56"/>
      <c r="N83" s="88">
        <v>1.24</v>
      </c>
      <c r="O83" s="88">
        <v>1.27</v>
      </c>
      <c r="P83" s="88">
        <v>1.17</v>
      </c>
      <c r="Q83" s="88">
        <v>1.21</v>
      </c>
      <c r="R83" s="88">
        <v>1.27</v>
      </c>
      <c r="S83" s="88">
        <v>1.26</v>
      </c>
      <c r="T83" s="88">
        <v>1.1000000000000001</v>
      </c>
      <c r="U83" s="88">
        <v>1.1299999999999999</v>
      </c>
      <c r="V83" s="56"/>
      <c r="W83" s="56"/>
      <c r="X83" s="196"/>
      <c r="Y83" s="948"/>
      <c r="Z83" s="38"/>
    </row>
    <row r="84" spans="4:26" ht="18.75" customHeight="1" x14ac:dyDescent="0.3">
      <c r="D84" s="44" t="s">
        <v>73</v>
      </c>
      <c r="E84" s="1541"/>
      <c r="F84" s="1544"/>
      <c r="G84" s="60">
        <v>0.40960000000000002</v>
      </c>
      <c r="H84" s="618">
        <v>0.44969999999999999</v>
      </c>
      <c r="I84" s="60">
        <v>0.38990000000000002</v>
      </c>
      <c r="J84" s="47"/>
      <c r="K84" s="55"/>
      <c r="L84" s="55"/>
      <c r="M84" s="56"/>
      <c r="N84" s="88">
        <v>0.75329999999999997</v>
      </c>
      <c r="O84" s="88">
        <v>0.78400000000000003</v>
      </c>
      <c r="P84" s="88">
        <v>0.68340000000000001</v>
      </c>
      <c r="Q84" s="88">
        <v>0.75580000000000003</v>
      </c>
      <c r="R84" s="88">
        <v>0.77680000000000005</v>
      </c>
      <c r="S84" s="88">
        <v>0.75849999999999995</v>
      </c>
      <c r="T84" s="88">
        <v>0.77080000000000004</v>
      </c>
      <c r="U84" s="88">
        <v>0.8216</v>
      </c>
      <c r="V84" s="56"/>
      <c r="W84" s="56"/>
      <c r="X84" s="196"/>
      <c r="Y84" s="948"/>
      <c r="Z84" s="38"/>
    </row>
    <row r="85" spans="4:26" ht="18.75" customHeight="1" x14ac:dyDescent="0.3">
      <c r="D85" s="44" t="s">
        <v>74</v>
      </c>
      <c r="E85" s="1541"/>
      <c r="F85" s="1544"/>
      <c r="G85" s="77">
        <v>149.57</v>
      </c>
      <c r="H85" s="618">
        <v>163</v>
      </c>
      <c r="I85" s="77">
        <v>301</v>
      </c>
      <c r="J85" s="47"/>
      <c r="K85" s="55"/>
      <c r="L85" s="55"/>
      <c r="M85" s="56"/>
      <c r="N85" s="88">
        <v>92</v>
      </c>
      <c r="O85" s="88">
        <v>102</v>
      </c>
      <c r="P85" s="88">
        <v>78</v>
      </c>
      <c r="Q85" s="88">
        <v>91</v>
      </c>
      <c r="R85" s="88">
        <v>94</v>
      </c>
      <c r="S85" s="88">
        <v>94</v>
      </c>
      <c r="T85" s="88">
        <v>80</v>
      </c>
      <c r="U85" s="88">
        <v>93</v>
      </c>
      <c r="V85" s="56"/>
      <c r="W85" s="56"/>
      <c r="X85" s="196"/>
      <c r="Y85" s="948"/>
      <c r="Z85" s="38"/>
    </row>
    <row r="86" spans="4:26" ht="18.75" customHeight="1" thickBot="1" x14ac:dyDescent="0.35">
      <c r="D86" s="848" t="s">
        <v>75</v>
      </c>
      <c r="E86" s="1541"/>
      <c r="F86" s="1544"/>
      <c r="G86" s="849">
        <v>105.1005</v>
      </c>
      <c r="H86" s="619">
        <v>45</v>
      </c>
      <c r="I86" s="849">
        <v>46</v>
      </c>
      <c r="J86" s="850"/>
      <c r="K86" s="851"/>
      <c r="L86" s="851"/>
      <c r="M86" s="852"/>
      <c r="N86" s="853">
        <v>75</v>
      </c>
      <c r="O86" s="853">
        <v>78</v>
      </c>
      <c r="P86" s="853">
        <v>68</v>
      </c>
      <c r="Q86" s="853">
        <v>76</v>
      </c>
      <c r="R86" s="853">
        <v>78</v>
      </c>
      <c r="S86" s="853">
        <v>76</v>
      </c>
      <c r="T86" s="853">
        <v>77</v>
      </c>
      <c r="U86" s="853">
        <v>82</v>
      </c>
      <c r="V86" s="852"/>
      <c r="W86" s="852"/>
      <c r="X86" s="915"/>
      <c r="Y86" s="950"/>
      <c r="Z86" s="955"/>
    </row>
    <row r="87" spans="4:26" ht="19.5" customHeight="1" x14ac:dyDescent="0.3">
      <c r="D87" s="854" t="s">
        <v>76</v>
      </c>
      <c r="E87" s="855" t="s">
        <v>77</v>
      </c>
      <c r="F87" s="856" t="s">
        <v>36</v>
      </c>
      <c r="G87" s="857">
        <v>22.94</v>
      </c>
      <c r="H87" s="857">
        <v>33.22</v>
      </c>
      <c r="I87" s="857">
        <v>40.28</v>
      </c>
      <c r="J87" s="858">
        <v>10.67</v>
      </c>
      <c r="K87" s="859">
        <v>9.93</v>
      </c>
      <c r="L87" s="859">
        <v>11.1</v>
      </c>
      <c r="M87" s="860">
        <v>10.16</v>
      </c>
      <c r="N87" s="861">
        <v>6</v>
      </c>
      <c r="O87" s="860">
        <v>10.52</v>
      </c>
      <c r="P87" s="860">
        <v>11.38</v>
      </c>
      <c r="Q87" s="860">
        <v>11.39</v>
      </c>
      <c r="R87" s="860">
        <v>11.63</v>
      </c>
      <c r="S87" s="860">
        <v>13.45</v>
      </c>
      <c r="T87" s="860">
        <v>12.06</v>
      </c>
      <c r="U87" s="860">
        <v>11.79</v>
      </c>
      <c r="V87" s="860">
        <v>12.25</v>
      </c>
      <c r="W87" s="860">
        <v>12.2</v>
      </c>
      <c r="X87" s="862">
        <v>12.7</v>
      </c>
      <c r="Y87" s="951">
        <v>13.59</v>
      </c>
      <c r="Z87" s="956">
        <v>12.32</v>
      </c>
    </row>
    <row r="88" spans="4:26" ht="19.5" customHeight="1" x14ac:dyDescent="0.3">
      <c r="D88" s="44" t="s">
        <v>78</v>
      </c>
      <c r="E88" s="58" t="s">
        <v>79</v>
      </c>
      <c r="F88" s="102" t="s">
        <v>36</v>
      </c>
      <c r="G88" s="48">
        <v>12.22</v>
      </c>
      <c r="H88" s="48">
        <v>20.9</v>
      </c>
      <c r="I88" s="48">
        <v>22</v>
      </c>
      <c r="J88" s="84">
        <v>4.5999999999999996</v>
      </c>
      <c r="K88" s="85">
        <v>4.3</v>
      </c>
      <c r="L88" s="85">
        <v>4.4000000000000004</v>
      </c>
      <c r="M88" s="86">
        <v>4.5</v>
      </c>
      <c r="N88" s="86">
        <v>3</v>
      </c>
      <c r="O88" s="86">
        <v>5.7</v>
      </c>
      <c r="P88" s="86">
        <v>6.1</v>
      </c>
      <c r="Q88" s="86">
        <v>6.2</v>
      </c>
      <c r="R88" s="86">
        <v>6.1</v>
      </c>
      <c r="S88" s="86">
        <v>6.46</v>
      </c>
      <c r="T88" s="86">
        <v>6.7</v>
      </c>
      <c r="U88" s="86">
        <v>6</v>
      </c>
      <c r="V88" s="86">
        <v>6.7</v>
      </c>
      <c r="W88" s="86">
        <v>5.9</v>
      </c>
      <c r="X88" s="204">
        <v>6.5</v>
      </c>
      <c r="Y88" s="934">
        <v>6.9</v>
      </c>
      <c r="Z88" s="39">
        <v>7</v>
      </c>
    </row>
    <row r="89" spans="4:26" ht="19.5" customHeight="1" x14ac:dyDescent="0.3">
      <c r="D89" s="44" t="s">
        <v>80</v>
      </c>
      <c r="E89" s="161" t="s">
        <v>81</v>
      </c>
      <c r="F89" s="59" t="s">
        <v>36</v>
      </c>
      <c r="G89" s="48">
        <v>25.66</v>
      </c>
      <c r="H89" s="48">
        <v>31.59</v>
      </c>
      <c r="I89" s="48">
        <v>32.07</v>
      </c>
      <c r="J89" s="77">
        <v>14.8</v>
      </c>
      <c r="K89" s="62">
        <v>14.57</v>
      </c>
      <c r="L89" s="62">
        <v>14.55</v>
      </c>
      <c r="M89" s="63">
        <v>14.7</v>
      </c>
      <c r="N89" s="63">
        <v>9.61</v>
      </c>
      <c r="O89" s="63">
        <v>13.7</v>
      </c>
      <c r="P89" s="63">
        <v>14.2</v>
      </c>
      <c r="Q89" s="63">
        <v>14</v>
      </c>
      <c r="R89" s="63">
        <v>13.96</v>
      </c>
      <c r="S89" s="63">
        <v>14.8</v>
      </c>
      <c r="T89" s="63">
        <v>13.97</v>
      </c>
      <c r="U89" s="63">
        <v>13.44</v>
      </c>
      <c r="V89" s="63">
        <v>14.2</v>
      </c>
      <c r="W89" s="63">
        <v>13.5</v>
      </c>
      <c r="X89" s="199">
        <v>14.07</v>
      </c>
      <c r="Y89" s="934">
        <v>14.5</v>
      </c>
      <c r="Z89" s="39">
        <v>14.2</v>
      </c>
    </row>
    <row r="90" spans="4:26" ht="19.5" customHeight="1" thickBot="1" x14ac:dyDescent="0.35">
      <c r="D90" s="116" t="s">
        <v>82</v>
      </c>
      <c r="E90" s="117" t="s">
        <v>83</v>
      </c>
      <c r="F90" s="118" t="s">
        <v>36</v>
      </c>
      <c r="G90" s="119"/>
      <c r="H90" s="119"/>
      <c r="I90" s="119"/>
      <c r="J90" s="845">
        <v>153.31</v>
      </c>
      <c r="K90" s="846">
        <v>250.3</v>
      </c>
      <c r="L90" s="846">
        <v>50</v>
      </c>
      <c r="M90" s="847">
        <v>224.78</v>
      </c>
      <c r="N90" s="847">
        <v>428.74</v>
      </c>
      <c r="O90" s="847">
        <v>1832.7</v>
      </c>
      <c r="P90" s="847">
        <v>2657.3</v>
      </c>
      <c r="Q90" s="847">
        <v>3072</v>
      </c>
      <c r="R90" s="847">
        <v>4183.8</v>
      </c>
      <c r="S90" s="847">
        <v>4329.1000000000004</v>
      </c>
      <c r="T90" s="868">
        <v>5116.2</v>
      </c>
      <c r="U90" s="847">
        <v>9382.7999999999993</v>
      </c>
      <c r="V90" s="847">
        <v>11823</v>
      </c>
      <c r="W90" s="847">
        <v>12960</v>
      </c>
      <c r="X90" s="869">
        <v>18485</v>
      </c>
      <c r="Y90" s="952">
        <v>16439</v>
      </c>
      <c r="Z90" s="957">
        <v>19799</v>
      </c>
    </row>
    <row r="91" spans="4:26" ht="18" thickBot="1" x14ac:dyDescent="0.35">
      <c r="X91" s="18"/>
      <c r="Y91" s="953"/>
    </row>
    <row r="92" spans="4:26" ht="18" thickBot="1" x14ac:dyDescent="0.35">
      <c r="D92" s="19" t="s">
        <v>11</v>
      </c>
      <c r="E92" s="20" t="s">
        <v>12</v>
      </c>
      <c r="F92" s="20" t="s">
        <v>13</v>
      </c>
      <c r="G92" s="20" t="s">
        <v>2</v>
      </c>
      <c r="H92" s="20" t="s">
        <v>2</v>
      </c>
      <c r="I92" s="20" t="s">
        <v>2</v>
      </c>
      <c r="J92" s="20" t="s">
        <v>2</v>
      </c>
      <c r="K92" s="20" t="s">
        <v>2</v>
      </c>
      <c r="L92" s="20" t="s">
        <v>2</v>
      </c>
      <c r="M92" s="20" t="s">
        <v>2</v>
      </c>
      <c r="N92" s="20" t="s">
        <v>2</v>
      </c>
      <c r="O92" s="20" t="s">
        <v>2</v>
      </c>
      <c r="P92" s="20" t="s">
        <v>2</v>
      </c>
      <c r="Q92" s="20" t="s">
        <v>2</v>
      </c>
      <c r="R92" s="20" t="s">
        <v>2</v>
      </c>
      <c r="S92" s="20" t="s">
        <v>2</v>
      </c>
      <c r="T92" s="20" t="s">
        <v>2</v>
      </c>
      <c r="U92" s="20" t="s">
        <v>2</v>
      </c>
      <c r="V92" s="20" t="s">
        <v>2</v>
      </c>
      <c r="W92" s="20" t="s">
        <v>2</v>
      </c>
      <c r="X92" s="20" t="s">
        <v>2</v>
      </c>
      <c r="Y92" s="20" t="s">
        <v>2</v>
      </c>
    </row>
    <row r="93" spans="4:26" s="18" customFormat="1" x14ac:dyDescent="0.3">
      <c r="D93" s="23" t="s">
        <v>45</v>
      </c>
      <c r="E93" s="1569" t="s">
        <v>84</v>
      </c>
      <c r="F93" s="1572" t="s">
        <v>164</v>
      </c>
      <c r="G93" s="120">
        <v>0</v>
      </c>
      <c r="H93" s="120">
        <v>0</v>
      </c>
      <c r="I93" s="120">
        <v>0</v>
      </c>
      <c r="J93" s="812">
        <v>37.869999999999997</v>
      </c>
      <c r="K93" s="812">
        <v>5.4</v>
      </c>
      <c r="L93" s="812">
        <v>13.51</v>
      </c>
      <c r="M93" s="812">
        <v>5.58</v>
      </c>
      <c r="N93" s="812">
        <v>2</v>
      </c>
      <c r="O93" s="812">
        <v>2.11</v>
      </c>
      <c r="P93" s="812">
        <v>1.78</v>
      </c>
      <c r="Q93" s="812">
        <v>1.99</v>
      </c>
      <c r="R93" s="812">
        <v>2</v>
      </c>
      <c r="S93" s="812">
        <v>2.1</v>
      </c>
      <c r="T93" s="812">
        <v>1.9</v>
      </c>
      <c r="U93" s="812">
        <v>2.93</v>
      </c>
      <c r="V93" s="812">
        <v>3.02</v>
      </c>
      <c r="W93" s="120">
        <v>0.99</v>
      </c>
      <c r="X93" s="205">
        <v>1.2</v>
      </c>
      <c r="Y93" s="205">
        <v>1.2</v>
      </c>
    </row>
    <row r="94" spans="4:26" ht="20.25" x14ac:dyDescent="0.4">
      <c r="D94" s="30" t="s">
        <v>86</v>
      </c>
      <c r="E94" s="1570"/>
      <c r="F94" s="1573"/>
      <c r="G94" s="121">
        <v>0</v>
      </c>
      <c r="H94" s="121">
        <v>0</v>
      </c>
      <c r="I94" s="121">
        <v>0</v>
      </c>
      <c r="J94" s="813">
        <v>5.78</v>
      </c>
      <c r="K94" s="813">
        <v>0.2</v>
      </c>
      <c r="L94" s="813">
        <v>0.21</v>
      </c>
      <c r="M94" s="813">
        <v>0.1</v>
      </c>
      <c r="N94" s="813">
        <v>0.15</v>
      </c>
      <c r="O94" s="813">
        <v>0.19</v>
      </c>
      <c r="P94" s="813">
        <v>0.12</v>
      </c>
      <c r="Q94" s="813">
        <v>0.14000000000000001</v>
      </c>
      <c r="R94" s="813">
        <v>0.16</v>
      </c>
      <c r="S94" s="813">
        <v>0.17</v>
      </c>
      <c r="T94" s="813">
        <v>0.2</v>
      </c>
      <c r="U94" s="813">
        <v>0.33</v>
      </c>
      <c r="V94" s="813">
        <v>0.35</v>
      </c>
      <c r="W94" s="121">
        <v>0.15</v>
      </c>
      <c r="X94" s="32">
        <v>0.19</v>
      </c>
      <c r="Y94" s="32">
        <v>0.19</v>
      </c>
    </row>
    <row r="95" spans="4:26" ht="20.25" x14ac:dyDescent="0.3">
      <c r="D95" s="37" t="s">
        <v>87</v>
      </c>
      <c r="E95" s="1570"/>
      <c r="F95" s="1573"/>
      <c r="G95" s="121">
        <v>0</v>
      </c>
      <c r="H95" s="121">
        <v>0</v>
      </c>
      <c r="I95" s="121">
        <v>0</v>
      </c>
      <c r="J95" s="813">
        <v>9.36</v>
      </c>
      <c r="K95" s="813">
        <v>0.25</v>
      </c>
      <c r="L95" s="813">
        <v>0.08</v>
      </c>
      <c r="M95" s="813">
        <v>0.06</v>
      </c>
      <c r="N95" s="813">
        <v>0.22</v>
      </c>
      <c r="O95" s="813">
        <v>0.27</v>
      </c>
      <c r="P95" s="813">
        <v>0.18</v>
      </c>
      <c r="Q95" s="813">
        <v>0.2</v>
      </c>
      <c r="R95" s="813">
        <v>0.22</v>
      </c>
      <c r="S95" s="813">
        <v>0.23</v>
      </c>
      <c r="T95" s="813">
        <v>0.36</v>
      </c>
      <c r="U95" s="813">
        <v>0.53</v>
      </c>
      <c r="V95" s="813">
        <v>0.53</v>
      </c>
      <c r="W95" s="121">
        <v>0.28999999999999998</v>
      </c>
      <c r="X95" s="32">
        <v>0.34</v>
      </c>
      <c r="Y95" s="32">
        <v>0.34</v>
      </c>
    </row>
    <row r="96" spans="4:26" ht="20.25" x14ac:dyDescent="0.3">
      <c r="D96" s="37" t="s">
        <v>88</v>
      </c>
      <c r="E96" s="1570"/>
      <c r="F96" s="1573"/>
      <c r="G96" s="121">
        <v>0</v>
      </c>
      <c r="H96" s="121">
        <v>0</v>
      </c>
      <c r="I96" s="121">
        <v>0</v>
      </c>
      <c r="J96" s="813">
        <v>13.81</v>
      </c>
      <c r="K96" s="813">
        <v>0.39</v>
      </c>
      <c r="L96" s="813">
        <v>0.19</v>
      </c>
      <c r="M96" s="813">
        <v>0.08</v>
      </c>
      <c r="N96" s="813">
        <v>0.3</v>
      </c>
      <c r="O96" s="813">
        <v>0.4</v>
      </c>
      <c r="P96" s="813">
        <v>0.28999999999999998</v>
      </c>
      <c r="Q96" s="813">
        <v>0.3</v>
      </c>
      <c r="R96" s="813">
        <v>0.33</v>
      </c>
      <c r="S96" s="813">
        <v>0.32</v>
      </c>
      <c r="T96" s="813">
        <v>0.6</v>
      </c>
      <c r="U96" s="813">
        <v>0.8</v>
      </c>
      <c r="V96" s="813">
        <v>0.79</v>
      </c>
      <c r="W96" s="121">
        <v>0.46</v>
      </c>
      <c r="X96" s="32">
        <v>0.53</v>
      </c>
      <c r="Y96" s="32">
        <v>0.53</v>
      </c>
    </row>
    <row r="97" spans="4:26" ht="20.25" x14ac:dyDescent="0.3">
      <c r="D97" s="37" t="s">
        <v>379</v>
      </c>
      <c r="E97" s="1570"/>
      <c r="F97" s="1573"/>
      <c r="G97" s="121">
        <v>0</v>
      </c>
      <c r="H97" s="121">
        <v>0</v>
      </c>
      <c r="I97" s="121">
        <v>0</v>
      </c>
      <c r="J97" s="813">
        <v>12.58</v>
      </c>
      <c r="K97" s="813">
        <v>0.6</v>
      </c>
      <c r="L97" s="813">
        <v>0.7</v>
      </c>
      <c r="M97" s="813">
        <v>0.23</v>
      </c>
      <c r="N97" s="813">
        <v>0.45</v>
      </c>
      <c r="O97" s="813">
        <v>0.52</v>
      </c>
      <c r="P97" s="813">
        <v>0.41</v>
      </c>
      <c r="Q97" s="813">
        <v>0.42</v>
      </c>
      <c r="R97" s="813">
        <v>0.42</v>
      </c>
      <c r="S97" s="813">
        <v>0.4</v>
      </c>
      <c r="T97" s="813">
        <v>0.78</v>
      </c>
      <c r="U97" s="813">
        <v>0.93</v>
      </c>
      <c r="V97" s="813">
        <v>0.91</v>
      </c>
      <c r="W97" s="121">
        <v>0.56999999999999995</v>
      </c>
      <c r="X97" s="32">
        <v>0.61</v>
      </c>
      <c r="Y97" s="32">
        <v>0.61</v>
      </c>
    </row>
    <row r="98" spans="4:26" ht="20.25" x14ac:dyDescent="0.4">
      <c r="D98" s="23" t="s">
        <v>89</v>
      </c>
      <c r="E98" s="1570"/>
      <c r="F98" s="1573"/>
      <c r="G98" s="122">
        <v>0</v>
      </c>
      <c r="H98" s="122">
        <v>0</v>
      </c>
      <c r="I98" s="122">
        <v>0</v>
      </c>
      <c r="J98" s="814">
        <v>11.15</v>
      </c>
      <c r="K98" s="814">
        <v>2.58</v>
      </c>
      <c r="L98" s="814">
        <v>0.35</v>
      </c>
      <c r="M98" s="814">
        <v>0.23</v>
      </c>
      <c r="N98" s="814">
        <v>1.59</v>
      </c>
      <c r="O98" s="814">
        <v>1.48</v>
      </c>
      <c r="P98" s="814">
        <v>1.52</v>
      </c>
      <c r="Q98" s="814">
        <v>1.43</v>
      </c>
      <c r="R98" s="814">
        <v>1.31</v>
      </c>
      <c r="S98" s="814">
        <v>1.04</v>
      </c>
      <c r="T98" s="814">
        <v>1.72</v>
      </c>
      <c r="U98" s="814">
        <v>2.2000000000000002</v>
      </c>
      <c r="V98" s="814">
        <v>2.0099999999999998</v>
      </c>
      <c r="W98" s="122">
        <v>1.72</v>
      </c>
      <c r="X98" s="25">
        <v>1.44</v>
      </c>
      <c r="Y98" s="25">
        <v>1.44</v>
      </c>
    </row>
    <row r="99" spans="4:26" ht="21" thickBot="1" x14ac:dyDescent="0.45">
      <c r="D99" s="245" t="s">
        <v>383</v>
      </c>
      <c r="E99" s="1570"/>
      <c r="F99" s="1573"/>
      <c r="G99" s="123">
        <v>0</v>
      </c>
      <c r="H99" s="123">
        <v>0</v>
      </c>
      <c r="I99" s="123">
        <v>0</v>
      </c>
      <c r="J99" s="815">
        <v>2.57</v>
      </c>
      <c r="K99" s="815">
        <v>1.01</v>
      </c>
      <c r="L99" s="815">
        <v>0.55000000000000004</v>
      </c>
      <c r="M99" s="815">
        <v>0.34</v>
      </c>
      <c r="N99" s="815">
        <v>0.42</v>
      </c>
      <c r="O99" s="815">
        <v>0.36</v>
      </c>
      <c r="P99" s="815">
        <v>0.37</v>
      </c>
      <c r="Q99" s="815">
        <v>0.28000000000000003</v>
      </c>
      <c r="R99" s="815">
        <v>0.25</v>
      </c>
      <c r="S99" s="815">
        <v>0.18</v>
      </c>
      <c r="T99" s="815">
        <v>0.24</v>
      </c>
      <c r="U99" s="815">
        <v>0.4</v>
      </c>
      <c r="V99" s="815">
        <v>0.3</v>
      </c>
      <c r="W99" s="123">
        <v>0.4</v>
      </c>
      <c r="X99" s="206">
        <v>0.26</v>
      </c>
      <c r="Y99" s="206">
        <v>0.26</v>
      </c>
    </row>
    <row r="100" spans="4:26" s="249" customFormat="1" ht="18" thickTop="1" x14ac:dyDescent="0.3">
      <c r="D100" s="246" t="s">
        <v>380</v>
      </c>
      <c r="E100" s="1570"/>
      <c r="F100" s="1573"/>
      <c r="G100" s="247"/>
      <c r="H100" s="247"/>
      <c r="I100" s="247"/>
      <c r="J100" s="643">
        <f>2.63/12.58</f>
        <v>0.20906200317965024</v>
      </c>
      <c r="K100" s="643">
        <f>0.1/K97</f>
        <v>0.16666666666666669</v>
      </c>
      <c r="L100" s="643">
        <f>0.21/L97</f>
        <v>0.3</v>
      </c>
      <c r="M100" s="643">
        <f>0.05/M97</f>
        <v>0.21739130434782608</v>
      </c>
      <c r="N100" s="643">
        <f>0.07/N97</f>
        <v>0.15555555555555556</v>
      </c>
      <c r="O100" s="643">
        <v>0.17</v>
      </c>
      <c r="P100" s="643">
        <v>0.17</v>
      </c>
      <c r="Q100" s="643">
        <v>0.17</v>
      </c>
      <c r="R100" s="643">
        <v>0.17</v>
      </c>
      <c r="S100" s="643">
        <v>0.18</v>
      </c>
      <c r="T100" s="643">
        <v>0.17</v>
      </c>
      <c r="U100" s="643">
        <v>0.19</v>
      </c>
      <c r="V100" s="643">
        <v>0.2</v>
      </c>
      <c r="W100" s="247">
        <v>0.19</v>
      </c>
      <c r="X100" s="248">
        <v>0.2</v>
      </c>
      <c r="Y100" s="248">
        <v>0.2</v>
      </c>
      <c r="Z100" s="958"/>
    </row>
    <row r="101" spans="4:26" x14ac:dyDescent="0.3">
      <c r="D101" s="37" t="s">
        <v>90</v>
      </c>
      <c r="E101" s="1570"/>
      <c r="F101" s="1573"/>
      <c r="G101" s="121">
        <v>0</v>
      </c>
      <c r="H101" s="121">
        <v>0</v>
      </c>
      <c r="I101" s="121">
        <v>0</v>
      </c>
      <c r="J101" s="813">
        <v>0</v>
      </c>
      <c r="K101" s="813">
        <v>0</v>
      </c>
      <c r="L101" s="813">
        <v>0</v>
      </c>
      <c r="M101" s="813">
        <v>0</v>
      </c>
      <c r="N101" s="813">
        <v>0</v>
      </c>
      <c r="O101" s="813">
        <v>0</v>
      </c>
      <c r="P101" s="813">
        <v>0</v>
      </c>
      <c r="Q101" s="813">
        <v>0</v>
      </c>
      <c r="R101" s="813">
        <v>0</v>
      </c>
      <c r="S101" s="813">
        <v>0</v>
      </c>
      <c r="T101" s="813">
        <v>0</v>
      </c>
      <c r="U101" s="813">
        <v>0</v>
      </c>
      <c r="V101" s="813">
        <v>0</v>
      </c>
      <c r="W101" s="121">
        <v>0</v>
      </c>
      <c r="X101" s="32">
        <v>0</v>
      </c>
      <c r="Y101" s="32">
        <v>0</v>
      </c>
    </row>
    <row r="102" spans="4:26" ht="20.25" x14ac:dyDescent="0.3">
      <c r="D102" s="37" t="s">
        <v>91</v>
      </c>
      <c r="E102" s="1570"/>
      <c r="F102" s="1573"/>
      <c r="G102" s="121">
        <v>0</v>
      </c>
      <c r="H102" s="121">
        <v>0</v>
      </c>
      <c r="I102" s="121">
        <v>0</v>
      </c>
      <c r="J102" s="813">
        <v>0.4</v>
      </c>
      <c r="K102" s="813">
        <v>0.01</v>
      </c>
      <c r="L102" s="813">
        <v>0.01</v>
      </c>
      <c r="M102" s="813">
        <v>0</v>
      </c>
      <c r="N102" s="813">
        <v>0</v>
      </c>
      <c r="O102" s="813">
        <v>0</v>
      </c>
      <c r="P102" s="813">
        <v>0</v>
      </c>
      <c r="Q102" s="813">
        <v>0</v>
      </c>
      <c r="R102" s="813">
        <v>0</v>
      </c>
      <c r="S102" s="813">
        <v>0</v>
      </c>
      <c r="T102" s="813">
        <v>0</v>
      </c>
      <c r="U102" s="813">
        <v>0</v>
      </c>
      <c r="V102" s="813">
        <v>0</v>
      </c>
      <c r="W102" s="121">
        <v>0</v>
      </c>
      <c r="X102" s="32">
        <v>0</v>
      </c>
      <c r="Y102" s="32">
        <v>0</v>
      </c>
    </row>
    <row r="103" spans="4:26" ht="20.25" x14ac:dyDescent="0.4">
      <c r="D103" s="30" t="s">
        <v>85</v>
      </c>
      <c r="E103" s="1570"/>
      <c r="F103" s="1573"/>
      <c r="G103" s="123">
        <v>0</v>
      </c>
      <c r="H103" s="123">
        <v>0</v>
      </c>
      <c r="I103" s="123">
        <v>0</v>
      </c>
      <c r="J103" s="815">
        <v>0</v>
      </c>
      <c r="K103" s="815">
        <v>0</v>
      </c>
      <c r="L103" s="815">
        <v>0</v>
      </c>
      <c r="M103" s="815">
        <v>0</v>
      </c>
      <c r="N103" s="815">
        <v>0</v>
      </c>
      <c r="O103" s="815">
        <v>0</v>
      </c>
      <c r="P103" s="815">
        <v>0</v>
      </c>
      <c r="Q103" s="815">
        <v>0</v>
      </c>
      <c r="R103" s="815">
        <v>0</v>
      </c>
      <c r="S103" s="815">
        <v>0</v>
      </c>
      <c r="T103" s="815">
        <v>0</v>
      </c>
      <c r="U103" s="815">
        <v>0</v>
      </c>
      <c r="V103" s="815">
        <v>0</v>
      </c>
      <c r="W103" s="123">
        <v>0</v>
      </c>
      <c r="X103" s="206">
        <v>0</v>
      </c>
      <c r="Y103" s="206">
        <v>0</v>
      </c>
    </row>
    <row r="104" spans="4:26" ht="21" thickBot="1" x14ac:dyDescent="0.35">
      <c r="D104" s="124" t="s">
        <v>165</v>
      </c>
      <c r="E104" s="1571"/>
      <c r="F104" s="1574"/>
      <c r="G104" s="125">
        <v>0</v>
      </c>
      <c r="H104" s="125">
        <v>0</v>
      </c>
      <c r="I104" s="125">
        <v>0</v>
      </c>
      <c r="J104" s="816">
        <v>6.47</v>
      </c>
      <c r="K104" s="816">
        <v>89.55</v>
      </c>
      <c r="L104" s="816">
        <v>84.4</v>
      </c>
      <c r="M104" s="816">
        <v>93.38</v>
      </c>
      <c r="N104" s="816">
        <v>94.87</v>
      </c>
      <c r="O104" s="816">
        <v>94.69</v>
      </c>
      <c r="P104" s="816">
        <v>95.33</v>
      </c>
      <c r="Q104" s="816">
        <v>95.25</v>
      </c>
      <c r="R104" s="816">
        <v>95.3</v>
      </c>
      <c r="S104" s="816">
        <v>95.56</v>
      </c>
      <c r="T104" s="816">
        <v>94.2</v>
      </c>
      <c r="U104" s="816">
        <v>91.87</v>
      </c>
      <c r="V104" s="816">
        <v>92.08</v>
      </c>
      <c r="W104" s="125">
        <v>95.43</v>
      </c>
      <c r="X104" s="207">
        <v>95.42</v>
      </c>
      <c r="Y104" s="207">
        <v>95.42</v>
      </c>
    </row>
    <row r="105" spans="4:26" ht="18" thickBot="1" x14ac:dyDescent="0.35">
      <c r="D105" s="19" t="s">
        <v>11</v>
      </c>
      <c r="E105" s="20" t="s">
        <v>12</v>
      </c>
      <c r="F105" s="20" t="s">
        <v>13</v>
      </c>
      <c r="G105" s="20" t="s">
        <v>1</v>
      </c>
      <c r="H105" s="20" t="s">
        <v>1</v>
      </c>
      <c r="I105" s="20" t="s">
        <v>1</v>
      </c>
      <c r="J105" s="20" t="s">
        <v>1</v>
      </c>
      <c r="K105" s="20" t="s">
        <v>1</v>
      </c>
      <c r="L105" s="20" t="s">
        <v>1</v>
      </c>
      <c r="M105" s="20" t="s">
        <v>1</v>
      </c>
      <c r="N105" s="20" t="s">
        <v>1</v>
      </c>
      <c r="O105" s="20" t="s">
        <v>1</v>
      </c>
      <c r="P105" s="20" t="s">
        <v>1</v>
      </c>
      <c r="Q105" s="20" t="s">
        <v>1</v>
      </c>
      <c r="R105" s="20" t="s">
        <v>1</v>
      </c>
      <c r="S105" s="20" t="s">
        <v>1</v>
      </c>
      <c r="T105" s="20" t="s">
        <v>1</v>
      </c>
      <c r="U105" s="20" t="s">
        <v>1</v>
      </c>
      <c r="V105" s="20" t="s">
        <v>1</v>
      </c>
      <c r="W105" s="20" t="s">
        <v>1</v>
      </c>
      <c r="X105" s="20" t="s">
        <v>1</v>
      </c>
      <c r="Y105" s="20" t="s">
        <v>1</v>
      </c>
    </row>
    <row r="106" spans="4:26" x14ac:dyDescent="0.3">
      <c r="D106" s="23" t="s">
        <v>45</v>
      </c>
      <c r="E106" s="1569" t="s">
        <v>84</v>
      </c>
      <c r="F106" s="1572" t="s">
        <v>18</v>
      </c>
      <c r="G106" s="120">
        <v>0</v>
      </c>
      <c r="H106" s="120">
        <v>0</v>
      </c>
      <c r="I106" s="120">
        <v>0</v>
      </c>
      <c r="J106" s="120">
        <v>54.35</v>
      </c>
      <c r="K106" s="120">
        <v>46.17</v>
      </c>
      <c r="L106" s="120">
        <v>59.72</v>
      </c>
      <c r="M106" s="812">
        <v>71.92</v>
      </c>
      <c r="N106" s="812">
        <v>51.89</v>
      </c>
      <c r="O106" s="812">
        <v>51.32</v>
      </c>
      <c r="P106" s="812">
        <v>50.92</v>
      </c>
      <c r="Q106" s="812">
        <v>49.96</v>
      </c>
      <c r="R106" s="812">
        <v>51.37</v>
      </c>
      <c r="S106" s="812">
        <v>49.83</v>
      </c>
      <c r="T106" s="812">
        <v>47.22</v>
      </c>
      <c r="U106" s="812">
        <v>50.25</v>
      </c>
      <c r="V106" s="812">
        <v>49.67</v>
      </c>
      <c r="W106" s="812">
        <v>50.83</v>
      </c>
      <c r="X106" s="920">
        <v>48.73</v>
      </c>
      <c r="Y106" s="920">
        <v>48.73</v>
      </c>
    </row>
    <row r="107" spans="4:26" ht="20.25" x14ac:dyDescent="0.4">
      <c r="D107" s="30" t="s">
        <v>86</v>
      </c>
      <c r="E107" s="1570"/>
      <c r="F107" s="1573"/>
      <c r="G107" s="121">
        <v>0</v>
      </c>
      <c r="H107" s="121">
        <v>0</v>
      </c>
      <c r="I107" s="121">
        <v>0</v>
      </c>
      <c r="J107" s="121">
        <v>5.83</v>
      </c>
      <c r="K107" s="121">
        <v>4.34</v>
      </c>
      <c r="L107" s="121">
        <v>5.88</v>
      </c>
      <c r="M107" s="813">
        <v>7.1</v>
      </c>
      <c r="N107" s="813">
        <v>15.37</v>
      </c>
      <c r="O107" s="813">
        <v>14.29</v>
      </c>
      <c r="P107" s="813">
        <v>14.36</v>
      </c>
      <c r="Q107" s="813">
        <v>12.7</v>
      </c>
      <c r="R107" s="813">
        <v>12.78</v>
      </c>
      <c r="S107" s="813">
        <v>13.91</v>
      </c>
      <c r="T107" s="813">
        <v>14.9</v>
      </c>
      <c r="U107" s="813">
        <v>15.42</v>
      </c>
      <c r="V107" s="813">
        <v>15.02</v>
      </c>
      <c r="W107" s="813">
        <v>14.69</v>
      </c>
      <c r="X107" s="921">
        <v>13.62</v>
      </c>
      <c r="Y107" s="921">
        <v>13.62</v>
      </c>
    </row>
    <row r="108" spans="4:26" ht="20.25" x14ac:dyDescent="0.3">
      <c r="D108" s="37" t="s">
        <v>87</v>
      </c>
      <c r="E108" s="1570"/>
      <c r="F108" s="1573"/>
      <c r="G108" s="121">
        <v>0</v>
      </c>
      <c r="H108" s="121">
        <v>0</v>
      </c>
      <c r="I108" s="121">
        <v>0</v>
      </c>
      <c r="J108" s="121">
        <v>5.2</v>
      </c>
      <c r="K108" s="121">
        <v>3.69</v>
      </c>
      <c r="L108" s="121">
        <v>4.78</v>
      </c>
      <c r="M108" s="813">
        <v>5.68</v>
      </c>
      <c r="N108" s="813">
        <v>11.69</v>
      </c>
      <c r="O108" s="813">
        <v>11.12</v>
      </c>
      <c r="P108" s="813">
        <v>11</v>
      </c>
      <c r="Q108" s="813">
        <v>10.130000000000001</v>
      </c>
      <c r="R108" s="813">
        <v>10.07</v>
      </c>
      <c r="S108" s="813">
        <v>10.56</v>
      </c>
      <c r="T108" s="813">
        <v>11.18</v>
      </c>
      <c r="U108" s="813">
        <v>11.4</v>
      </c>
      <c r="V108" s="813">
        <v>11.16</v>
      </c>
      <c r="W108" s="813">
        <v>11.13</v>
      </c>
      <c r="X108" s="921">
        <v>10.27</v>
      </c>
      <c r="Y108" s="921">
        <v>10.27</v>
      </c>
    </row>
    <row r="109" spans="4:26" ht="20.25" x14ac:dyDescent="0.3">
      <c r="D109" s="37" t="s">
        <v>88</v>
      </c>
      <c r="E109" s="1570"/>
      <c r="F109" s="1573"/>
      <c r="G109" s="121">
        <v>0</v>
      </c>
      <c r="H109" s="121">
        <v>0</v>
      </c>
      <c r="I109" s="121">
        <v>0</v>
      </c>
      <c r="J109" s="121">
        <v>6.23</v>
      </c>
      <c r="K109" s="121">
        <v>3.97</v>
      </c>
      <c r="L109" s="121">
        <v>5.1100000000000003</v>
      </c>
      <c r="M109" s="813">
        <v>5.36</v>
      </c>
      <c r="N109" s="813">
        <v>9.9600000000000009</v>
      </c>
      <c r="O109" s="813">
        <v>10.14</v>
      </c>
      <c r="P109" s="813">
        <v>9.98</v>
      </c>
      <c r="Q109" s="813">
        <v>10.06</v>
      </c>
      <c r="R109" s="813">
        <v>9.68</v>
      </c>
      <c r="S109" s="813">
        <v>9.5299999999999994</v>
      </c>
      <c r="T109" s="813">
        <v>10.44</v>
      </c>
      <c r="U109" s="813">
        <v>10.119999999999999</v>
      </c>
      <c r="V109" s="813">
        <v>10.18</v>
      </c>
      <c r="W109" s="813">
        <v>10.24</v>
      </c>
      <c r="X109" s="921">
        <v>9.8699999999999992</v>
      </c>
      <c r="Y109" s="921">
        <v>9.8699999999999992</v>
      </c>
    </row>
    <row r="110" spans="4:26" x14ac:dyDescent="0.3">
      <c r="D110" s="37" t="s">
        <v>381</v>
      </c>
      <c r="E110" s="1570"/>
      <c r="F110" s="1573"/>
      <c r="G110" s="121">
        <v>0</v>
      </c>
      <c r="H110" s="121">
        <v>0</v>
      </c>
      <c r="I110" s="121">
        <v>0</v>
      </c>
      <c r="J110" s="121">
        <v>7.1</v>
      </c>
      <c r="K110" s="121">
        <v>3.76</v>
      </c>
      <c r="L110" s="121">
        <v>8.26</v>
      </c>
      <c r="M110" s="813">
        <v>3.85</v>
      </c>
      <c r="N110" s="813">
        <v>5.97</v>
      </c>
      <c r="O110" s="813">
        <v>6.61</v>
      </c>
      <c r="P110" s="813">
        <v>6.63</v>
      </c>
      <c r="Q110" s="813">
        <v>7.15</v>
      </c>
      <c r="R110" s="813">
        <v>6.65</v>
      </c>
      <c r="S110" s="813">
        <v>6.43</v>
      </c>
      <c r="T110" s="813">
        <v>6.95</v>
      </c>
      <c r="U110" s="813">
        <v>6.46</v>
      </c>
      <c r="V110" s="813">
        <v>6.82</v>
      </c>
      <c r="W110" s="813">
        <v>6.76</v>
      </c>
      <c r="X110" s="921">
        <v>7.04</v>
      </c>
      <c r="Y110" s="921">
        <v>7.04</v>
      </c>
    </row>
    <row r="111" spans="4:26" ht="20.25" x14ac:dyDescent="0.4">
      <c r="D111" s="23" t="s">
        <v>89</v>
      </c>
      <c r="E111" s="1570"/>
      <c r="F111" s="1573"/>
      <c r="G111" s="122">
        <v>0</v>
      </c>
      <c r="H111" s="122">
        <v>0</v>
      </c>
      <c r="I111" s="122">
        <v>0</v>
      </c>
      <c r="J111" s="122">
        <v>8.67</v>
      </c>
      <c r="K111" s="122">
        <v>6.83</v>
      </c>
      <c r="L111" s="122">
        <v>6.02</v>
      </c>
      <c r="M111" s="814">
        <v>3.91</v>
      </c>
      <c r="N111" s="814">
        <v>3.82</v>
      </c>
      <c r="O111" s="814">
        <v>5.28</v>
      </c>
      <c r="P111" s="814">
        <v>5.93</v>
      </c>
      <c r="Q111" s="814">
        <v>7.85</v>
      </c>
      <c r="R111" s="814">
        <v>7.04</v>
      </c>
      <c r="S111" s="814">
        <v>7.2</v>
      </c>
      <c r="T111" s="814">
        <v>7.24</v>
      </c>
      <c r="U111" s="814">
        <v>5.23</v>
      </c>
      <c r="V111" s="814">
        <v>6.38</v>
      </c>
      <c r="W111" s="814">
        <v>5.68</v>
      </c>
      <c r="X111" s="922">
        <v>8.67</v>
      </c>
      <c r="Y111" s="922">
        <v>8.67</v>
      </c>
    </row>
    <row r="112" spans="4:26" ht="21" thickBot="1" x14ac:dyDescent="0.45">
      <c r="D112" s="245" t="s">
        <v>382</v>
      </c>
      <c r="E112" s="1570"/>
      <c r="F112" s="1573"/>
      <c r="G112" s="123">
        <v>0</v>
      </c>
      <c r="H112" s="123">
        <v>0</v>
      </c>
      <c r="I112" s="123">
        <v>0</v>
      </c>
      <c r="J112" s="123">
        <v>12.33</v>
      </c>
      <c r="K112" s="123">
        <v>30.83</v>
      </c>
      <c r="L112" s="123">
        <v>10.039999999999999</v>
      </c>
      <c r="M112" s="815">
        <v>1.85</v>
      </c>
      <c r="N112" s="815">
        <v>0.92</v>
      </c>
      <c r="O112" s="815">
        <v>1.03</v>
      </c>
      <c r="P112" s="815">
        <v>0.99</v>
      </c>
      <c r="Q112" s="815">
        <v>1.94</v>
      </c>
      <c r="R112" s="815">
        <v>1.68</v>
      </c>
      <c r="S112" s="815">
        <v>1.7</v>
      </c>
      <c r="T112" s="815">
        <v>1.45</v>
      </c>
      <c r="U112" s="815">
        <v>0.7</v>
      </c>
      <c r="V112" s="815">
        <v>0.62</v>
      </c>
      <c r="W112" s="815">
        <v>0.51</v>
      </c>
      <c r="X112" s="923">
        <v>1.63</v>
      </c>
      <c r="Y112" s="923">
        <v>1.63</v>
      </c>
    </row>
    <row r="113" spans="4:26" s="249" customFormat="1" ht="18" thickTop="1" x14ac:dyDescent="0.3">
      <c r="D113" s="246" t="s">
        <v>380</v>
      </c>
      <c r="E113" s="1570"/>
      <c r="F113" s="1573"/>
      <c r="G113" s="247"/>
      <c r="H113" s="247"/>
      <c r="I113" s="247"/>
      <c r="J113" s="643">
        <f>1.73/J110</f>
        <v>0.24366197183098592</v>
      </c>
      <c r="K113" s="643">
        <f>0.75/K110</f>
        <v>0.199468085106383</v>
      </c>
      <c r="L113" s="643">
        <f>2.42/L110</f>
        <v>0.29297820823244553</v>
      </c>
      <c r="M113" s="643">
        <f>0.81/M110</f>
        <v>0.2103896103896104</v>
      </c>
      <c r="N113" s="643">
        <f>1.36/N110</f>
        <v>0.22780569514237858</v>
      </c>
      <c r="O113" s="643">
        <v>0.22</v>
      </c>
      <c r="P113" s="643">
        <v>0.22</v>
      </c>
      <c r="Q113" s="643">
        <v>0.21</v>
      </c>
      <c r="R113" s="643">
        <v>0.22</v>
      </c>
      <c r="S113" s="643">
        <v>0.22</v>
      </c>
      <c r="T113" s="643">
        <v>0.23</v>
      </c>
      <c r="U113" s="643">
        <v>0.24</v>
      </c>
      <c r="V113" s="643">
        <v>0.24</v>
      </c>
      <c r="W113" s="643">
        <v>0.24</v>
      </c>
      <c r="X113" s="924">
        <v>0.23</v>
      </c>
      <c r="Y113" s="924">
        <v>0.23</v>
      </c>
      <c r="Z113" s="958"/>
    </row>
    <row r="114" spans="4:26" x14ac:dyDescent="0.3">
      <c r="D114" s="37" t="s">
        <v>90</v>
      </c>
      <c r="E114" s="1570"/>
      <c r="F114" s="1573"/>
      <c r="G114" s="121">
        <v>0</v>
      </c>
      <c r="H114" s="121">
        <v>0</v>
      </c>
      <c r="I114" s="121">
        <v>0</v>
      </c>
      <c r="J114" s="813">
        <v>0</v>
      </c>
      <c r="K114" s="813">
        <v>0</v>
      </c>
      <c r="L114" s="813">
        <v>0</v>
      </c>
      <c r="M114" s="813">
        <v>0</v>
      </c>
      <c r="N114" s="813">
        <v>0</v>
      </c>
      <c r="O114" s="813">
        <v>0</v>
      </c>
      <c r="P114" s="813">
        <v>0</v>
      </c>
      <c r="Q114" s="813">
        <v>0</v>
      </c>
      <c r="R114" s="813">
        <v>0</v>
      </c>
      <c r="S114" s="813">
        <v>0</v>
      </c>
      <c r="T114" s="813">
        <v>0</v>
      </c>
      <c r="U114" s="813">
        <v>0</v>
      </c>
      <c r="V114" s="813">
        <v>0</v>
      </c>
      <c r="W114" s="813">
        <v>0</v>
      </c>
      <c r="X114" s="921">
        <v>0</v>
      </c>
      <c r="Y114" s="921">
        <v>0</v>
      </c>
    </row>
    <row r="115" spans="4:26" ht="20.25" x14ac:dyDescent="0.3">
      <c r="D115" s="37" t="s">
        <v>91</v>
      </c>
      <c r="E115" s="1570"/>
      <c r="F115" s="1573"/>
      <c r="G115" s="121">
        <v>0</v>
      </c>
      <c r="H115" s="121">
        <v>0</v>
      </c>
      <c r="I115" s="121">
        <v>0</v>
      </c>
      <c r="J115" s="813">
        <v>0</v>
      </c>
      <c r="K115" s="813">
        <v>0.05</v>
      </c>
      <c r="L115" s="813">
        <v>0</v>
      </c>
      <c r="M115" s="813">
        <v>0</v>
      </c>
      <c r="N115" s="813">
        <v>0</v>
      </c>
      <c r="O115" s="813">
        <v>0</v>
      </c>
      <c r="P115" s="813">
        <v>0</v>
      </c>
      <c r="Q115" s="813">
        <v>0</v>
      </c>
      <c r="R115" s="813">
        <v>0</v>
      </c>
      <c r="S115" s="813">
        <v>0</v>
      </c>
      <c r="T115" s="813">
        <v>0</v>
      </c>
      <c r="U115" s="813">
        <v>0</v>
      </c>
      <c r="V115" s="813">
        <v>0</v>
      </c>
      <c r="W115" s="813">
        <v>0</v>
      </c>
      <c r="X115" s="921">
        <v>0</v>
      </c>
      <c r="Y115" s="921">
        <v>0</v>
      </c>
    </row>
    <row r="116" spans="4:26" ht="20.25" x14ac:dyDescent="0.4">
      <c r="D116" s="30" t="s">
        <v>85</v>
      </c>
      <c r="E116" s="1570"/>
      <c r="F116" s="1573"/>
      <c r="G116" s="123">
        <v>0</v>
      </c>
      <c r="H116" s="123">
        <v>0</v>
      </c>
      <c r="I116" s="123">
        <v>0</v>
      </c>
      <c r="J116" s="815">
        <v>0</v>
      </c>
      <c r="K116" s="815">
        <v>0</v>
      </c>
      <c r="L116" s="815">
        <v>0</v>
      </c>
      <c r="M116" s="815">
        <v>0</v>
      </c>
      <c r="N116" s="815">
        <v>0</v>
      </c>
      <c r="O116" s="815">
        <v>0</v>
      </c>
      <c r="P116" s="815">
        <v>0</v>
      </c>
      <c r="Q116" s="815">
        <v>0</v>
      </c>
      <c r="R116" s="815">
        <v>0</v>
      </c>
      <c r="S116" s="815">
        <v>0</v>
      </c>
      <c r="T116" s="815">
        <v>0</v>
      </c>
      <c r="U116" s="815">
        <v>0</v>
      </c>
      <c r="V116" s="815">
        <v>0</v>
      </c>
      <c r="W116" s="815">
        <v>0</v>
      </c>
      <c r="X116" s="923">
        <v>0</v>
      </c>
      <c r="Y116" s="923">
        <v>0</v>
      </c>
    </row>
    <row r="117" spans="4:26" ht="21" thickBot="1" x14ac:dyDescent="0.35">
      <c r="D117" s="124" t="s">
        <v>165</v>
      </c>
      <c r="E117" s="1571"/>
      <c r="F117" s="1574"/>
      <c r="G117" s="125">
        <v>0</v>
      </c>
      <c r="H117" s="125">
        <v>0</v>
      </c>
      <c r="I117" s="125">
        <v>0</v>
      </c>
      <c r="J117" s="816">
        <v>0.3</v>
      </c>
      <c r="K117" s="816">
        <v>0.36</v>
      </c>
      <c r="L117" s="816">
        <v>0.2</v>
      </c>
      <c r="M117" s="816">
        <v>0.32</v>
      </c>
      <c r="N117" s="816">
        <v>0.38</v>
      </c>
      <c r="O117" s="816">
        <v>0</v>
      </c>
      <c r="P117" s="816">
        <v>0.19</v>
      </c>
      <c r="Q117" s="816">
        <v>0</v>
      </c>
      <c r="R117" s="816">
        <v>0.72</v>
      </c>
      <c r="S117" s="816">
        <v>0.85</v>
      </c>
      <c r="T117" s="816">
        <v>0.6</v>
      </c>
      <c r="U117" s="816">
        <v>0.42</v>
      </c>
      <c r="V117" s="816">
        <v>0.15</v>
      </c>
      <c r="W117" s="816">
        <v>0.15</v>
      </c>
      <c r="X117" s="925">
        <v>0.17</v>
      </c>
      <c r="Y117" s="925">
        <v>0.17</v>
      </c>
    </row>
    <row r="118" spans="4:26" x14ac:dyDescent="0.3">
      <c r="T118" s="147"/>
    </row>
    <row r="119" spans="4:26" x14ac:dyDescent="0.3">
      <c r="M119" s="18" t="s">
        <v>652</v>
      </c>
    </row>
    <row r="120" spans="4:26" x14ac:dyDescent="0.3">
      <c r="L120" s="1568"/>
      <c r="N120" s="44" t="s">
        <v>64</v>
      </c>
      <c r="O120" s="88">
        <v>18.8</v>
      </c>
      <c r="P120" s="88">
        <v>18.399999999999999</v>
      </c>
      <c r="Q120" s="88">
        <v>19.399999999999999</v>
      </c>
      <c r="R120" s="88">
        <v>17.399999999999999</v>
      </c>
      <c r="S120" s="88">
        <v>15.7</v>
      </c>
      <c r="T120" s="88">
        <v>13.8</v>
      </c>
      <c r="U120" s="88">
        <v>13.5</v>
      </c>
      <c r="X120" s="18"/>
    </row>
    <row r="121" spans="4:26" x14ac:dyDescent="0.3">
      <c r="L121" s="1568"/>
      <c r="N121" s="44" t="s">
        <v>65</v>
      </c>
      <c r="O121" s="88">
        <v>76.599999999999994</v>
      </c>
      <c r="P121" s="88">
        <v>72.3</v>
      </c>
      <c r="Q121" s="88">
        <v>68.400000000000006</v>
      </c>
      <c r="R121" s="88">
        <v>68.2</v>
      </c>
      <c r="S121" s="88">
        <v>66.599999999999994</v>
      </c>
      <c r="T121" s="88">
        <v>68.7</v>
      </c>
      <c r="U121" s="88">
        <v>69.7</v>
      </c>
      <c r="X121" s="18"/>
    </row>
    <row r="122" spans="4:26" x14ac:dyDescent="0.3">
      <c r="L122" s="1568"/>
      <c r="N122" s="44" t="s">
        <v>66</v>
      </c>
      <c r="O122" s="86">
        <v>0</v>
      </c>
      <c r="P122" s="86">
        <v>4.7</v>
      </c>
      <c r="Q122" s="86">
        <v>5.6</v>
      </c>
      <c r="R122" s="86">
        <v>7.5</v>
      </c>
      <c r="S122" s="86">
        <v>7.4</v>
      </c>
      <c r="T122" s="86">
        <v>9.1999999999999993</v>
      </c>
      <c r="U122" s="86">
        <v>8.6999999999999993</v>
      </c>
      <c r="X122" s="18"/>
    </row>
    <row r="123" spans="4:26" x14ac:dyDescent="0.3">
      <c r="L123" s="1568"/>
      <c r="N123" s="44" t="s">
        <v>67</v>
      </c>
      <c r="O123" s="88">
        <v>4.7</v>
      </c>
      <c r="P123" s="88">
        <v>4.5999999999999996</v>
      </c>
      <c r="Q123" s="88">
        <v>6.7</v>
      </c>
      <c r="R123" s="88">
        <v>7</v>
      </c>
      <c r="S123" s="88">
        <v>10.3</v>
      </c>
      <c r="T123" s="88">
        <v>8.3000000000000007</v>
      </c>
      <c r="U123" s="88">
        <v>8.1</v>
      </c>
      <c r="X123" s="18"/>
    </row>
    <row r="124" spans="4:26" x14ac:dyDescent="0.3">
      <c r="L124" s="1568"/>
      <c r="N124" s="44" t="s">
        <v>320</v>
      </c>
      <c r="O124" s="63">
        <f>(O$75+O$72)/(O$74+O$73)</f>
        <v>0.54209000000000007</v>
      </c>
      <c r="P124" s="63">
        <f t="shared" ref="P124:U124" si="29">(P$75+P$72)/(P$74+P$73)</f>
        <v>0.52590999999999999</v>
      </c>
      <c r="Q124" s="63">
        <f t="shared" si="29"/>
        <v>0.57391000000000003</v>
      </c>
      <c r="R124" s="63">
        <f t="shared" si="29"/>
        <v>0.53727999999999998</v>
      </c>
      <c r="S124" s="63">
        <f t="shared" si="29"/>
        <v>0.55016999999999994</v>
      </c>
      <c r="T124" s="63">
        <f t="shared" si="29"/>
        <v>0.55549999999999999</v>
      </c>
      <c r="U124" s="63">
        <f t="shared" si="29"/>
        <v>0.60474000000000006</v>
      </c>
      <c r="X124" s="18"/>
    </row>
    <row r="127" spans="4:26" x14ac:dyDescent="0.3">
      <c r="O127" s="1083"/>
      <c r="P127" s="1083"/>
      <c r="Q127" s="1083"/>
      <c r="R127" s="1083"/>
      <c r="S127" s="1083"/>
      <c r="T127" s="1083"/>
    </row>
    <row r="128" spans="4:26" x14ac:dyDescent="0.3">
      <c r="O128" s="1083"/>
      <c r="P128" s="1083"/>
      <c r="Q128" s="1083"/>
      <c r="R128" s="1083"/>
      <c r="S128" s="1083"/>
      <c r="T128" s="1083"/>
    </row>
  </sheetData>
  <mergeCells count="25">
    <mergeCell ref="L120:L124"/>
    <mergeCell ref="E41:E46"/>
    <mergeCell ref="F41:F46"/>
    <mergeCell ref="E50:E63"/>
    <mergeCell ref="F50:F64"/>
    <mergeCell ref="E93:E104"/>
    <mergeCell ref="F93:F104"/>
    <mergeCell ref="E106:E117"/>
    <mergeCell ref="F106:F117"/>
    <mergeCell ref="E66:E72"/>
    <mergeCell ref="F66:F72"/>
    <mergeCell ref="E74:E78"/>
    <mergeCell ref="F74:F78"/>
    <mergeCell ref="E80:E86"/>
    <mergeCell ref="F80:F86"/>
    <mergeCell ref="D1:J1"/>
    <mergeCell ref="J4:M4"/>
    <mergeCell ref="E13:E19"/>
    <mergeCell ref="F13:F19"/>
    <mergeCell ref="E26:E29"/>
    <mergeCell ref="F26:F29"/>
    <mergeCell ref="D20:D22"/>
    <mergeCell ref="E21:E22"/>
    <mergeCell ref="D23:D25"/>
    <mergeCell ref="E24:E25"/>
  </mergeCells>
  <phoneticPr fontId="29" type="noConversion"/>
  <printOptions horizontalCentered="1"/>
  <pageMargins left="0.24" right="0.17" top="0.52" bottom="0.38" header="0.31496062992126" footer="0.16"/>
  <pageSetup paperSize="9" scale="3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722E-8CE0-4B04-969A-B6B032AC1362}">
  <sheetPr>
    <tabColor rgb="FF3333FF"/>
    <pageSetUpPr fitToPage="1"/>
  </sheetPr>
  <dimension ref="A1:Y174"/>
  <sheetViews>
    <sheetView showGridLines="0" zoomScale="57" zoomScaleNormal="80" zoomScaleSheetLayoutView="55" workbookViewId="0">
      <pane xSplit="3" ySplit="6" topLeftCell="G18" activePane="bottomRight" state="frozen"/>
      <selection pane="topRight" activeCell="D1" sqref="D1"/>
      <selection pane="bottomLeft" activeCell="A7" sqref="A7"/>
      <selection pane="bottomRight" activeCell="A27" sqref="A27:XFD27"/>
    </sheetView>
  </sheetViews>
  <sheetFormatPr defaultColWidth="8.85546875" defaultRowHeight="15.75" x14ac:dyDescent="0.25"/>
  <cols>
    <col min="1" max="1" width="28.140625" style="1088" bestFit="1" customWidth="1"/>
    <col min="2" max="2" width="26.85546875" style="1088" customWidth="1"/>
    <col min="3" max="3" width="14.5703125" style="1088" customWidth="1"/>
    <col min="4" max="10" width="13.85546875" style="1088" customWidth="1"/>
    <col min="11" max="11" width="13.85546875" style="1211" customWidth="1"/>
    <col min="12" max="12" width="23.85546875" style="1089" customWidth="1"/>
    <col min="13" max="13" width="24.85546875" style="1089" bestFit="1" customWidth="1"/>
    <col min="14" max="14" width="10.140625" style="1089" customWidth="1"/>
    <col min="15" max="15" width="2.5703125" style="1086" hidden="1" customWidth="1"/>
    <col min="16" max="16" width="0" style="1087" hidden="1" customWidth="1"/>
    <col min="17" max="17" width="2.5703125" style="1087" hidden="1" customWidth="1"/>
    <col min="18" max="21" width="0" style="1087" hidden="1" customWidth="1"/>
    <col min="22" max="16384" width="8.85546875" style="1087"/>
  </cols>
  <sheetData>
    <row r="1" spans="1:17" ht="28.5" x14ac:dyDescent="0.45">
      <c r="A1" s="1601" t="s">
        <v>655</v>
      </c>
      <c r="B1" s="1601"/>
      <c r="C1" s="1601"/>
      <c r="D1" s="1601"/>
      <c r="E1" s="1601"/>
      <c r="F1" s="1601"/>
      <c r="G1" s="1601"/>
      <c r="H1" s="1601"/>
      <c r="I1" s="1601"/>
      <c r="J1" s="1601"/>
      <c r="K1" s="1601"/>
      <c r="L1" s="1601"/>
      <c r="M1" s="1601"/>
      <c r="N1" s="1208"/>
    </row>
    <row r="2" spans="1:17" x14ac:dyDescent="0.25">
      <c r="A2" s="1209"/>
      <c r="B2" s="1210"/>
      <c r="C2" s="1089"/>
      <c r="D2" s="1089"/>
      <c r="E2" s="1209"/>
      <c r="F2" s="1209"/>
      <c r="G2" s="1209"/>
      <c r="H2" s="1089"/>
      <c r="I2" s="1089"/>
      <c r="J2" s="1089"/>
      <c r="L2" s="1212" t="s">
        <v>656</v>
      </c>
      <c r="M2" s="1213" t="s">
        <v>657</v>
      </c>
      <c r="N2" s="1213"/>
    </row>
    <row r="3" spans="1:17" x14ac:dyDescent="0.25">
      <c r="A3" s="1209"/>
      <c r="B3" s="1214"/>
      <c r="C3" s="1089"/>
      <c r="D3" s="1089"/>
      <c r="E3" s="1209"/>
      <c r="F3" s="1209"/>
      <c r="G3" s="1209"/>
      <c r="H3" s="1089"/>
      <c r="I3" s="1089"/>
      <c r="J3" s="1089"/>
      <c r="L3" s="1212" t="s">
        <v>658</v>
      </c>
      <c r="M3" s="1215">
        <v>45684</v>
      </c>
      <c r="N3" s="1215"/>
    </row>
    <row r="4" spans="1:17" ht="16.5" thickBot="1" x14ac:dyDescent="0.3">
      <c r="A4" s="1209"/>
      <c r="B4" s="1214"/>
      <c r="C4" s="1089"/>
      <c r="D4" s="1089"/>
      <c r="E4" s="1209"/>
      <c r="F4" s="1209"/>
      <c r="G4" s="1209"/>
      <c r="H4" s="1089"/>
      <c r="I4" s="1089"/>
      <c r="J4" s="1089"/>
      <c r="L4" s="1212"/>
      <c r="M4" s="1216"/>
      <c r="N4" s="1216"/>
    </row>
    <row r="5" spans="1:17" ht="18" x14ac:dyDescent="0.25">
      <c r="A5" s="1116" t="s">
        <v>11</v>
      </c>
      <c r="B5" s="1117" t="s">
        <v>12</v>
      </c>
      <c r="C5" s="1117" t="s">
        <v>13</v>
      </c>
      <c r="D5" s="1117" t="s">
        <v>828</v>
      </c>
      <c r="E5" s="1117" t="s">
        <v>829</v>
      </c>
      <c r="F5" s="1117" t="s">
        <v>833</v>
      </c>
      <c r="G5" s="1117" t="s">
        <v>663</v>
      </c>
      <c r="H5" s="1117" t="s">
        <v>665</v>
      </c>
      <c r="I5" s="1117" t="s">
        <v>666</v>
      </c>
      <c r="J5" s="1117" t="s">
        <v>831</v>
      </c>
      <c r="K5" s="1118" t="s">
        <v>835</v>
      </c>
      <c r="M5" s="1602" t="s">
        <v>670</v>
      </c>
      <c r="N5" s="1603"/>
      <c r="O5" s="1219"/>
      <c r="P5" s="1086"/>
    </row>
    <row r="6" spans="1:17" ht="16.5" thickBot="1" x14ac:dyDescent="0.3">
      <c r="A6" s="1119" t="s">
        <v>671</v>
      </c>
      <c r="B6" s="1120"/>
      <c r="C6" s="1120"/>
      <c r="D6" s="1120"/>
      <c r="E6" s="1120" t="s">
        <v>830</v>
      </c>
      <c r="F6" s="1120" t="s">
        <v>834</v>
      </c>
      <c r="G6" s="1120" t="s">
        <v>103</v>
      </c>
      <c r="H6" s="1120" t="s">
        <v>104</v>
      </c>
      <c r="I6" s="1120" t="s">
        <v>679</v>
      </c>
      <c r="J6" s="1120" t="s">
        <v>237</v>
      </c>
      <c r="K6" s="1245" t="s">
        <v>160</v>
      </c>
      <c r="L6" s="1211"/>
      <c r="M6" s="1604" t="s">
        <v>683</v>
      </c>
      <c r="N6" s="1605"/>
      <c r="O6" s="1092"/>
      <c r="P6" s="1086"/>
      <c r="Q6" s="1090" t="s">
        <v>684</v>
      </c>
    </row>
    <row r="7" spans="1:17" x14ac:dyDescent="0.25">
      <c r="A7" s="1166" t="s">
        <v>685</v>
      </c>
      <c r="B7" s="1174" t="s">
        <v>686</v>
      </c>
      <c r="C7" s="1174" t="s">
        <v>18</v>
      </c>
      <c r="D7" s="1157"/>
      <c r="E7" s="1193"/>
      <c r="F7" s="1224"/>
      <c r="G7" s="1193"/>
      <c r="H7" s="1193"/>
      <c r="I7" s="1157"/>
      <c r="J7" s="1193"/>
      <c r="K7" s="1194"/>
      <c r="L7" s="1092"/>
      <c r="M7" s="1093" t="s">
        <v>688</v>
      </c>
      <c r="N7" s="1202" t="s">
        <v>687</v>
      </c>
      <c r="O7" s="1092"/>
      <c r="P7" s="1086"/>
      <c r="Q7" s="1094">
        <v>98.4</v>
      </c>
    </row>
    <row r="8" spans="1:17" ht="16.5" thickBot="1" x14ac:dyDescent="0.3">
      <c r="A8" s="1167" t="s">
        <v>689</v>
      </c>
      <c r="B8" s="1175" t="s">
        <v>690</v>
      </c>
      <c r="C8" s="1175" t="s">
        <v>18</v>
      </c>
      <c r="D8" s="1111"/>
      <c r="E8" s="1249"/>
      <c r="F8" s="1225"/>
      <c r="G8" s="1249"/>
      <c r="H8" s="1249"/>
      <c r="I8" s="1111"/>
      <c r="J8" s="1249"/>
      <c r="K8" s="1250"/>
      <c r="L8" s="1092"/>
      <c r="M8" s="1095" t="s">
        <v>691</v>
      </c>
      <c r="N8" s="1203" t="s">
        <v>687</v>
      </c>
      <c r="O8" s="1092"/>
      <c r="P8" s="1086"/>
      <c r="Q8" s="1094">
        <v>125.1</v>
      </c>
    </row>
    <row r="9" spans="1:17" x14ac:dyDescent="0.25">
      <c r="A9" s="1594" t="s">
        <v>21</v>
      </c>
      <c r="B9" s="1174" t="s">
        <v>692</v>
      </c>
      <c r="C9" s="1174" t="s">
        <v>693</v>
      </c>
      <c r="D9" s="1126"/>
      <c r="E9" s="1253"/>
      <c r="F9" s="1226"/>
      <c r="G9" s="1252"/>
      <c r="H9" s="1253"/>
      <c r="I9" s="1226"/>
      <c r="J9" s="1192">
        <v>0.9577</v>
      </c>
      <c r="K9" s="1114"/>
      <c r="M9" s="1095" t="s">
        <v>694</v>
      </c>
      <c r="N9" s="1203" t="s">
        <v>687</v>
      </c>
      <c r="O9" s="1092"/>
      <c r="P9" s="1086"/>
      <c r="Q9" s="1094">
        <v>150.80000000000001</v>
      </c>
    </row>
    <row r="10" spans="1:17" x14ac:dyDescent="0.25">
      <c r="A10" s="1595"/>
      <c r="B10" s="1176" t="s">
        <v>839</v>
      </c>
      <c r="C10" s="1176" t="s">
        <v>436</v>
      </c>
      <c r="D10" s="1112"/>
      <c r="E10" s="1184"/>
      <c r="F10" s="1113"/>
      <c r="G10" s="1184"/>
      <c r="H10" s="1255"/>
      <c r="I10" s="1113"/>
      <c r="J10" s="1183">
        <v>16.100000000000001</v>
      </c>
      <c r="K10" s="1115"/>
      <c r="M10" s="1095" t="s">
        <v>696</v>
      </c>
      <c r="N10" s="1203" t="s">
        <v>687</v>
      </c>
      <c r="O10" s="1092"/>
      <c r="P10" s="1086"/>
      <c r="Q10" s="1094">
        <v>174.1</v>
      </c>
    </row>
    <row r="11" spans="1:17" ht="18.75" thickBot="1" x14ac:dyDescent="0.3">
      <c r="A11" s="1168" t="s">
        <v>697</v>
      </c>
      <c r="B11" s="1138" t="s">
        <v>698</v>
      </c>
      <c r="C11" s="1175"/>
      <c r="D11" s="1111"/>
      <c r="E11" s="1111"/>
      <c r="F11" s="1111"/>
      <c r="G11" s="1111"/>
      <c r="H11" s="1111"/>
      <c r="I11" s="1111"/>
      <c r="J11" s="1111"/>
      <c r="K11" s="1154"/>
      <c r="M11" s="1096" t="s">
        <v>699</v>
      </c>
      <c r="N11" s="1203" t="s">
        <v>687</v>
      </c>
      <c r="O11" s="1092"/>
      <c r="P11" s="1086"/>
      <c r="Q11" s="1094">
        <v>195.9</v>
      </c>
    </row>
    <row r="12" spans="1:17" ht="16.5" thickBot="1" x14ac:dyDescent="0.3">
      <c r="A12" s="1169" t="s">
        <v>700</v>
      </c>
      <c r="B12" s="1142" t="s">
        <v>701</v>
      </c>
      <c r="C12" s="1177" t="s">
        <v>702</v>
      </c>
      <c r="D12" s="1146"/>
      <c r="E12" s="1124"/>
      <c r="F12" s="1124"/>
      <c r="G12" s="1124"/>
      <c r="H12" s="1124"/>
      <c r="I12" s="1124"/>
      <c r="J12" s="1124"/>
      <c r="K12" s="1125"/>
      <c r="L12" s="1097"/>
      <c r="M12" s="1096" t="s">
        <v>703</v>
      </c>
      <c r="N12" s="1203" t="s">
        <v>687</v>
      </c>
      <c r="O12" s="1092"/>
      <c r="P12" s="1086"/>
      <c r="Q12" s="1094">
        <v>216.3</v>
      </c>
    </row>
    <row r="13" spans="1:17" ht="18" x14ac:dyDescent="0.25">
      <c r="A13" s="1166" t="s">
        <v>704</v>
      </c>
      <c r="B13" s="1584" t="s">
        <v>705</v>
      </c>
      <c r="C13" s="1584" t="s">
        <v>28</v>
      </c>
      <c r="D13" s="1126"/>
      <c r="E13" s="1126"/>
      <c r="F13" s="1126"/>
      <c r="G13" s="1147"/>
      <c r="H13" s="1126"/>
      <c r="I13" s="1126"/>
      <c r="J13" s="1126"/>
      <c r="K13" s="1114"/>
      <c r="L13" s="1097"/>
      <c r="M13" s="1096" t="s">
        <v>706</v>
      </c>
      <c r="N13" s="1203" t="s">
        <v>687</v>
      </c>
      <c r="O13" s="1092"/>
      <c r="P13" s="1086"/>
      <c r="Q13" s="1094">
        <v>234.8</v>
      </c>
    </row>
    <row r="14" spans="1:17" ht="18" x14ac:dyDescent="0.25">
      <c r="A14" s="1170" t="s">
        <v>707</v>
      </c>
      <c r="B14" s="1580"/>
      <c r="C14" s="1580"/>
      <c r="D14" s="1183"/>
      <c r="E14" s="1113"/>
      <c r="F14" s="1113"/>
      <c r="G14" s="1113"/>
      <c r="H14" s="1183"/>
      <c r="I14" s="1113"/>
      <c r="J14" s="1113"/>
      <c r="K14" s="1115"/>
      <c r="L14" s="1097"/>
      <c r="M14" s="1098" t="s">
        <v>708</v>
      </c>
      <c r="N14" s="1203" t="s">
        <v>687</v>
      </c>
      <c r="O14" s="1092"/>
      <c r="P14" s="1086"/>
      <c r="Q14" s="1094">
        <v>252</v>
      </c>
    </row>
    <row r="15" spans="1:17" ht="18" x14ac:dyDescent="0.25">
      <c r="A15" s="1170" t="s">
        <v>709</v>
      </c>
      <c r="B15" s="1580"/>
      <c r="C15" s="1580"/>
      <c r="D15" s="1113"/>
      <c r="E15" s="1113"/>
      <c r="F15" s="1113"/>
      <c r="G15" s="1113"/>
      <c r="H15" s="1113"/>
      <c r="I15" s="1113"/>
      <c r="J15" s="1113"/>
      <c r="K15" s="1115"/>
      <c r="L15" s="1099"/>
      <c r="M15" s="1096" t="s">
        <v>710</v>
      </c>
      <c r="N15" s="1203" t="s">
        <v>687</v>
      </c>
      <c r="O15" s="1092"/>
      <c r="P15" s="1086"/>
      <c r="Q15" s="1094">
        <v>267</v>
      </c>
    </row>
    <row r="16" spans="1:17" ht="18" x14ac:dyDescent="0.25">
      <c r="A16" s="1170" t="s">
        <v>711</v>
      </c>
      <c r="B16" s="1580"/>
      <c r="C16" s="1580"/>
      <c r="D16" s="1113"/>
      <c r="E16" s="1113"/>
      <c r="F16" s="1113"/>
      <c r="G16" s="1113"/>
      <c r="H16" s="1113"/>
      <c r="I16" s="1113"/>
      <c r="J16" s="1183"/>
      <c r="K16" s="1235"/>
      <c r="L16" s="1099"/>
      <c r="M16" s="1100" t="s">
        <v>712</v>
      </c>
      <c r="N16" s="1203" t="s">
        <v>687</v>
      </c>
      <c r="O16" s="1092"/>
      <c r="P16" s="1086"/>
      <c r="Q16" s="1094">
        <v>287</v>
      </c>
    </row>
    <row r="17" spans="1:17" ht="18.75" thickBot="1" x14ac:dyDescent="0.3">
      <c r="A17" s="1170" t="s">
        <v>836</v>
      </c>
      <c r="B17" s="1580"/>
      <c r="C17" s="1580"/>
      <c r="D17" s="1113"/>
      <c r="E17" s="1113"/>
      <c r="F17" s="1113"/>
      <c r="G17" s="1113"/>
      <c r="H17" s="1113"/>
      <c r="I17" s="1113"/>
      <c r="J17" s="1113"/>
      <c r="K17" s="1247"/>
      <c r="L17" s="1097"/>
      <c r="M17" s="1096" t="s">
        <v>714</v>
      </c>
      <c r="N17" s="1203" t="s">
        <v>687</v>
      </c>
      <c r="O17" s="1092"/>
      <c r="P17" s="1086"/>
    </row>
    <row r="18" spans="1:17" ht="16.5" thickBot="1" x14ac:dyDescent="0.3">
      <c r="A18" s="1594" t="s">
        <v>34</v>
      </c>
      <c r="B18" s="1585" t="s">
        <v>715</v>
      </c>
      <c r="C18" s="1174" t="s">
        <v>36</v>
      </c>
      <c r="D18" s="1188"/>
      <c r="E18" s="1126"/>
      <c r="F18" s="1126"/>
      <c r="G18" s="1126"/>
      <c r="H18" s="1126"/>
      <c r="I18" s="1126"/>
      <c r="J18" s="1252">
        <v>1.1830000000000001</v>
      </c>
      <c r="K18" s="1199">
        <v>2.323</v>
      </c>
      <c r="L18" s="1097"/>
      <c r="M18" s="1101" t="s">
        <v>716</v>
      </c>
      <c r="N18" s="1204" t="s">
        <v>687</v>
      </c>
      <c r="O18" s="1097"/>
      <c r="P18" s="1086"/>
    </row>
    <row r="19" spans="1:17" x14ac:dyDescent="0.25">
      <c r="A19" s="1595"/>
      <c r="B19" s="1579"/>
      <c r="C19" s="1176" t="s">
        <v>718</v>
      </c>
      <c r="D19" s="1184"/>
      <c r="E19" s="1183"/>
      <c r="F19" s="1113"/>
      <c r="G19" s="1183"/>
      <c r="H19" s="1183"/>
      <c r="I19" s="1113"/>
      <c r="J19" s="1184">
        <f>J18*10000</f>
        <v>11830</v>
      </c>
      <c r="K19" s="1184">
        <f>K18*10000</f>
        <v>23230</v>
      </c>
      <c r="L19" s="1097"/>
      <c r="M19" s="1102"/>
      <c r="N19" s="1097"/>
      <c r="O19" s="1220"/>
      <c r="P19" s="1086"/>
    </row>
    <row r="20" spans="1:17" ht="16.5" thickBot="1" x14ac:dyDescent="0.3">
      <c r="A20" s="1596"/>
      <c r="B20" s="1248" t="s">
        <v>717</v>
      </c>
      <c r="C20" s="1175" t="s">
        <v>718</v>
      </c>
      <c r="D20" s="1111"/>
      <c r="E20" s="1111"/>
      <c r="F20" s="1111"/>
      <c r="G20" s="1111"/>
      <c r="H20" s="1111"/>
      <c r="I20" s="1111"/>
      <c r="J20" s="1111"/>
      <c r="K20" s="1127"/>
      <c r="L20" s="1097"/>
      <c r="M20" s="1102"/>
      <c r="N20" s="1097"/>
      <c r="O20" s="1220"/>
      <c r="P20" s="1086"/>
    </row>
    <row r="21" spans="1:17" ht="16.5" thickBot="1" x14ac:dyDescent="0.3">
      <c r="A21" s="1169" t="s">
        <v>719</v>
      </c>
      <c r="B21" s="1151" t="s">
        <v>720</v>
      </c>
      <c r="C21" s="1177" t="s">
        <v>718</v>
      </c>
      <c r="D21" s="1152"/>
      <c r="E21" s="1124"/>
      <c r="F21" s="1124"/>
      <c r="G21" s="1152"/>
      <c r="H21" s="1152"/>
      <c r="I21" s="1124"/>
      <c r="J21" s="1124"/>
      <c r="K21" s="1125"/>
      <c r="L21" s="1097"/>
      <c r="M21" s="1597" t="s">
        <v>721</v>
      </c>
      <c r="N21" s="1598"/>
      <c r="O21" s="1097"/>
      <c r="P21" s="1086"/>
    </row>
    <row r="22" spans="1:17" ht="16.5" thickBot="1" x14ac:dyDescent="0.3">
      <c r="A22" s="1169" t="s">
        <v>722</v>
      </c>
      <c r="B22" s="1142" t="s">
        <v>723</v>
      </c>
      <c r="C22" s="1178" t="s">
        <v>724</v>
      </c>
      <c r="D22" s="1124"/>
      <c r="E22" s="1124"/>
      <c r="F22" s="1124"/>
      <c r="G22" s="1146"/>
      <c r="H22" s="1146"/>
      <c r="I22" s="1124"/>
      <c r="J22" s="1124"/>
      <c r="K22" s="1125"/>
      <c r="L22" s="1097"/>
      <c r="M22" s="1155" t="s">
        <v>827</v>
      </c>
      <c r="N22" s="1165" t="s">
        <v>725</v>
      </c>
      <c r="O22" s="1097"/>
      <c r="P22" s="1086"/>
      <c r="Q22" s="1103" t="s">
        <v>726</v>
      </c>
    </row>
    <row r="23" spans="1:17" x14ac:dyDescent="0.25">
      <c r="A23" s="1599" t="s">
        <v>727</v>
      </c>
      <c r="B23" s="1145" t="s">
        <v>728</v>
      </c>
      <c r="C23" s="1179" t="s">
        <v>724</v>
      </c>
      <c r="D23" s="1126"/>
      <c r="E23" s="1126"/>
      <c r="F23" s="1126"/>
      <c r="G23" s="1126"/>
      <c r="H23" s="1126"/>
      <c r="I23" s="1126"/>
      <c r="J23" s="1126"/>
      <c r="K23" s="1114"/>
      <c r="L23" s="1097"/>
      <c r="M23" s="1200" t="s">
        <v>729</v>
      </c>
      <c r="N23" s="1205" t="s">
        <v>687</v>
      </c>
      <c r="O23" s="1097"/>
      <c r="P23" s="1086"/>
      <c r="Q23" s="1103" t="s">
        <v>730</v>
      </c>
    </row>
    <row r="24" spans="1:17" ht="16.5" thickBot="1" x14ac:dyDescent="0.3">
      <c r="A24" s="1600"/>
      <c r="B24" s="1138" t="s">
        <v>731</v>
      </c>
      <c r="C24" s="1180" t="s">
        <v>724</v>
      </c>
      <c r="D24" s="1111"/>
      <c r="E24" s="1111"/>
      <c r="F24" s="1111"/>
      <c r="G24" s="1148"/>
      <c r="H24" s="1148"/>
      <c r="I24" s="1111"/>
      <c r="J24" s="1111"/>
      <c r="K24" s="1127"/>
      <c r="L24" s="1097"/>
      <c r="M24" s="1104" t="s">
        <v>732</v>
      </c>
      <c r="N24" s="1206" t="s">
        <v>687</v>
      </c>
      <c r="O24" s="1097"/>
      <c r="P24" s="1086"/>
      <c r="Q24" s="1103" t="s">
        <v>733</v>
      </c>
    </row>
    <row r="25" spans="1:17" x14ac:dyDescent="0.25">
      <c r="A25" s="1594" t="s">
        <v>734</v>
      </c>
      <c r="B25" s="1143" t="s">
        <v>735</v>
      </c>
      <c r="C25" s="1584" t="s">
        <v>736</v>
      </c>
      <c r="D25" s="1126"/>
      <c r="E25" s="1126"/>
      <c r="F25" s="1126"/>
      <c r="G25" s="1132"/>
      <c r="H25" s="1132"/>
      <c r="I25" s="1126"/>
      <c r="J25" s="1126"/>
      <c r="K25" s="1114"/>
      <c r="L25" s="1105"/>
      <c r="M25" s="1104" t="s">
        <v>737</v>
      </c>
      <c r="N25" s="1206" t="s">
        <v>687</v>
      </c>
      <c r="O25" s="1097"/>
      <c r="P25" s="1086"/>
      <c r="Q25" s="1103" t="s">
        <v>738</v>
      </c>
    </row>
    <row r="26" spans="1:17" ht="16.5" thickBot="1" x14ac:dyDescent="0.3">
      <c r="A26" s="1596"/>
      <c r="B26" s="1144" t="s">
        <v>739</v>
      </c>
      <c r="C26" s="1582"/>
      <c r="D26" s="1149"/>
      <c r="E26" s="1128"/>
      <c r="F26" s="1128"/>
      <c r="G26" s="1128"/>
      <c r="H26" s="1128"/>
      <c r="I26" s="1149"/>
      <c r="J26" s="1149"/>
      <c r="K26" s="1150"/>
      <c r="L26" s="1097"/>
      <c r="M26" s="1104" t="s">
        <v>740</v>
      </c>
      <c r="N26" s="1206" t="s">
        <v>687</v>
      </c>
      <c r="O26" s="1097"/>
      <c r="P26" s="1086"/>
      <c r="Q26" s="1103" t="s">
        <v>741</v>
      </c>
    </row>
    <row r="27" spans="1:17" x14ac:dyDescent="0.25">
      <c r="A27" s="1166" t="s">
        <v>39</v>
      </c>
      <c r="B27" s="1174" t="s">
        <v>41</v>
      </c>
      <c r="C27" s="1174" t="s">
        <v>718</v>
      </c>
      <c r="D27" s="1188"/>
      <c r="E27" s="1188"/>
      <c r="F27" s="1226"/>
      <c r="G27" s="1188"/>
      <c r="H27" s="1192"/>
      <c r="I27" s="1126"/>
      <c r="J27" s="1188">
        <v>3192</v>
      </c>
      <c r="K27" s="1254">
        <v>3613</v>
      </c>
      <c r="L27" s="1097"/>
      <c r="M27" s="1104" t="s">
        <v>743</v>
      </c>
      <c r="N27" s="1206" t="s">
        <v>687</v>
      </c>
      <c r="O27" s="1097"/>
      <c r="P27" s="1086"/>
      <c r="Q27" s="1103" t="s">
        <v>744</v>
      </c>
    </row>
    <row r="28" spans="1:17" ht="16.5" thickBot="1" x14ac:dyDescent="0.3">
      <c r="A28" s="1167" t="s">
        <v>745</v>
      </c>
      <c r="B28" s="1144" t="s">
        <v>746</v>
      </c>
      <c r="C28" s="1175" t="s">
        <v>718</v>
      </c>
      <c r="D28" s="1149"/>
      <c r="E28" s="1129"/>
      <c r="F28" s="1129"/>
      <c r="G28" s="1129"/>
      <c r="H28" s="1129"/>
      <c r="I28" s="1129"/>
      <c r="J28" s="1149"/>
      <c r="K28" s="1127"/>
      <c r="L28" s="1097"/>
      <c r="M28" s="1104" t="s">
        <v>747</v>
      </c>
      <c r="N28" s="1206" t="s">
        <v>687</v>
      </c>
      <c r="O28" s="1097"/>
      <c r="P28" s="1086"/>
      <c r="Q28" s="1103" t="s">
        <v>748</v>
      </c>
    </row>
    <row r="29" spans="1:17" x14ac:dyDescent="0.25">
      <c r="A29" s="1236" t="s">
        <v>106</v>
      </c>
      <c r="B29" s="1588" t="s">
        <v>43</v>
      </c>
      <c r="C29" s="1237" t="s">
        <v>36</v>
      </c>
      <c r="D29" s="1238"/>
      <c r="E29" s="1233"/>
      <c r="F29" s="1233"/>
      <c r="G29" s="1233"/>
      <c r="H29" s="1233"/>
      <c r="I29" s="1233"/>
      <c r="J29" s="1485">
        <v>88.72</v>
      </c>
      <c r="K29" s="1484">
        <v>88.95</v>
      </c>
      <c r="L29" s="1097"/>
      <c r="M29" s="1104" t="s">
        <v>751</v>
      </c>
      <c r="N29" s="1206" t="s">
        <v>687</v>
      </c>
      <c r="O29" s="1097"/>
      <c r="P29" s="1086"/>
      <c r="Q29" s="1103" t="s">
        <v>752</v>
      </c>
    </row>
    <row r="30" spans="1:17" x14ac:dyDescent="0.25">
      <c r="A30" s="1230" t="s">
        <v>107</v>
      </c>
      <c r="B30" s="1589"/>
      <c r="C30" s="1231" t="s">
        <v>36</v>
      </c>
      <c r="D30" s="1239"/>
      <c r="E30" s="1234"/>
      <c r="F30" s="1234"/>
      <c r="G30" s="1234"/>
      <c r="H30" s="1234"/>
      <c r="I30" s="1234"/>
      <c r="J30" s="1183">
        <v>11.25</v>
      </c>
      <c r="K30" s="1247">
        <v>10.02</v>
      </c>
      <c r="L30" s="1097"/>
      <c r="M30" s="1104" t="s">
        <v>755</v>
      </c>
      <c r="N30" s="1206" t="s">
        <v>687</v>
      </c>
      <c r="O30" s="1097"/>
      <c r="P30" s="1086"/>
      <c r="Q30" s="1103"/>
    </row>
    <row r="31" spans="1:17" ht="32.25" thickBot="1" x14ac:dyDescent="0.3">
      <c r="A31" s="1240" t="s">
        <v>156</v>
      </c>
      <c r="B31" s="1590"/>
      <c r="C31" s="1241" t="s">
        <v>36</v>
      </c>
      <c r="D31" s="1242"/>
      <c r="E31" s="1232"/>
      <c r="F31" s="1232"/>
      <c r="G31" s="1232"/>
      <c r="H31" s="1232"/>
      <c r="I31" s="1232"/>
      <c r="J31" s="1487">
        <v>22.96</v>
      </c>
      <c r="K31" s="1489">
        <v>25.46</v>
      </c>
      <c r="L31" s="1488" t="s">
        <v>869</v>
      </c>
      <c r="M31" s="1104" t="s">
        <v>757</v>
      </c>
      <c r="N31" s="1206" t="s">
        <v>687</v>
      </c>
      <c r="O31" s="1097"/>
      <c r="P31" s="1086"/>
      <c r="Q31" s="1103"/>
    </row>
    <row r="32" spans="1:17" ht="16.5" thickBot="1" x14ac:dyDescent="0.3">
      <c r="A32" s="1169" t="s">
        <v>749</v>
      </c>
      <c r="B32" s="1142" t="s">
        <v>750</v>
      </c>
      <c r="C32" s="1178" t="s">
        <v>724</v>
      </c>
      <c r="D32" s="1146"/>
      <c r="E32" s="1124"/>
      <c r="F32" s="1124"/>
      <c r="G32" s="1124"/>
      <c r="H32" s="1124"/>
      <c r="I32" s="1124"/>
      <c r="J32" s="1124"/>
      <c r="K32" s="1125"/>
      <c r="L32" s="1097"/>
      <c r="M32" s="1104" t="s">
        <v>759</v>
      </c>
      <c r="N32" s="1206" t="s">
        <v>687</v>
      </c>
      <c r="O32" s="1097"/>
      <c r="P32" s="1086"/>
      <c r="Q32" s="1103"/>
    </row>
    <row r="33" spans="1:17" x14ac:dyDescent="0.25">
      <c r="A33" s="1166" t="s">
        <v>753</v>
      </c>
      <c r="B33" s="1584" t="s">
        <v>760</v>
      </c>
      <c r="C33" s="1584" t="s">
        <v>718</v>
      </c>
      <c r="D33" s="1126"/>
      <c r="E33" s="1126"/>
      <c r="F33" s="1126"/>
      <c r="G33" s="1126"/>
      <c r="H33" s="1192"/>
      <c r="I33" s="1126"/>
      <c r="J33" s="1188">
        <v>0.15</v>
      </c>
      <c r="K33" s="1254">
        <v>29.65</v>
      </c>
      <c r="L33" s="1097"/>
      <c r="M33" s="1104" t="s">
        <v>761</v>
      </c>
      <c r="N33" s="1206" t="s">
        <v>687</v>
      </c>
      <c r="O33" s="1097"/>
      <c r="P33" s="1086"/>
      <c r="Q33" s="1103" t="s">
        <v>762</v>
      </c>
    </row>
    <row r="34" spans="1:17" x14ac:dyDescent="0.25">
      <c r="A34" s="1170" t="s">
        <v>756</v>
      </c>
      <c r="B34" s="1580"/>
      <c r="C34" s="1580"/>
      <c r="D34" s="1113"/>
      <c r="E34" s="1113"/>
      <c r="F34" s="1113"/>
      <c r="G34" s="1113"/>
      <c r="H34" s="1184"/>
      <c r="I34" s="1113"/>
      <c r="J34" s="1183">
        <v>0.48</v>
      </c>
      <c r="K34" s="1247">
        <v>10.28</v>
      </c>
      <c r="L34" s="1097"/>
      <c r="M34" s="1104" t="s">
        <v>763</v>
      </c>
      <c r="N34" s="1206" t="s">
        <v>687</v>
      </c>
      <c r="O34" s="1097"/>
      <c r="P34" s="1086"/>
      <c r="Q34" s="1103" t="s">
        <v>764</v>
      </c>
    </row>
    <row r="35" spans="1:17" x14ac:dyDescent="0.25">
      <c r="A35" s="1171" t="s">
        <v>758</v>
      </c>
      <c r="B35" s="1581"/>
      <c r="C35" s="1581"/>
      <c r="D35" s="1130"/>
      <c r="E35" s="1130"/>
      <c r="F35" s="1130"/>
      <c r="G35" s="1130"/>
      <c r="H35" s="1130"/>
      <c r="I35" s="1130"/>
      <c r="J35" s="1189">
        <v>28.04</v>
      </c>
      <c r="K35" s="1473">
        <v>33.25</v>
      </c>
      <c r="L35" s="1097"/>
      <c r="M35" s="1104" t="s">
        <v>765</v>
      </c>
      <c r="N35" s="1206" t="s">
        <v>687</v>
      </c>
      <c r="O35" s="1097"/>
      <c r="P35" s="1086"/>
      <c r="Q35" s="1103" t="s">
        <v>766</v>
      </c>
    </row>
    <row r="36" spans="1:17" x14ac:dyDescent="0.25">
      <c r="A36" s="1171" t="s">
        <v>857</v>
      </c>
      <c r="B36" s="1181"/>
      <c r="C36" s="1181"/>
      <c r="D36" s="1130"/>
      <c r="E36" s="1130"/>
      <c r="F36" s="1130"/>
      <c r="G36" s="1130"/>
      <c r="H36" s="1130"/>
      <c r="I36" s="1130"/>
      <c r="J36" s="1189">
        <v>2.16</v>
      </c>
      <c r="K36" s="1473">
        <v>11.7</v>
      </c>
      <c r="L36" s="1097"/>
      <c r="M36" s="1104" t="s">
        <v>770</v>
      </c>
      <c r="N36" s="1206" t="s">
        <v>687</v>
      </c>
      <c r="O36" s="1097"/>
      <c r="P36" s="1086"/>
      <c r="Q36" s="1103"/>
    </row>
    <row r="37" spans="1:17" x14ac:dyDescent="0.25">
      <c r="A37" s="1171" t="s">
        <v>858</v>
      </c>
      <c r="B37" s="1181"/>
      <c r="C37" s="1181"/>
      <c r="D37" s="1130"/>
      <c r="E37" s="1130"/>
      <c r="F37" s="1130"/>
      <c r="G37" s="1130"/>
      <c r="H37" s="1130"/>
      <c r="I37" s="1130"/>
      <c r="J37" s="1189">
        <v>22.62</v>
      </c>
      <c r="K37" s="1473">
        <v>11.05</v>
      </c>
      <c r="L37" s="1097"/>
      <c r="M37" s="1104" t="s">
        <v>773</v>
      </c>
      <c r="N37" s="1206" t="s">
        <v>687</v>
      </c>
      <c r="O37" s="1097"/>
      <c r="P37" s="1086"/>
      <c r="Q37" s="1103" t="s">
        <v>771</v>
      </c>
    </row>
    <row r="38" spans="1:17" ht="16.5" thickBot="1" x14ac:dyDescent="0.3">
      <c r="A38" s="1171" t="s">
        <v>767</v>
      </c>
      <c r="B38" s="1181"/>
      <c r="C38" s="1181"/>
      <c r="D38" s="1130"/>
      <c r="E38" s="1130"/>
      <c r="F38" s="1130"/>
      <c r="G38" s="1130"/>
      <c r="H38" s="1191"/>
      <c r="I38" s="1130"/>
      <c r="J38" s="1133"/>
      <c r="K38" s="1135"/>
      <c r="L38" s="1097"/>
      <c r="M38" s="1104" t="s">
        <v>776</v>
      </c>
      <c r="N38" s="1206" t="s">
        <v>687</v>
      </c>
      <c r="O38" s="1097"/>
      <c r="P38" s="1086"/>
      <c r="Q38" s="1103" t="s">
        <v>774</v>
      </c>
    </row>
    <row r="39" spans="1:17" x14ac:dyDescent="0.25">
      <c r="A39" s="1166" t="s">
        <v>768</v>
      </c>
      <c r="B39" s="1591" t="s">
        <v>769</v>
      </c>
      <c r="C39" s="1585" t="s">
        <v>36</v>
      </c>
      <c r="D39" s="1126"/>
      <c r="E39" s="1221"/>
      <c r="F39" s="1227"/>
      <c r="G39" s="1126"/>
      <c r="H39" s="1126"/>
      <c r="I39" s="1126"/>
      <c r="J39" s="1126"/>
      <c r="K39" s="1114"/>
      <c r="L39" s="1097"/>
      <c r="M39" s="1104" t="s">
        <v>779</v>
      </c>
      <c r="N39" s="1206" t="s">
        <v>687</v>
      </c>
      <c r="O39" s="1097"/>
      <c r="P39" s="1086"/>
      <c r="Q39" s="1103" t="s">
        <v>777</v>
      </c>
    </row>
    <row r="40" spans="1:17" x14ac:dyDescent="0.25">
      <c r="A40" s="1170" t="s">
        <v>772</v>
      </c>
      <c r="B40" s="1592"/>
      <c r="C40" s="1586"/>
      <c r="D40" s="1113"/>
      <c r="E40" s="1222"/>
      <c r="F40" s="1228"/>
      <c r="G40" s="1113"/>
      <c r="H40" s="1113"/>
      <c r="I40" s="1113"/>
      <c r="J40" s="1113"/>
      <c r="K40" s="1115"/>
      <c r="L40" s="1097"/>
      <c r="M40" s="1104" t="s">
        <v>782</v>
      </c>
      <c r="N40" s="1206" t="s">
        <v>687</v>
      </c>
      <c r="O40" s="1097"/>
      <c r="P40" s="1086"/>
      <c r="Q40" s="1103" t="s">
        <v>780</v>
      </c>
    </row>
    <row r="41" spans="1:17" x14ac:dyDescent="0.25">
      <c r="A41" s="1170" t="s">
        <v>775</v>
      </c>
      <c r="B41" s="1592"/>
      <c r="C41" s="1586"/>
      <c r="D41" s="1113"/>
      <c r="E41" s="1222"/>
      <c r="F41" s="1228"/>
      <c r="G41" s="1113"/>
      <c r="H41" s="1113"/>
      <c r="I41" s="1113"/>
      <c r="J41" s="1113"/>
      <c r="K41" s="1115"/>
      <c r="L41" s="1097"/>
      <c r="M41" s="1106" t="s">
        <v>786</v>
      </c>
      <c r="N41" s="1206" t="s">
        <v>687</v>
      </c>
      <c r="O41" s="1097"/>
      <c r="P41" s="1086"/>
      <c r="Q41" s="1103" t="s">
        <v>783</v>
      </c>
    </row>
    <row r="42" spans="1:17" x14ac:dyDescent="0.25">
      <c r="A42" s="1170" t="s">
        <v>778</v>
      </c>
      <c r="B42" s="1592"/>
      <c r="C42" s="1586"/>
      <c r="D42" s="1113"/>
      <c r="E42" s="1222"/>
      <c r="F42" s="1228"/>
      <c r="G42" s="1113"/>
      <c r="H42" s="1113"/>
      <c r="I42" s="1113"/>
      <c r="J42" s="1113"/>
      <c r="K42" s="1115"/>
      <c r="L42" s="1097"/>
      <c r="M42" s="1107" t="s">
        <v>788</v>
      </c>
      <c r="N42" s="1206" t="s">
        <v>687</v>
      </c>
      <c r="O42" s="1097"/>
      <c r="P42" s="1086"/>
      <c r="Q42" s="1103" t="s">
        <v>774</v>
      </c>
    </row>
    <row r="43" spans="1:17" ht="16.5" thickBot="1" x14ac:dyDescent="0.3">
      <c r="A43" s="1167" t="s">
        <v>781</v>
      </c>
      <c r="B43" s="1593"/>
      <c r="C43" s="1587"/>
      <c r="D43" s="1111"/>
      <c r="E43" s="1223"/>
      <c r="F43" s="1229"/>
      <c r="G43" s="1111"/>
      <c r="H43" s="1111"/>
      <c r="I43" s="1111"/>
      <c r="J43" s="1111"/>
      <c r="K43" s="1127"/>
      <c r="L43" s="1097"/>
      <c r="M43" s="1107" t="s">
        <v>792</v>
      </c>
      <c r="N43" s="1206" t="s">
        <v>687</v>
      </c>
      <c r="O43" s="1097"/>
      <c r="P43" s="1086"/>
      <c r="Q43" s="1103" t="s">
        <v>789</v>
      </c>
    </row>
    <row r="44" spans="1:17" ht="16.5" thickBot="1" x14ac:dyDescent="0.3">
      <c r="A44" s="1172" t="s">
        <v>784</v>
      </c>
      <c r="B44" s="1575" t="s">
        <v>785</v>
      </c>
      <c r="C44" s="1579" t="s">
        <v>36</v>
      </c>
      <c r="D44" s="1131"/>
      <c r="E44" s="1131"/>
      <c r="F44" s="1131"/>
      <c r="G44" s="1156"/>
      <c r="H44" s="1156"/>
      <c r="I44" s="1131"/>
      <c r="J44" s="1131"/>
      <c r="K44" s="1134"/>
      <c r="L44" s="1097"/>
      <c r="M44" s="1201" t="s">
        <v>796</v>
      </c>
      <c r="N44" s="1138" t="s">
        <v>687</v>
      </c>
      <c r="O44" s="1097"/>
      <c r="P44" s="1086"/>
      <c r="Q44" s="1103"/>
    </row>
    <row r="45" spans="1:17" x14ac:dyDescent="0.25">
      <c r="A45" s="1170" t="s">
        <v>787</v>
      </c>
      <c r="B45" s="1576"/>
      <c r="C45" s="1580"/>
      <c r="D45" s="1113"/>
      <c r="E45" s="1113"/>
      <c r="F45" s="1113"/>
      <c r="G45" s="1140"/>
      <c r="H45" s="1140"/>
      <c r="I45" s="1113"/>
      <c r="J45" s="1113"/>
      <c r="K45" s="1115"/>
      <c r="L45" s="1097"/>
      <c r="M45" s="1102"/>
      <c r="N45" s="1097"/>
      <c r="O45" s="1097"/>
      <c r="P45" s="1086"/>
      <c r="Q45" s="1103" t="s">
        <v>793</v>
      </c>
    </row>
    <row r="46" spans="1:17" x14ac:dyDescent="0.25">
      <c r="A46" s="1171" t="s">
        <v>790</v>
      </c>
      <c r="B46" s="1577"/>
      <c r="C46" s="1581"/>
      <c r="D46" s="1130"/>
      <c r="E46" s="1130"/>
      <c r="F46" s="1130"/>
      <c r="G46" s="1130"/>
      <c r="H46" s="1140"/>
      <c r="I46" s="1130"/>
      <c r="J46" s="1130"/>
      <c r="K46" s="1135"/>
      <c r="M46" s="1102"/>
      <c r="N46" s="1097"/>
      <c r="O46" s="1089"/>
      <c r="P46" s="1086"/>
      <c r="Q46" s="1103" t="s">
        <v>793</v>
      </c>
    </row>
    <row r="47" spans="1:17" ht="16.5" thickBot="1" x14ac:dyDescent="0.3">
      <c r="A47" s="1167" t="s">
        <v>791</v>
      </c>
      <c r="B47" s="1578"/>
      <c r="C47" s="1582"/>
      <c r="D47" s="1111"/>
      <c r="E47" s="1111"/>
      <c r="F47" s="1111"/>
      <c r="G47" s="1141"/>
      <c r="H47" s="1141"/>
      <c r="I47" s="1111"/>
      <c r="J47" s="1111"/>
      <c r="K47" s="1127"/>
      <c r="M47" s="1102"/>
      <c r="N47" s="1097"/>
      <c r="O47" s="1089"/>
      <c r="P47" s="1086"/>
      <c r="Q47" s="1103" t="s">
        <v>798</v>
      </c>
    </row>
    <row r="48" spans="1:17" x14ac:dyDescent="0.25">
      <c r="A48" s="1166" t="s">
        <v>794</v>
      </c>
      <c r="B48" s="1583" t="s">
        <v>795</v>
      </c>
      <c r="C48" s="1584" t="s">
        <v>718</v>
      </c>
      <c r="D48" s="1147"/>
      <c r="E48" s="1147"/>
      <c r="F48" s="1226"/>
      <c r="G48" s="1126"/>
      <c r="H48" s="1126"/>
      <c r="I48" s="1126"/>
      <c r="J48" s="1126"/>
      <c r="K48" s="1114"/>
      <c r="M48" s="1102"/>
      <c r="N48" s="1097"/>
      <c r="O48" s="1089"/>
      <c r="P48" s="1086"/>
    </row>
    <row r="49" spans="1:22" ht="16.5" thickBot="1" x14ac:dyDescent="0.3">
      <c r="A49" s="1167" t="s">
        <v>797</v>
      </c>
      <c r="B49" s="1578"/>
      <c r="C49" s="1582"/>
      <c r="D49" s="1111"/>
      <c r="E49" s="1111"/>
      <c r="F49" s="1111"/>
      <c r="G49" s="1111"/>
      <c r="H49" s="1111"/>
      <c r="I49" s="1111"/>
      <c r="K49" s="1127"/>
      <c r="M49" s="1102"/>
      <c r="N49" s="1097"/>
      <c r="O49" s="1089"/>
      <c r="P49" s="1086"/>
    </row>
    <row r="50" spans="1:22" x14ac:dyDescent="0.25">
      <c r="A50" s="1172" t="s">
        <v>799</v>
      </c>
      <c r="B50" s="1136" t="s">
        <v>800</v>
      </c>
      <c r="C50" s="1182" t="s">
        <v>36</v>
      </c>
      <c r="D50" s="1131"/>
      <c r="E50" s="1131"/>
      <c r="F50" s="1131"/>
      <c r="G50" s="1131"/>
      <c r="H50" s="1131"/>
      <c r="I50" s="1131"/>
      <c r="J50" s="1244"/>
      <c r="K50" s="1474"/>
      <c r="M50" s="1102"/>
      <c r="N50" s="1097"/>
      <c r="O50" s="1089"/>
      <c r="P50" s="1086"/>
    </row>
    <row r="51" spans="1:22" s="1086" customFormat="1" x14ac:dyDescent="0.25">
      <c r="A51" s="1170" t="s">
        <v>801</v>
      </c>
      <c r="B51" s="1176" t="s">
        <v>77</v>
      </c>
      <c r="C51" s="1182" t="s">
        <v>36</v>
      </c>
      <c r="D51" s="1113"/>
      <c r="E51" s="1113"/>
      <c r="F51" s="1113"/>
      <c r="G51" s="1113"/>
      <c r="H51" s="1113"/>
      <c r="I51" s="1113"/>
      <c r="J51" s="1486">
        <v>5.8999999999999997E-2</v>
      </c>
      <c r="K51" s="1185">
        <v>21.58</v>
      </c>
      <c r="L51" s="1089"/>
      <c r="M51" s="1089"/>
      <c r="N51" s="1089"/>
      <c r="O51" s="1089"/>
      <c r="Q51" s="1087"/>
      <c r="R51" s="1087"/>
      <c r="S51" s="1087"/>
      <c r="T51" s="1087"/>
      <c r="U51" s="1087"/>
      <c r="V51" s="1087"/>
    </row>
    <row r="52" spans="1:22" s="1086" customFormat="1" x14ac:dyDescent="0.25">
      <c r="A52" s="1173" t="s">
        <v>802</v>
      </c>
      <c r="B52" s="1176" t="s">
        <v>803</v>
      </c>
      <c r="C52" s="1176" t="s">
        <v>36</v>
      </c>
      <c r="D52" s="1184"/>
      <c r="E52" s="1113"/>
      <c r="F52" s="1113"/>
      <c r="G52" s="1113"/>
      <c r="H52" s="1113"/>
      <c r="I52" s="1113"/>
      <c r="J52" s="1486">
        <v>4.8000000000000001E-2</v>
      </c>
      <c r="K52" s="1185">
        <v>9.6999999999999993</v>
      </c>
      <c r="L52" s="1089"/>
      <c r="M52" s="1089"/>
      <c r="N52" s="1089"/>
      <c r="O52" s="1089"/>
      <c r="Q52" s="1087"/>
      <c r="R52" s="1087"/>
      <c r="S52" s="1087"/>
      <c r="T52" s="1087"/>
      <c r="U52" s="1087"/>
      <c r="V52" s="1087"/>
    </row>
    <row r="53" spans="1:22" s="1086" customFormat="1" x14ac:dyDescent="0.25">
      <c r="A53" s="1170" t="s">
        <v>80</v>
      </c>
      <c r="B53" s="1176" t="s">
        <v>805</v>
      </c>
      <c r="C53" s="1176" t="s">
        <v>36</v>
      </c>
      <c r="D53" s="1184"/>
      <c r="E53" s="1113"/>
      <c r="F53" s="1113"/>
      <c r="G53" s="1113"/>
      <c r="H53" s="1113"/>
      <c r="I53" s="1113"/>
      <c r="J53" s="1183">
        <v>0.93</v>
      </c>
      <c r="K53" s="1185">
        <v>32.4</v>
      </c>
      <c r="L53" s="1089"/>
      <c r="M53" s="1089"/>
      <c r="N53" s="1089"/>
      <c r="O53" s="1089"/>
      <c r="Q53" s="1087"/>
      <c r="R53" s="1087"/>
      <c r="S53" s="1087"/>
      <c r="T53" s="1087"/>
      <c r="U53" s="1087"/>
      <c r="V53" s="1087"/>
    </row>
    <row r="54" spans="1:22" s="1086" customFormat="1" ht="16.5" thickBot="1" x14ac:dyDescent="0.3">
      <c r="A54" s="1171" t="s">
        <v>832</v>
      </c>
      <c r="B54" s="1251" t="s">
        <v>83</v>
      </c>
      <c r="C54" s="1251" t="s">
        <v>718</v>
      </c>
      <c r="D54" s="1191"/>
      <c r="E54" s="1130"/>
      <c r="F54" s="1191"/>
      <c r="G54" s="1130"/>
      <c r="H54" s="1130"/>
      <c r="I54" s="1191"/>
      <c r="J54" s="1133"/>
      <c r="K54" s="1243"/>
      <c r="L54" s="1089"/>
      <c r="M54" s="1089"/>
      <c r="N54" s="1089"/>
      <c r="O54" s="1089"/>
      <c r="Q54" s="1087"/>
      <c r="R54" s="1087"/>
      <c r="S54" s="1087"/>
      <c r="T54" s="1087"/>
      <c r="U54" s="1087"/>
      <c r="V54" s="1087"/>
    </row>
    <row r="55" spans="1:22" s="1086" customFormat="1" x14ac:dyDescent="0.25">
      <c r="A55" s="1166" t="s">
        <v>64</v>
      </c>
      <c r="B55" s="1585" t="s">
        <v>63</v>
      </c>
      <c r="C55" s="1174" t="s">
        <v>55</v>
      </c>
      <c r="D55" s="1192"/>
      <c r="E55" s="1126"/>
      <c r="F55" s="1192"/>
      <c r="G55" s="1126"/>
      <c r="H55" s="1126"/>
      <c r="I55" s="1192"/>
      <c r="J55" s="1188">
        <v>0</v>
      </c>
      <c r="K55" s="1199">
        <v>0</v>
      </c>
      <c r="L55" s="1089"/>
      <c r="M55" s="1089"/>
      <c r="N55" s="1089"/>
      <c r="O55" s="1089"/>
      <c r="Q55" s="1087"/>
      <c r="R55" s="1087"/>
      <c r="S55" s="1087"/>
      <c r="T55" s="1087"/>
      <c r="U55" s="1087"/>
      <c r="V55" s="1087"/>
    </row>
    <row r="56" spans="1:22" s="1086" customFormat="1" x14ac:dyDescent="0.25">
      <c r="A56" s="1170" t="s">
        <v>65</v>
      </c>
      <c r="B56" s="1586"/>
      <c r="C56" s="1176" t="s">
        <v>55</v>
      </c>
      <c r="D56" s="1184"/>
      <c r="E56" s="1113"/>
      <c r="F56" s="1184"/>
      <c r="G56" s="1113"/>
      <c r="H56" s="1113"/>
      <c r="I56" s="1184"/>
      <c r="J56" s="1183">
        <v>25.5</v>
      </c>
      <c r="K56" s="1185">
        <v>68.8</v>
      </c>
      <c r="L56" s="1089"/>
      <c r="M56" s="1089"/>
      <c r="N56" s="1089"/>
      <c r="O56" s="1089"/>
      <c r="Q56" s="1087"/>
      <c r="R56" s="1087"/>
      <c r="S56" s="1087"/>
      <c r="T56" s="1087"/>
      <c r="U56" s="1087"/>
      <c r="V56" s="1087"/>
    </row>
    <row r="57" spans="1:22" s="1086" customFormat="1" x14ac:dyDescent="0.25">
      <c r="A57" s="1170" t="s">
        <v>66</v>
      </c>
      <c r="B57" s="1586"/>
      <c r="C57" s="1176" t="s">
        <v>55</v>
      </c>
      <c r="D57" s="1184"/>
      <c r="E57" s="1113"/>
      <c r="F57" s="1184"/>
      <c r="G57" s="1113"/>
      <c r="H57" s="1113"/>
      <c r="I57" s="1184"/>
      <c r="J57" s="1183">
        <v>73.900000000000006</v>
      </c>
      <c r="K57" s="1185">
        <v>12.9</v>
      </c>
      <c r="L57" s="1089"/>
      <c r="M57" s="1089"/>
      <c r="N57" s="1089"/>
      <c r="O57" s="1089"/>
      <c r="Q57" s="1087"/>
      <c r="R57" s="1087"/>
      <c r="S57" s="1087"/>
      <c r="T57" s="1087"/>
      <c r="U57" s="1087"/>
      <c r="V57" s="1087"/>
    </row>
    <row r="58" spans="1:22" s="1086" customFormat="1" ht="16.5" thickBot="1" x14ac:dyDescent="0.3">
      <c r="A58" s="1167" t="s">
        <v>67</v>
      </c>
      <c r="B58" s="1587"/>
      <c r="C58" s="1175" t="s">
        <v>55</v>
      </c>
      <c r="D58" s="1195"/>
      <c r="E58" s="1111"/>
      <c r="F58" s="1195"/>
      <c r="G58" s="1111"/>
      <c r="H58" s="1111"/>
      <c r="I58" s="1195"/>
      <c r="J58" s="1190">
        <v>0.6</v>
      </c>
      <c r="K58" s="1196">
        <v>18.3</v>
      </c>
      <c r="L58" s="1089"/>
      <c r="M58" s="1089"/>
      <c r="N58" s="1089"/>
      <c r="O58" s="1089"/>
      <c r="Q58" s="1087"/>
      <c r="R58" s="1087"/>
      <c r="S58" s="1087"/>
      <c r="T58" s="1087"/>
      <c r="U58" s="1087"/>
      <c r="V58" s="1087"/>
    </row>
    <row r="59" spans="1:22" s="1086" customFormat="1" x14ac:dyDescent="0.25">
      <c r="A59" s="1172" t="s">
        <v>806</v>
      </c>
      <c r="B59" s="1136" t="s">
        <v>807</v>
      </c>
      <c r="C59" s="1182" t="s">
        <v>36</v>
      </c>
      <c r="D59" s="1131"/>
      <c r="E59" s="1131"/>
      <c r="F59" s="1131"/>
      <c r="G59" s="1131"/>
      <c r="H59" s="1244"/>
      <c r="I59" s="1131"/>
      <c r="J59" s="1131"/>
      <c r="K59" s="1134"/>
      <c r="L59" s="1089"/>
      <c r="M59" s="1089"/>
      <c r="N59" s="1089"/>
      <c r="O59" s="1089"/>
      <c r="Q59" s="1087"/>
      <c r="R59" s="1087"/>
      <c r="S59" s="1087"/>
      <c r="T59" s="1087"/>
      <c r="U59" s="1087"/>
      <c r="V59" s="1087"/>
    </row>
    <row r="60" spans="1:22" s="1086" customFormat="1" x14ac:dyDescent="0.25">
      <c r="A60" s="1170" t="s">
        <v>808</v>
      </c>
      <c r="B60" s="1137" t="s">
        <v>809</v>
      </c>
      <c r="C60" s="1176" t="s">
        <v>810</v>
      </c>
      <c r="D60" s="1139"/>
      <c r="E60" s="1113"/>
      <c r="F60" s="1113"/>
      <c r="G60" s="1139"/>
      <c r="H60" s="1139"/>
      <c r="I60" s="1139"/>
      <c r="J60" s="1139"/>
      <c r="K60" s="1153"/>
      <c r="L60" s="1089"/>
      <c r="M60" s="1089"/>
      <c r="N60" s="1089"/>
      <c r="O60" s="1089"/>
      <c r="Q60" s="1087"/>
      <c r="R60" s="1087"/>
      <c r="S60" s="1087"/>
      <c r="T60" s="1087"/>
      <c r="U60" s="1087"/>
      <c r="V60" s="1087"/>
    </row>
    <row r="61" spans="1:22" s="1086" customFormat="1" x14ac:dyDescent="0.25">
      <c r="A61" s="1170" t="s">
        <v>811</v>
      </c>
      <c r="B61" s="1137" t="s">
        <v>812</v>
      </c>
      <c r="C61" s="1176" t="s">
        <v>810</v>
      </c>
      <c r="D61" s="1139"/>
      <c r="E61" s="1113"/>
      <c r="F61" s="1113"/>
      <c r="G61" s="1113"/>
      <c r="H61" s="1113"/>
      <c r="I61" s="1113"/>
      <c r="J61" s="1113"/>
      <c r="K61" s="1115"/>
      <c r="L61" s="1089"/>
      <c r="M61" s="1089"/>
      <c r="N61" s="1089"/>
      <c r="O61" s="1089"/>
      <c r="Q61" s="1087"/>
      <c r="R61" s="1087"/>
      <c r="S61" s="1087"/>
      <c r="T61" s="1087"/>
      <c r="U61" s="1087"/>
      <c r="V61" s="1087"/>
    </row>
    <row r="62" spans="1:22" s="1086" customFormat="1" x14ac:dyDescent="0.25">
      <c r="A62" s="1170" t="s">
        <v>813</v>
      </c>
      <c r="B62" s="1137" t="s">
        <v>814</v>
      </c>
      <c r="C62" s="1176" t="s">
        <v>815</v>
      </c>
      <c r="D62" s="1113"/>
      <c r="E62" s="1139"/>
      <c r="F62" s="1112"/>
      <c r="G62" s="1113"/>
      <c r="H62" s="1140"/>
      <c r="I62" s="1113"/>
      <c r="J62" s="1113"/>
      <c r="K62" s="1115"/>
      <c r="L62" s="1089"/>
      <c r="M62" s="1089"/>
      <c r="N62" s="1089"/>
      <c r="O62" s="1089"/>
      <c r="Q62" s="1087"/>
      <c r="R62" s="1087"/>
      <c r="S62" s="1087"/>
      <c r="T62" s="1087"/>
      <c r="U62" s="1087"/>
      <c r="V62" s="1087"/>
    </row>
    <row r="63" spans="1:22" ht="16.5" thickBot="1" x14ac:dyDescent="0.3">
      <c r="A63" s="1167" t="s">
        <v>816</v>
      </c>
      <c r="B63" s="1138" t="s">
        <v>817</v>
      </c>
      <c r="C63" s="1175" t="s">
        <v>815</v>
      </c>
      <c r="D63" s="1111"/>
      <c r="E63" s="1111"/>
      <c r="F63" s="1111"/>
      <c r="G63" s="1111"/>
      <c r="H63" s="1111"/>
      <c r="I63" s="1246"/>
      <c r="J63" s="1111"/>
      <c r="K63" s="1127"/>
      <c r="O63" s="1089"/>
    </row>
    <row r="64" spans="1:22" ht="16.5" thickBot="1" x14ac:dyDescent="0.3">
      <c r="A64" s="1167" t="s">
        <v>819</v>
      </c>
      <c r="B64" s="1138" t="s">
        <v>820</v>
      </c>
      <c r="C64" s="1175" t="s">
        <v>821</v>
      </c>
      <c r="D64" s="1111"/>
      <c r="E64" s="1111"/>
      <c r="F64" s="1111"/>
      <c r="G64" s="1111"/>
      <c r="H64" s="1141"/>
      <c r="I64" s="1111"/>
      <c r="J64" s="1111"/>
      <c r="K64" s="1127"/>
      <c r="O64" s="1089"/>
    </row>
    <row r="65" spans="1:25" s="1086" customFormat="1" ht="25.35" customHeight="1" thickBot="1" x14ac:dyDescent="0.3">
      <c r="A65" s="1167" t="s">
        <v>822</v>
      </c>
      <c r="B65" s="1175"/>
      <c r="C65" s="1175"/>
      <c r="D65" s="1183"/>
      <c r="E65" s="1111"/>
      <c r="F65" s="1111"/>
      <c r="G65" s="1111"/>
      <c r="H65" s="1111"/>
      <c r="I65" s="1111"/>
      <c r="J65" s="1111"/>
      <c r="K65" s="1127"/>
      <c r="L65" s="1089"/>
      <c r="M65" s="1089"/>
      <c r="N65" s="1089"/>
      <c r="P65" s="1087"/>
      <c r="Q65" s="1087"/>
      <c r="R65" s="1087"/>
      <c r="S65" s="1087"/>
      <c r="T65" s="1087"/>
      <c r="U65" s="1087"/>
      <c r="V65" s="1087"/>
    </row>
    <row r="66" spans="1:25" s="1086" customFormat="1" ht="17.100000000000001" customHeight="1" thickBot="1" x14ac:dyDescent="0.3">
      <c r="A66" s="1167" t="s">
        <v>823</v>
      </c>
      <c r="B66" s="1175"/>
      <c r="C66" s="1175"/>
      <c r="D66" s="1190"/>
      <c r="E66" s="1111"/>
      <c r="F66" s="1111"/>
      <c r="G66" s="1111"/>
      <c r="H66" s="1111"/>
      <c r="I66" s="1111"/>
      <c r="J66" s="1111"/>
      <c r="K66" s="1127"/>
      <c r="L66" s="1089"/>
      <c r="M66" s="1089"/>
      <c r="N66" s="1089"/>
      <c r="P66" s="1087"/>
      <c r="Q66" s="1087"/>
      <c r="R66" s="1087"/>
      <c r="S66" s="1087"/>
      <c r="T66" s="1087"/>
      <c r="U66" s="1087"/>
      <c r="V66" s="1087"/>
    </row>
    <row r="67" spans="1:25" s="1086" customFormat="1" ht="16.5" thickBot="1" x14ac:dyDescent="0.3">
      <c r="A67" s="1088"/>
      <c r="B67" s="1088"/>
      <c r="C67" s="1088"/>
      <c r="D67" s="1088"/>
      <c r="E67" s="1088"/>
      <c r="F67" s="1088"/>
      <c r="G67" s="1088"/>
      <c r="H67" s="1088"/>
      <c r="I67" s="1088"/>
      <c r="J67" s="1088"/>
      <c r="K67" s="1211"/>
      <c r="L67" s="1089"/>
      <c r="M67" s="1089"/>
      <c r="N67" s="1089"/>
      <c r="P67" s="1087"/>
      <c r="Q67" s="1087"/>
      <c r="R67" s="1087"/>
      <c r="S67" s="1087"/>
      <c r="T67" s="1087"/>
      <c r="U67" s="1087"/>
      <c r="V67" s="1087"/>
    </row>
    <row r="68" spans="1:25" s="1086" customFormat="1" ht="16.5" thickBot="1" x14ac:dyDescent="0.3">
      <c r="A68" s="1108" t="s">
        <v>687</v>
      </c>
      <c r="B68" s="1087" t="s">
        <v>824</v>
      </c>
      <c r="C68" s="1088"/>
      <c r="D68" s="1088"/>
      <c r="E68" s="1087"/>
      <c r="F68" s="1087"/>
      <c r="G68" s="1088"/>
      <c r="H68" s="1088"/>
      <c r="I68" s="1088"/>
      <c r="J68" s="1088"/>
      <c r="K68" s="1211"/>
      <c r="L68" s="1089"/>
      <c r="M68" s="1089"/>
      <c r="N68" s="1089"/>
      <c r="P68" s="1087"/>
      <c r="Q68" s="1087"/>
      <c r="R68" s="1087"/>
      <c r="S68" s="1087"/>
      <c r="T68" s="1087"/>
      <c r="U68" s="1087"/>
      <c r="V68" s="1087"/>
    </row>
    <row r="69" spans="1:25" x14ac:dyDescent="0.25">
      <c r="A69" s="1091" t="s">
        <v>687</v>
      </c>
      <c r="B69" s="1087" t="s">
        <v>825</v>
      </c>
      <c r="E69" s="1087"/>
      <c r="F69" s="1087"/>
    </row>
    <row r="70" spans="1:25" x14ac:dyDescent="0.25">
      <c r="A70" s="1109"/>
      <c r="B70" s="1087" t="s">
        <v>826</v>
      </c>
    </row>
    <row r="71" spans="1:25" ht="16.5" thickBot="1" x14ac:dyDescent="0.3">
      <c r="D71" s="1110" t="s">
        <v>838</v>
      </c>
      <c r="E71" s="1110" t="s">
        <v>837</v>
      </c>
      <c r="F71" s="1110" t="s">
        <v>838</v>
      </c>
      <c r="G71" s="1110" t="s">
        <v>837</v>
      </c>
      <c r="H71" s="1110" t="s">
        <v>837</v>
      </c>
      <c r="I71" s="1110" t="s">
        <v>838</v>
      </c>
      <c r="J71" s="1110" t="s">
        <v>838</v>
      </c>
      <c r="K71" s="1110" t="s">
        <v>838</v>
      </c>
    </row>
    <row r="72" spans="1:25" x14ac:dyDescent="0.25">
      <c r="C72" s="134" t="s">
        <v>92</v>
      </c>
      <c r="D72" s="1117" t="s">
        <v>828</v>
      </c>
      <c r="E72" s="135" t="s">
        <v>830</v>
      </c>
      <c r="F72" s="135" t="s">
        <v>834</v>
      </c>
      <c r="G72" s="135" t="s">
        <v>103</v>
      </c>
      <c r="H72" s="135" t="s">
        <v>104</v>
      </c>
      <c r="I72" s="622" t="s">
        <v>679</v>
      </c>
      <c r="J72" s="622" t="s">
        <v>237</v>
      </c>
      <c r="K72" s="622" t="s">
        <v>160</v>
      </c>
    </row>
    <row r="73" spans="1:25" ht="17.25" x14ac:dyDescent="0.25">
      <c r="C73" s="136">
        <v>0</v>
      </c>
      <c r="D73" s="136"/>
      <c r="E73" s="136"/>
      <c r="F73" s="137"/>
      <c r="G73" s="137"/>
      <c r="H73" s="137"/>
      <c r="I73" s="138"/>
      <c r="J73" s="138"/>
      <c r="K73" s="138"/>
      <c r="M73" s="1087"/>
      <c r="N73" s="1087"/>
      <c r="O73" s="1087"/>
    </row>
    <row r="74" spans="1:25" ht="17.25" x14ac:dyDescent="0.25">
      <c r="C74" s="136">
        <v>1</v>
      </c>
      <c r="D74" s="136"/>
      <c r="E74" s="136"/>
      <c r="F74" s="137"/>
      <c r="G74" s="137"/>
      <c r="H74" s="137"/>
      <c r="I74" s="138"/>
      <c r="J74" s="138"/>
      <c r="K74" s="138"/>
      <c r="M74" s="1087"/>
      <c r="N74" s="1087"/>
      <c r="O74" s="1087"/>
    </row>
    <row r="75" spans="1:25" ht="17.25" x14ac:dyDescent="0.25">
      <c r="C75" s="136">
        <v>2</v>
      </c>
      <c r="D75" s="136"/>
      <c r="E75" s="136"/>
      <c r="F75" s="137"/>
      <c r="G75" s="137"/>
      <c r="H75" s="137"/>
      <c r="I75" s="138"/>
      <c r="J75" s="138"/>
      <c r="K75" s="138"/>
      <c r="M75" s="1087"/>
      <c r="N75" s="1087"/>
      <c r="O75" s="1087"/>
      <c r="X75" s="1087">
        <v>5</v>
      </c>
      <c r="Y75" s="1087">
        <v>900</v>
      </c>
    </row>
    <row r="76" spans="1:25" ht="17.25" x14ac:dyDescent="0.25">
      <c r="C76" s="136">
        <v>3</v>
      </c>
      <c r="D76" s="136"/>
      <c r="E76" s="136"/>
      <c r="F76" s="137"/>
      <c r="G76" s="137"/>
      <c r="H76" s="137"/>
      <c r="I76" s="138"/>
      <c r="J76" s="138"/>
      <c r="K76" s="138"/>
      <c r="M76" s="1087"/>
      <c r="N76" s="1087"/>
      <c r="O76" s="1087"/>
      <c r="X76" s="1087">
        <v>5</v>
      </c>
      <c r="Y76" s="1087">
        <v>0</v>
      </c>
    </row>
    <row r="77" spans="1:25" ht="17.25" x14ac:dyDescent="0.25">
      <c r="C77" s="136">
        <v>4</v>
      </c>
      <c r="D77" s="136"/>
      <c r="E77" s="136"/>
      <c r="F77" s="137"/>
      <c r="G77" s="137"/>
      <c r="H77" s="137"/>
      <c r="I77" s="138"/>
      <c r="J77" s="138"/>
      <c r="K77" s="138"/>
      <c r="M77" s="1087"/>
      <c r="N77" s="1087"/>
      <c r="O77" s="1087"/>
    </row>
    <row r="78" spans="1:25" ht="17.25" x14ac:dyDescent="0.25">
      <c r="C78" s="623">
        <v>5</v>
      </c>
      <c r="D78" s="623"/>
      <c r="E78" s="623"/>
      <c r="F78" s="624"/>
      <c r="G78" s="624"/>
      <c r="H78" s="624"/>
      <c r="I78" s="625"/>
      <c r="J78" s="625"/>
      <c r="K78" s="625"/>
      <c r="M78" s="1087"/>
      <c r="N78" s="1087"/>
      <c r="O78" s="1087"/>
      <c r="X78" s="1087">
        <v>95</v>
      </c>
      <c r="Y78" s="1087">
        <v>900</v>
      </c>
    </row>
    <row r="79" spans="1:25" ht="17.25" x14ac:dyDescent="0.25">
      <c r="C79" s="136">
        <v>6</v>
      </c>
      <c r="D79" s="136"/>
      <c r="E79" s="136"/>
      <c r="F79" s="137"/>
      <c r="G79" s="137"/>
      <c r="H79" s="137"/>
      <c r="I79" s="138"/>
      <c r="J79" s="138"/>
      <c r="K79" s="138"/>
      <c r="M79" s="1087"/>
      <c r="N79" s="1087"/>
      <c r="O79" s="1087"/>
      <c r="X79" s="1087">
        <v>95</v>
      </c>
      <c r="Y79" s="1087">
        <v>0</v>
      </c>
    </row>
    <row r="80" spans="1:25" ht="17.25" x14ac:dyDescent="0.25">
      <c r="C80" s="136">
        <v>7</v>
      </c>
      <c r="D80" s="136"/>
      <c r="E80" s="136"/>
      <c r="F80" s="137"/>
      <c r="G80" s="137"/>
      <c r="H80" s="137"/>
      <c r="I80" s="138"/>
      <c r="J80" s="138"/>
      <c r="K80" s="138"/>
      <c r="M80" s="1087"/>
      <c r="N80" s="1087"/>
      <c r="O80" s="1087"/>
    </row>
    <row r="81" spans="3:15" ht="17.25" x14ac:dyDescent="0.25">
      <c r="C81" s="136">
        <v>8</v>
      </c>
      <c r="D81" s="136"/>
      <c r="E81" s="136"/>
      <c r="F81" s="137"/>
      <c r="G81" s="137"/>
      <c r="H81" s="137"/>
      <c r="I81" s="138"/>
      <c r="J81" s="138"/>
      <c r="K81" s="138"/>
      <c r="M81" s="1087"/>
      <c r="N81" s="1087"/>
      <c r="O81" s="1087"/>
    </row>
    <row r="82" spans="3:15" ht="17.25" x14ac:dyDescent="0.25">
      <c r="C82" s="136">
        <v>9</v>
      </c>
      <c r="D82" s="136"/>
      <c r="E82" s="136"/>
      <c r="F82" s="137"/>
      <c r="G82" s="137"/>
      <c r="H82" s="137"/>
      <c r="I82" s="138"/>
      <c r="J82" s="138"/>
      <c r="K82" s="138"/>
      <c r="M82" s="1087"/>
      <c r="N82" s="1087"/>
      <c r="O82" s="1087"/>
    </row>
    <row r="83" spans="3:15" ht="17.25" x14ac:dyDescent="0.25">
      <c r="C83" s="623">
        <v>10</v>
      </c>
      <c r="D83" s="623"/>
      <c r="E83" s="623"/>
      <c r="F83" s="624"/>
      <c r="G83" s="624"/>
      <c r="H83" s="624"/>
      <c r="I83" s="625"/>
      <c r="J83" s="625"/>
      <c r="K83" s="625"/>
      <c r="M83" s="1087"/>
      <c r="N83" s="1087"/>
      <c r="O83" s="1087"/>
    </row>
    <row r="84" spans="3:15" ht="17.25" x14ac:dyDescent="0.25">
      <c r="C84" s="136">
        <v>11</v>
      </c>
      <c r="D84" s="136"/>
      <c r="E84" s="136"/>
      <c r="F84" s="137"/>
      <c r="G84" s="137"/>
      <c r="H84" s="137"/>
      <c r="I84" s="138"/>
      <c r="J84" s="138"/>
      <c r="K84" s="138"/>
      <c r="M84" s="1087"/>
      <c r="N84" s="1087"/>
      <c r="O84" s="1087"/>
    </row>
    <row r="85" spans="3:15" ht="17.25" x14ac:dyDescent="0.25">
      <c r="C85" s="136">
        <v>12</v>
      </c>
      <c r="D85" s="136"/>
      <c r="E85" s="136"/>
      <c r="F85" s="137"/>
      <c r="G85" s="137"/>
      <c r="H85" s="137"/>
      <c r="I85" s="138"/>
      <c r="J85" s="138"/>
      <c r="K85" s="138"/>
      <c r="M85" s="1087"/>
      <c r="N85" s="1087"/>
      <c r="O85" s="1087"/>
    </row>
    <row r="86" spans="3:15" ht="17.25" x14ac:dyDescent="0.25">
      <c r="C86" s="136">
        <v>13</v>
      </c>
      <c r="D86" s="136"/>
      <c r="E86" s="136"/>
      <c r="F86" s="137"/>
      <c r="G86" s="137"/>
      <c r="H86" s="137"/>
      <c r="I86" s="138"/>
      <c r="J86" s="138"/>
      <c r="K86" s="138"/>
      <c r="M86" s="1087"/>
      <c r="N86" s="1087"/>
      <c r="O86" s="1087"/>
    </row>
    <row r="87" spans="3:15" ht="17.25" x14ac:dyDescent="0.25">
      <c r="C87" s="136">
        <v>14</v>
      </c>
      <c r="D87" s="136"/>
      <c r="E87" s="136"/>
      <c r="F87" s="137"/>
      <c r="G87" s="137"/>
      <c r="H87" s="137"/>
      <c r="I87" s="138"/>
      <c r="J87" s="138"/>
      <c r="K87" s="138"/>
      <c r="M87" s="1087"/>
      <c r="N87" s="1087"/>
      <c r="O87" s="1087"/>
    </row>
    <row r="88" spans="3:15" ht="17.25" x14ac:dyDescent="0.25">
      <c r="C88" s="623">
        <v>15</v>
      </c>
      <c r="D88" s="623"/>
      <c r="E88" s="623"/>
      <c r="F88" s="624"/>
      <c r="G88" s="624"/>
      <c r="H88" s="624"/>
      <c r="I88" s="625"/>
      <c r="J88" s="625"/>
      <c r="K88" s="625"/>
      <c r="M88" s="1087"/>
      <c r="N88" s="1087"/>
      <c r="O88" s="1087"/>
    </row>
    <row r="89" spans="3:15" ht="17.25" x14ac:dyDescent="0.25">
      <c r="C89" s="136">
        <v>16</v>
      </c>
      <c r="D89" s="136"/>
      <c r="E89" s="136"/>
      <c r="F89" s="137"/>
      <c r="G89" s="137"/>
      <c r="H89" s="137"/>
      <c r="I89" s="138"/>
      <c r="J89" s="138"/>
      <c r="K89" s="138"/>
      <c r="M89" s="1087"/>
      <c r="N89" s="1087"/>
      <c r="O89" s="1087"/>
    </row>
    <row r="90" spans="3:15" ht="17.25" x14ac:dyDescent="0.25">
      <c r="C90" s="136">
        <v>17</v>
      </c>
      <c r="D90" s="136"/>
      <c r="E90" s="136"/>
      <c r="F90" s="137"/>
      <c r="G90" s="137"/>
      <c r="H90" s="137"/>
      <c r="I90" s="138"/>
      <c r="J90" s="138"/>
      <c r="K90" s="138"/>
      <c r="M90" s="1087"/>
      <c r="N90" s="1087"/>
      <c r="O90" s="1087"/>
    </row>
    <row r="91" spans="3:15" ht="17.25" x14ac:dyDescent="0.25">
      <c r="C91" s="136">
        <v>18</v>
      </c>
      <c r="D91" s="136"/>
      <c r="E91" s="136"/>
      <c r="F91" s="137"/>
      <c r="G91" s="137"/>
      <c r="H91" s="137"/>
      <c r="I91" s="138"/>
      <c r="J91" s="138"/>
      <c r="K91" s="138"/>
      <c r="M91" s="1087"/>
      <c r="N91" s="1087"/>
      <c r="O91" s="1087"/>
    </row>
    <row r="92" spans="3:15" ht="17.25" x14ac:dyDescent="0.25">
      <c r="C92" s="136">
        <v>19</v>
      </c>
      <c r="D92" s="136"/>
      <c r="E92" s="136"/>
      <c r="F92" s="137"/>
      <c r="G92" s="137"/>
      <c r="H92" s="137"/>
      <c r="I92" s="138"/>
      <c r="J92" s="138"/>
      <c r="K92" s="138"/>
      <c r="M92" s="1087"/>
      <c r="N92" s="1087"/>
      <c r="O92" s="1087"/>
    </row>
    <row r="93" spans="3:15" ht="17.25" x14ac:dyDescent="0.25">
      <c r="C93" s="623">
        <v>20</v>
      </c>
      <c r="D93" s="623"/>
      <c r="E93" s="623"/>
      <c r="F93" s="624"/>
      <c r="G93" s="624"/>
      <c r="H93" s="624"/>
      <c r="I93" s="625"/>
      <c r="J93" s="625"/>
      <c r="K93" s="625"/>
      <c r="M93" s="1087"/>
      <c r="N93" s="1087"/>
      <c r="O93" s="1087"/>
    </row>
    <row r="94" spans="3:15" ht="17.25" x14ac:dyDescent="0.25">
      <c r="C94" s="136">
        <v>21</v>
      </c>
      <c r="D94" s="136"/>
      <c r="E94" s="136"/>
      <c r="F94" s="137"/>
      <c r="G94" s="137"/>
      <c r="H94" s="137"/>
      <c r="I94" s="138"/>
      <c r="J94" s="138"/>
      <c r="K94" s="138"/>
      <c r="M94" s="1087"/>
      <c r="N94" s="1087"/>
      <c r="O94" s="1087"/>
    </row>
    <row r="95" spans="3:15" ht="17.25" x14ac:dyDescent="0.25">
      <c r="C95" s="136">
        <v>22</v>
      </c>
      <c r="D95" s="136"/>
      <c r="E95" s="136"/>
      <c r="F95" s="137"/>
      <c r="G95" s="137"/>
      <c r="H95" s="137"/>
      <c r="I95" s="138"/>
      <c r="J95" s="138"/>
      <c r="K95" s="138"/>
      <c r="M95" s="1087"/>
      <c r="N95" s="1087"/>
      <c r="O95" s="1087"/>
    </row>
    <row r="96" spans="3:15" ht="17.25" x14ac:dyDescent="0.25">
      <c r="C96" s="136">
        <v>23</v>
      </c>
      <c r="D96" s="136"/>
      <c r="E96" s="136"/>
      <c r="F96" s="137"/>
      <c r="G96" s="137"/>
      <c r="H96" s="137"/>
      <c r="I96" s="138"/>
      <c r="J96" s="138"/>
      <c r="K96" s="138"/>
      <c r="M96" s="1087"/>
      <c r="N96" s="1087"/>
      <c r="O96" s="1087"/>
    </row>
    <row r="97" spans="3:15" ht="17.25" x14ac:dyDescent="0.25">
      <c r="C97" s="136">
        <v>24</v>
      </c>
      <c r="D97" s="136"/>
      <c r="E97" s="136"/>
      <c r="F97" s="137"/>
      <c r="G97" s="137"/>
      <c r="H97" s="137"/>
      <c r="I97" s="138"/>
      <c r="J97" s="138"/>
      <c r="K97" s="138"/>
      <c r="M97" s="1087"/>
      <c r="N97" s="1087"/>
      <c r="O97" s="1087"/>
    </row>
    <row r="98" spans="3:15" ht="17.25" x14ac:dyDescent="0.25">
      <c r="C98" s="136">
        <v>25</v>
      </c>
      <c r="D98" s="136"/>
      <c r="E98" s="136"/>
      <c r="F98" s="137"/>
      <c r="G98" s="137"/>
      <c r="H98" s="137"/>
      <c r="I98" s="138"/>
      <c r="J98" s="138"/>
      <c r="K98" s="138"/>
      <c r="M98" s="1087"/>
      <c r="N98" s="1087"/>
      <c r="O98" s="1087"/>
    </row>
    <row r="99" spans="3:15" ht="17.25" x14ac:dyDescent="0.25">
      <c r="C99" s="136">
        <v>26</v>
      </c>
      <c r="D99" s="136"/>
      <c r="E99" s="136"/>
      <c r="F99" s="137"/>
      <c r="G99" s="137"/>
      <c r="H99" s="137"/>
      <c r="I99" s="138"/>
      <c r="J99" s="138"/>
      <c r="K99" s="138"/>
      <c r="M99" s="1087"/>
      <c r="N99" s="1087"/>
      <c r="O99" s="1087"/>
    </row>
    <row r="100" spans="3:15" ht="17.25" x14ac:dyDescent="0.25">
      <c r="C100" s="136">
        <v>27</v>
      </c>
      <c r="D100" s="136"/>
      <c r="E100" s="136"/>
      <c r="F100" s="137"/>
      <c r="G100" s="137"/>
      <c r="H100" s="137"/>
      <c r="I100" s="138"/>
      <c r="J100" s="138"/>
      <c r="K100" s="138"/>
      <c r="M100" s="1087"/>
      <c r="N100" s="1087"/>
      <c r="O100" s="1087"/>
    </row>
    <row r="101" spans="3:15" ht="17.25" x14ac:dyDescent="0.25">
      <c r="C101" s="136">
        <v>28</v>
      </c>
      <c r="D101" s="136"/>
      <c r="E101" s="136"/>
      <c r="F101" s="137"/>
      <c r="G101" s="137"/>
      <c r="H101" s="137"/>
      <c r="I101" s="138"/>
      <c r="J101" s="138"/>
      <c r="K101" s="138"/>
      <c r="M101" s="1087"/>
      <c r="N101" s="1087"/>
      <c r="O101" s="1087"/>
    </row>
    <row r="102" spans="3:15" ht="17.25" x14ac:dyDescent="0.25">
      <c r="C102" s="136">
        <v>29</v>
      </c>
      <c r="D102" s="136"/>
      <c r="E102" s="136"/>
      <c r="F102" s="137"/>
      <c r="G102" s="137"/>
      <c r="H102" s="137"/>
      <c r="I102" s="138"/>
      <c r="J102" s="138"/>
      <c r="K102" s="138"/>
      <c r="M102" s="1087"/>
      <c r="N102" s="1087"/>
      <c r="O102" s="1087"/>
    </row>
    <row r="103" spans="3:15" ht="17.25" x14ac:dyDescent="0.25">
      <c r="C103" s="623">
        <v>30</v>
      </c>
      <c r="D103" s="623"/>
      <c r="E103" s="623"/>
      <c r="F103" s="624"/>
      <c r="G103" s="624"/>
      <c r="H103" s="624"/>
      <c r="I103" s="625"/>
      <c r="J103" s="625"/>
      <c r="K103" s="625"/>
      <c r="M103" s="1087"/>
      <c r="N103" s="1087"/>
      <c r="O103" s="1087"/>
    </row>
    <row r="104" spans="3:15" ht="17.25" x14ac:dyDescent="0.25">
      <c r="C104" s="136">
        <v>31</v>
      </c>
      <c r="D104" s="136"/>
      <c r="E104" s="136"/>
      <c r="F104" s="137"/>
      <c r="G104" s="137"/>
      <c r="H104" s="137"/>
      <c r="I104" s="138"/>
      <c r="J104" s="138"/>
      <c r="K104" s="138"/>
      <c r="M104" s="1087"/>
      <c r="N104" s="1087"/>
      <c r="O104" s="1087"/>
    </row>
    <row r="105" spans="3:15" ht="17.25" x14ac:dyDescent="0.25">
      <c r="C105" s="136">
        <v>32</v>
      </c>
      <c r="D105" s="136"/>
      <c r="E105" s="136"/>
      <c r="F105" s="137"/>
      <c r="G105" s="137"/>
      <c r="H105" s="137"/>
      <c r="I105" s="138"/>
      <c r="J105" s="138"/>
      <c r="K105" s="138"/>
      <c r="M105" s="1087"/>
      <c r="N105" s="1087"/>
      <c r="O105" s="1087"/>
    </row>
    <row r="106" spans="3:15" ht="17.25" x14ac:dyDescent="0.25">
      <c r="C106" s="136">
        <v>33</v>
      </c>
      <c r="D106" s="136"/>
      <c r="E106" s="136"/>
      <c r="F106" s="137"/>
      <c r="G106" s="137"/>
      <c r="H106" s="137"/>
      <c r="I106" s="138"/>
      <c r="J106" s="138"/>
      <c r="K106" s="138"/>
      <c r="M106" s="1087"/>
      <c r="N106" s="1087"/>
      <c r="O106" s="1087"/>
    </row>
    <row r="107" spans="3:15" ht="17.25" x14ac:dyDescent="0.25">
      <c r="C107" s="136">
        <v>34</v>
      </c>
      <c r="D107" s="136"/>
      <c r="E107" s="136"/>
      <c r="F107" s="137"/>
      <c r="G107" s="137"/>
      <c r="H107" s="137"/>
      <c r="I107" s="138"/>
      <c r="J107" s="138"/>
      <c r="K107" s="138"/>
      <c r="M107" s="1087"/>
      <c r="N107" s="1087"/>
      <c r="O107" s="1087"/>
    </row>
    <row r="108" spans="3:15" ht="17.25" x14ac:dyDescent="0.25">
      <c r="C108" s="136">
        <v>35</v>
      </c>
      <c r="D108" s="136"/>
      <c r="E108" s="136"/>
      <c r="F108" s="137"/>
      <c r="G108" s="137"/>
      <c r="H108" s="137"/>
      <c r="I108" s="138"/>
      <c r="J108" s="138"/>
      <c r="K108" s="138"/>
      <c r="M108" s="1087"/>
      <c r="N108" s="1087"/>
      <c r="O108" s="1087"/>
    </row>
    <row r="109" spans="3:15" ht="17.25" x14ac:dyDescent="0.25">
      <c r="C109" s="136">
        <v>36</v>
      </c>
      <c r="D109" s="136"/>
      <c r="E109" s="136"/>
      <c r="F109" s="137"/>
      <c r="G109" s="137"/>
      <c r="H109" s="137"/>
      <c r="I109" s="138"/>
      <c r="J109" s="138"/>
      <c r="K109" s="138"/>
      <c r="M109" s="1087"/>
      <c r="N109" s="1087"/>
      <c r="O109" s="1087"/>
    </row>
    <row r="110" spans="3:15" ht="17.25" x14ac:dyDescent="0.25">
      <c r="C110" s="136">
        <v>37</v>
      </c>
      <c r="D110" s="136"/>
      <c r="E110" s="136"/>
      <c r="F110" s="137"/>
      <c r="G110" s="137"/>
      <c r="H110" s="137"/>
      <c r="I110" s="138"/>
      <c r="J110" s="138"/>
      <c r="K110" s="138"/>
      <c r="M110" s="1087"/>
      <c r="N110" s="1087"/>
      <c r="O110" s="1087"/>
    </row>
    <row r="111" spans="3:15" ht="17.25" x14ac:dyDescent="0.25">
      <c r="C111" s="136">
        <v>38</v>
      </c>
      <c r="D111" s="136"/>
      <c r="E111" s="136"/>
      <c r="F111" s="137"/>
      <c r="G111" s="137"/>
      <c r="H111" s="137"/>
      <c r="I111" s="138"/>
      <c r="J111" s="138"/>
      <c r="K111" s="138"/>
      <c r="M111" s="1087"/>
      <c r="N111" s="1087"/>
      <c r="O111" s="1087"/>
    </row>
    <row r="112" spans="3:15" ht="17.25" x14ac:dyDescent="0.25">
      <c r="C112" s="136">
        <v>39</v>
      </c>
      <c r="D112" s="136"/>
      <c r="E112" s="136"/>
      <c r="F112" s="137"/>
      <c r="G112" s="137"/>
      <c r="H112" s="137"/>
      <c r="I112" s="138"/>
      <c r="J112" s="138"/>
      <c r="K112" s="138"/>
      <c r="M112" s="1087"/>
      <c r="N112" s="1087"/>
      <c r="O112" s="1087"/>
    </row>
    <row r="113" spans="3:15" ht="17.25" x14ac:dyDescent="0.25">
      <c r="C113" s="623">
        <v>40</v>
      </c>
      <c r="D113" s="623"/>
      <c r="E113" s="623"/>
      <c r="F113" s="624"/>
      <c r="G113" s="624"/>
      <c r="H113" s="624"/>
      <c r="I113" s="625"/>
      <c r="J113" s="625"/>
      <c r="K113" s="625"/>
      <c r="M113" s="1087"/>
      <c r="N113" s="1087"/>
      <c r="O113" s="1087"/>
    </row>
    <row r="114" spans="3:15" ht="17.25" x14ac:dyDescent="0.25">
      <c r="C114" s="136">
        <v>41</v>
      </c>
      <c r="D114" s="136"/>
      <c r="E114" s="136"/>
      <c r="F114" s="137"/>
      <c r="G114" s="137"/>
      <c r="H114" s="137"/>
      <c r="I114" s="138"/>
      <c r="J114" s="138"/>
      <c r="K114" s="138"/>
      <c r="M114" s="1087"/>
      <c r="N114" s="1087"/>
      <c r="O114" s="1087"/>
    </row>
    <row r="115" spans="3:15" ht="17.25" x14ac:dyDescent="0.25">
      <c r="C115" s="136">
        <v>42</v>
      </c>
      <c r="D115" s="136"/>
      <c r="E115" s="136"/>
      <c r="F115" s="137"/>
      <c r="G115" s="137"/>
      <c r="H115" s="137"/>
      <c r="I115" s="138"/>
      <c r="J115" s="138"/>
      <c r="K115" s="138"/>
      <c r="M115" s="1087"/>
      <c r="N115" s="1087"/>
      <c r="O115" s="1087"/>
    </row>
    <row r="116" spans="3:15" ht="17.25" x14ac:dyDescent="0.25">
      <c r="C116" s="136">
        <v>43</v>
      </c>
      <c r="D116" s="136"/>
      <c r="E116" s="136"/>
      <c r="F116" s="137"/>
      <c r="G116" s="137"/>
      <c r="H116" s="137"/>
      <c r="I116" s="138"/>
      <c r="J116" s="138"/>
      <c r="K116" s="138"/>
      <c r="M116" s="1087"/>
      <c r="N116" s="1087"/>
      <c r="O116" s="1087"/>
    </row>
    <row r="117" spans="3:15" ht="17.25" x14ac:dyDescent="0.25">
      <c r="C117" s="136">
        <v>44</v>
      </c>
      <c r="D117" s="136"/>
      <c r="E117" s="136"/>
      <c r="F117" s="137"/>
      <c r="G117" s="137"/>
      <c r="H117" s="137"/>
      <c r="I117" s="138"/>
      <c r="J117" s="138"/>
      <c r="K117" s="138"/>
      <c r="M117" s="1087"/>
      <c r="N117" s="1087"/>
      <c r="O117" s="1087"/>
    </row>
    <row r="118" spans="3:15" ht="17.25" x14ac:dyDescent="0.25">
      <c r="C118" s="136">
        <v>45</v>
      </c>
      <c r="D118" s="136"/>
      <c r="E118" s="136"/>
      <c r="F118" s="137"/>
      <c r="G118" s="137"/>
      <c r="H118" s="137"/>
      <c r="I118" s="138"/>
      <c r="J118" s="138"/>
      <c r="K118" s="138"/>
      <c r="M118" s="1087"/>
      <c r="N118" s="1087"/>
      <c r="O118" s="1087"/>
    </row>
    <row r="119" spans="3:15" ht="17.25" x14ac:dyDescent="0.25">
      <c r="C119" s="136">
        <v>46</v>
      </c>
      <c r="D119" s="136"/>
      <c r="E119" s="136"/>
      <c r="F119" s="137"/>
      <c r="G119" s="137"/>
      <c r="H119" s="137"/>
      <c r="I119" s="138"/>
      <c r="J119" s="138"/>
      <c r="K119" s="138"/>
      <c r="M119" s="1087"/>
      <c r="N119" s="1087"/>
      <c r="O119" s="1087"/>
    </row>
    <row r="120" spans="3:15" ht="17.25" x14ac:dyDescent="0.25">
      <c r="C120" s="136">
        <v>47</v>
      </c>
      <c r="D120" s="136"/>
      <c r="E120" s="136"/>
      <c r="F120" s="137"/>
      <c r="G120" s="137"/>
      <c r="H120" s="137"/>
      <c r="I120" s="138"/>
      <c r="J120" s="138"/>
      <c r="K120" s="138"/>
      <c r="M120" s="1087"/>
      <c r="N120" s="1087"/>
      <c r="O120" s="1087"/>
    </row>
    <row r="121" spans="3:15" ht="17.25" x14ac:dyDescent="0.25">
      <c r="C121" s="136">
        <v>48</v>
      </c>
      <c r="D121" s="136"/>
      <c r="E121" s="136"/>
      <c r="F121" s="137"/>
      <c r="G121" s="137"/>
      <c r="H121" s="137"/>
      <c r="I121" s="138"/>
      <c r="J121" s="138"/>
      <c r="K121" s="138"/>
      <c r="M121" s="1087"/>
      <c r="N121" s="1087"/>
      <c r="O121" s="1087"/>
    </row>
    <row r="122" spans="3:15" ht="17.25" x14ac:dyDescent="0.25">
      <c r="C122" s="136">
        <v>49</v>
      </c>
      <c r="D122" s="136"/>
      <c r="E122" s="136"/>
      <c r="F122" s="137"/>
      <c r="G122" s="137"/>
      <c r="H122" s="137"/>
      <c r="I122" s="138"/>
      <c r="J122" s="138"/>
      <c r="K122" s="138"/>
      <c r="M122" s="1087"/>
      <c r="N122" s="1087"/>
      <c r="O122" s="1087"/>
    </row>
    <row r="123" spans="3:15" ht="17.25" x14ac:dyDescent="0.25">
      <c r="C123" s="623">
        <v>50</v>
      </c>
      <c r="D123" s="623"/>
      <c r="E123" s="623"/>
      <c r="F123" s="624"/>
      <c r="G123" s="624"/>
      <c r="H123" s="624"/>
      <c r="I123" s="625"/>
      <c r="J123" s="625"/>
      <c r="K123" s="625"/>
      <c r="M123" s="1087"/>
      <c r="N123" s="1087"/>
      <c r="O123" s="1087"/>
    </row>
    <row r="124" spans="3:15" ht="17.25" x14ac:dyDescent="0.25">
      <c r="C124" s="136">
        <v>51</v>
      </c>
      <c r="D124" s="136"/>
      <c r="E124" s="136"/>
      <c r="F124" s="137"/>
      <c r="G124" s="137"/>
      <c r="H124" s="137"/>
      <c r="I124" s="138"/>
      <c r="J124" s="138"/>
      <c r="K124" s="138"/>
      <c r="M124" s="1087"/>
      <c r="N124" s="1087"/>
      <c r="O124" s="1087"/>
    </row>
    <row r="125" spans="3:15" ht="17.25" x14ac:dyDescent="0.25">
      <c r="C125" s="136">
        <v>52</v>
      </c>
      <c r="D125" s="136"/>
      <c r="E125" s="136"/>
      <c r="F125" s="137"/>
      <c r="G125" s="137"/>
      <c r="H125" s="137"/>
      <c r="I125" s="138"/>
      <c r="J125" s="138"/>
      <c r="K125" s="138"/>
      <c r="M125" s="1087"/>
      <c r="N125" s="1087"/>
      <c r="O125" s="1087"/>
    </row>
    <row r="126" spans="3:15" ht="17.25" x14ac:dyDescent="0.25">
      <c r="C126" s="136">
        <v>53</v>
      </c>
      <c r="D126" s="136"/>
      <c r="E126" s="136"/>
      <c r="F126" s="137"/>
      <c r="G126" s="137"/>
      <c r="H126" s="137"/>
      <c r="I126" s="138"/>
      <c r="J126" s="138"/>
      <c r="K126" s="138"/>
      <c r="M126" s="1087"/>
      <c r="N126" s="1087"/>
      <c r="O126" s="1087"/>
    </row>
    <row r="127" spans="3:15" ht="17.25" x14ac:dyDescent="0.25">
      <c r="C127" s="136">
        <v>54</v>
      </c>
      <c r="D127" s="136"/>
      <c r="E127" s="136"/>
      <c r="F127" s="137"/>
      <c r="G127" s="137"/>
      <c r="H127" s="137"/>
      <c r="I127" s="138"/>
      <c r="J127" s="138"/>
      <c r="K127" s="138"/>
      <c r="M127" s="1087"/>
      <c r="N127" s="1087"/>
      <c r="O127" s="1087"/>
    </row>
    <row r="128" spans="3:15" ht="17.25" x14ac:dyDescent="0.25">
      <c r="C128" s="136">
        <v>55</v>
      </c>
      <c r="D128" s="136"/>
      <c r="E128" s="136"/>
      <c r="F128" s="137"/>
      <c r="G128" s="137"/>
      <c r="H128" s="137"/>
      <c r="I128" s="138"/>
      <c r="J128" s="138"/>
      <c r="K128" s="138"/>
      <c r="M128" s="1087"/>
      <c r="N128" s="1087"/>
      <c r="O128" s="1087"/>
    </row>
    <row r="129" spans="3:15" ht="17.25" x14ac:dyDescent="0.25">
      <c r="C129" s="136">
        <v>56</v>
      </c>
      <c r="D129" s="136"/>
      <c r="E129" s="136"/>
      <c r="F129" s="137"/>
      <c r="G129" s="137"/>
      <c r="H129" s="137"/>
      <c r="I129" s="138"/>
      <c r="J129" s="138"/>
      <c r="K129" s="138"/>
      <c r="M129" s="1087"/>
      <c r="N129" s="1087"/>
      <c r="O129" s="1087"/>
    </row>
    <row r="130" spans="3:15" ht="17.25" x14ac:dyDescent="0.25">
      <c r="C130" s="136">
        <v>57</v>
      </c>
      <c r="D130" s="136"/>
      <c r="E130" s="136"/>
      <c r="F130" s="137"/>
      <c r="G130" s="137"/>
      <c r="H130" s="137"/>
      <c r="I130" s="138"/>
      <c r="J130" s="138"/>
      <c r="K130" s="138"/>
      <c r="M130" s="1087"/>
      <c r="N130" s="1087"/>
      <c r="O130" s="1087"/>
    </row>
    <row r="131" spans="3:15" ht="17.25" x14ac:dyDescent="0.25">
      <c r="C131" s="136">
        <v>58</v>
      </c>
      <c r="D131" s="136"/>
      <c r="E131" s="136"/>
      <c r="F131" s="137"/>
      <c r="G131" s="137"/>
      <c r="H131" s="137"/>
      <c r="I131" s="138"/>
      <c r="J131" s="138"/>
      <c r="K131" s="138"/>
      <c r="M131" s="1087"/>
      <c r="N131" s="1087"/>
      <c r="O131" s="1087"/>
    </row>
    <row r="132" spans="3:15" ht="17.25" x14ac:dyDescent="0.25">
      <c r="C132" s="136">
        <v>59</v>
      </c>
      <c r="D132" s="136"/>
      <c r="E132" s="136"/>
      <c r="F132" s="137"/>
      <c r="G132" s="137"/>
      <c r="H132" s="137"/>
      <c r="I132" s="138"/>
      <c r="J132" s="138"/>
      <c r="K132" s="138"/>
      <c r="M132" s="1087"/>
      <c r="N132" s="1087"/>
      <c r="O132" s="1087"/>
    </row>
    <row r="133" spans="3:15" ht="17.25" x14ac:dyDescent="0.25">
      <c r="C133" s="623">
        <v>60</v>
      </c>
      <c r="D133" s="623"/>
      <c r="E133" s="623"/>
      <c r="F133" s="624"/>
      <c r="G133" s="624"/>
      <c r="H133" s="624"/>
      <c r="I133" s="625"/>
      <c r="J133" s="625"/>
      <c r="K133" s="625"/>
      <c r="M133" s="1087"/>
      <c r="N133" s="1087"/>
      <c r="O133" s="1087"/>
    </row>
    <row r="134" spans="3:15" ht="17.25" x14ac:dyDescent="0.25">
      <c r="C134" s="136">
        <v>61</v>
      </c>
      <c r="D134" s="136"/>
      <c r="E134" s="136"/>
      <c r="F134" s="137"/>
      <c r="G134" s="137"/>
      <c r="H134" s="137"/>
      <c r="I134" s="138"/>
      <c r="J134" s="138"/>
      <c r="K134" s="138"/>
      <c r="M134" s="1087"/>
      <c r="N134" s="1087"/>
      <c r="O134" s="1087"/>
    </row>
    <row r="135" spans="3:15" ht="17.25" x14ac:dyDescent="0.25">
      <c r="C135" s="136">
        <v>62</v>
      </c>
      <c r="D135" s="136"/>
      <c r="E135" s="136"/>
      <c r="F135" s="137"/>
      <c r="G135" s="137"/>
      <c r="H135" s="137"/>
      <c r="I135" s="138"/>
      <c r="J135" s="138"/>
      <c r="K135" s="138"/>
      <c r="M135" s="1087"/>
      <c r="N135" s="1087"/>
      <c r="O135" s="1087"/>
    </row>
    <row r="136" spans="3:15" ht="17.25" x14ac:dyDescent="0.25">
      <c r="C136" s="136">
        <v>63</v>
      </c>
      <c r="D136" s="136"/>
      <c r="E136" s="136"/>
      <c r="F136" s="137"/>
      <c r="G136" s="137"/>
      <c r="H136" s="137"/>
      <c r="I136" s="138"/>
      <c r="J136" s="138"/>
      <c r="K136" s="138"/>
      <c r="M136" s="1087"/>
      <c r="N136" s="1087"/>
      <c r="O136" s="1087"/>
    </row>
    <row r="137" spans="3:15" ht="17.25" x14ac:dyDescent="0.25">
      <c r="C137" s="136">
        <v>64</v>
      </c>
      <c r="D137" s="136"/>
      <c r="E137" s="136"/>
      <c r="F137" s="137"/>
      <c r="G137" s="137"/>
      <c r="H137" s="137"/>
      <c r="I137" s="138"/>
      <c r="J137" s="138"/>
      <c r="K137" s="138"/>
      <c r="M137" s="1087"/>
      <c r="N137" s="1087"/>
      <c r="O137" s="1087"/>
    </row>
    <row r="138" spans="3:15" ht="17.25" x14ac:dyDescent="0.25">
      <c r="C138" s="136">
        <v>65</v>
      </c>
      <c r="D138" s="136"/>
      <c r="E138" s="136"/>
      <c r="F138" s="137"/>
      <c r="G138" s="137"/>
      <c r="H138" s="137"/>
      <c r="I138" s="138"/>
      <c r="J138" s="138"/>
      <c r="K138" s="138"/>
      <c r="M138" s="1087"/>
      <c r="N138" s="1087"/>
      <c r="O138" s="1087"/>
    </row>
    <row r="139" spans="3:15" ht="17.25" x14ac:dyDescent="0.25">
      <c r="C139" s="136">
        <v>66</v>
      </c>
      <c r="D139" s="136"/>
      <c r="E139" s="136"/>
      <c r="F139" s="137"/>
      <c r="G139" s="137"/>
      <c r="H139" s="137"/>
      <c r="I139" s="138"/>
      <c r="J139" s="138"/>
      <c r="K139" s="138"/>
      <c r="M139" s="1087"/>
      <c r="N139" s="1087"/>
      <c r="O139" s="1087"/>
    </row>
    <row r="140" spans="3:15" ht="17.25" x14ac:dyDescent="0.25">
      <c r="C140" s="136">
        <v>67</v>
      </c>
      <c r="D140" s="136"/>
      <c r="E140" s="136"/>
      <c r="F140" s="137"/>
      <c r="G140" s="137"/>
      <c r="H140" s="137"/>
      <c r="I140" s="138"/>
      <c r="J140" s="138"/>
      <c r="K140" s="138"/>
      <c r="M140" s="1087"/>
      <c r="N140" s="1087"/>
      <c r="O140" s="1087"/>
    </row>
    <row r="141" spans="3:15" ht="17.25" x14ac:dyDescent="0.25">
      <c r="C141" s="136">
        <v>68</v>
      </c>
      <c r="D141" s="136"/>
      <c r="E141" s="136"/>
      <c r="F141" s="137"/>
      <c r="G141" s="137"/>
      <c r="H141" s="137"/>
      <c r="I141" s="138"/>
      <c r="J141" s="138"/>
      <c r="K141" s="138"/>
      <c r="M141" s="1087"/>
      <c r="N141" s="1087"/>
      <c r="O141" s="1087"/>
    </row>
    <row r="142" spans="3:15" ht="17.25" x14ac:dyDescent="0.25">
      <c r="C142" s="136">
        <v>69</v>
      </c>
      <c r="D142" s="136"/>
      <c r="E142" s="136"/>
      <c r="F142" s="137"/>
      <c r="G142" s="137"/>
      <c r="H142" s="137"/>
      <c r="I142" s="138"/>
      <c r="J142" s="138"/>
      <c r="K142" s="138"/>
      <c r="M142" s="1087"/>
      <c r="N142" s="1087"/>
      <c r="O142" s="1087"/>
    </row>
    <row r="143" spans="3:15" ht="17.25" x14ac:dyDescent="0.25">
      <c r="C143" s="623">
        <v>70</v>
      </c>
      <c r="D143" s="623"/>
      <c r="E143" s="623"/>
      <c r="F143" s="624"/>
      <c r="G143" s="624"/>
      <c r="H143" s="624"/>
      <c r="I143" s="625"/>
      <c r="J143" s="625"/>
      <c r="K143" s="625"/>
      <c r="M143" s="1087"/>
      <c r="N143" s="1087"/>
      <c r="O143" s="1087"/>
    </row>
    <row r="144" spans="3:15" ht="17.25" x14ac:dyDescent="0.25">
      <c r="C144" s="136">
        <v>71</v>
      </c>
      <c r="D144" s="136"/>
      <c r="E144" s="136"/>
      <c r="F144" s="137"/>
      <c r="G144" s="137"/>
      <c r="H144" s="137"/>
      <c r="I144" s="138"/>
      <c r="J144" s="138"/>
      <c r="K144" s="138"/>
      <c r="M144" s="1087"/>
      <c r="N144" s="1087"/>
      <c r="O144" s="1087"/>
    </row>
    <row r="145" spans="3:15" ht="17.25" x14ac:dyDescent="0.25">
      <c r="C145" s="136">
        <v>72</v>
      </c>
      <c r="D145" s="136"/>
      <c r="E145" s="136"/>
      <c r="F145" s="137"/>
      <c r="G145" s="137"/>
      <c r="H145" s="137"/>
      <c r="I145" s="138"/>
      <c r="J145" s="138"/>
      <c r="K145" s="138"/>
      <c r="M145" s="1087"/>
      <c r="N145" s="1087"/>
      <c r="O145" s="1087"/>
    </row>
    <row r="146" spans="3:15" ht="17.25" x14ac:dyDescent="0.25">
      <c r="C146" s="136">
        <v>73</v>
      </c>
      <c r="D146" s="136"/>
      <c r="E146" s="136"/>
      <c r="F146" s="137"/>
      <c r="G146" s="137"/>
      <c r="H146" s="137"/>
      <c r="I146" s="138"/>
      <c r="J146" s="138"/>
      <c r="K146" s="138"/>
      <c r="M146" s="1087"/>
      <c r="N146" s="1087"/>
      <c r="O146" s="1087"/>
    </row>
    <row r="147" spans="3:15" ht="17.25" x14ac:dyDescent="0.3">
      <c r="C147" s="139">
        <v>74</v>
      </c>
      <c r="D147" s="139"/>
      <c r="E147" s="139"/>
      <c r="F147" s="140"/>
      <c r="G147" s="140"/>
      <c r="H147" s="140"/>
      <c r="I147" s="123"/>
      <c r="J147" s="123"/>
      <c r="K147" s="123"/>
      <c r="M147" s="1087"/>
      <c r="N147" s="1087"/>
      <c r="O147" s="1087"/>
    </row>
    <row r="148" spans="3:15" ht="17.25" x14ac:dyDescent="0.3">
      <c r="C148" s="136">
        <v>75</v>
      </c>
      <c r="D148" s="136"/>
      <c r="E148" s="136"/>
      <c r="F148" s="141"/>
      <c r="G148" s="141"/>
      <c r="H148" s="141"/>
      <c r="I148" s="121"/>
      <c r="J148" s="121"/>
      <c r="K148" s="121"/>
      <c r="M148" s="1087"/>
      <c r="N148" s="1087"/>
      <c r="O148" s="1087"/>
    </row>
    <row r="149" spans="3:15" ht="17.25" x14ac:dyDescent="0.3">
      <c r="C149" s="136">
        <v>76</v>
      </c>
      <c r="D149" s="136"/>
      <c r="E149" s="136"/>
      <c r="F149" s="141"/>
      <c r="G149" s="141"/>
      <c r="H149" s="141"/>
      <c r="I149" s="121"/>
      <c r="J149" s="121"/>
      <c r="K149" s="121"/>
      <c r="M149" s="1087"/>
      <c r="N149" s="1087"/>
      <c r="O149" s="1087"/>
    </row>
    <row r="150" spans="3:15" ht="17.25" x14ac:dyDescent="0.3">
      <c r="C150" s="136">
        <v>77</v>
      </c>
      <c r="D150" s="136"/>
      <c r="E150" s="136"/>
      <c r="F150" s="141"/>
      <c r="G150" s="141"/>
      <c r="H150" s="141"/>
      <c r="I150" s="121"/>
      <c r="J150" s="121"/>
      <c r="K150" s="121"/>
      <c r="M150" s="1087"/>
      <c r="N150" s="1087"/>
      <c r="O150" s="1087"/>
    </row>
    <row r="151" spans="3:15" ht="17.25" x14ac:dyDescent="0.3">
      <c r="C151" s="136">
        <v>78</v>
      </c>
      <c r="D151" s="136"/>
      <c r="E151" s="136"/>
      <c r="F151" s="141"/>
      <c r="G151" s="141"/>
      <c r="H151" s="141"/>
      <c r="I151" s="121"/>
      <c r="J151" s="121"/>
      <c r="K151" s="121"/>
      <c r="M151" s="1087"/>
      <c r="N151" s="1087"/>
      <c r="O151" s="1087"/>
    </row>
    <row r="152" spans="3:15" ht="17.25" x14ac:dyDescent="0.3">
      <c r="C152" s="136">
        <v>79</v>
      </c>
      <c r="D152" s="136"/>
      <c r="E152" s="136"/>
      <c r="F152" s="141"/>
      <c r="G152" s="141"/>
      <c r="H152" s="141"/>
      <c r="I152" s="121"/>
      <c r="J152" s="121"/>
      <c r="K152" s="121"/>
      <c r="M152" s="1087"/>
      <c r="N152" s="1087"/>
      <c r="O152" s="1087"/>
    </row>
    <row r="153" spans="3:15" ht="17.25" x14ac:dyDescent="0.3">
      <c r="C153" s="623">
        <v>80</v>
      </c>
      <c r="D153" s="623"/>
      <c r="E153" s="623"/>
      <c r="F153" s="626"/>
      <c r="G153" s="626"/>
      <c r="H153" s="626"/>
      <c r="I153" s="627"/>
      <c r="J153" s="627"/>
      <c r="K153" s="627"/>
      <c r="M153" s="1087"/>
      <c r="N153" s="1087"/>
      <c r="O153" s="1087"/>
    </row>
    <row r="154" spans="3:15" ht="17.25" x14ac:dyDescent="0.3">
      <c r="C154" s="136">
        <v>81</v>
      </c>
      <c r="D154" s="136"/>
      <c r="E154" s="136"/>
      <c r="F154" s="141"/>
      <c r="G154" s="141"/>
      <c r="H154" s="141"/>
      <c r="I154" s="121"/>
      <c r="J154" s="121"/>
      <c r="K154" s="121"/>
      <c r="M154" s="1087"/>
      <c r="N154" s="1087"/>
      <c r="O154" s="1087"/>
    </row>
    <row r="155" spans="3:15" ht="17.25" x14ac:dyDescent="0.3">
      <c r="C155" s="136">
        <v>82</v>
      </c>
      <c r="D155" s="136"/>
      <c r="E155" s="136"/>
      <c r="F155" s="141"/>
      <c r="G155" s="141"/>
      <c r="H155" s="141"/>
      <c r="I155" s="121"/>
      <c r="J155" s="121"/>
      <c r="K155" s="121"/>
      <c r="M155" s="1087"/>
      <c r="N155" s="1087"/>
      <c r="O155" s="1087"/>
    </row>
    <row r="156" spans="3:15" ht="17.25" x14ac:dyDescent="0.3">
      <c r="C156" s="136">
        <v>83</v>
      </c>
      <c r="D156" s="136"/>
      <c r="E156" s="136"/>
      <c r="F156" s="141"/>
      <c r="G156" s="141"/>
      <c r="H156" s="141"/>
      <c r="I156" s="121"/>
      <c r="J156" s="121"/>
      <c r="K156" s="121"/>
      <c r="M156" s="1087"/>
      <c r="N156" s="1087"/>
      <c r="O156" s="1087"/>
    </row>
    <row r="157" spans="3:15" ht="17.25" x14ac:dyDescent="0.3">
      <c r="C157" s="136">
        <v>84</v>
      </c>
      <c r="D157" s="136"/>
      <c r="E157" s="136"/>
      <c r="F157" s="141"/>
      <c r="G157" s="141"/>
      <c r="H157" s="141"/>
      <c r="I157" s="121"/>
      <c r="J157" s="121"/>
      <c r="K157" s="121"/>
      <c r="M157" s="1087"/>
      <c r="N157" s="1087"/>
      <c r="O157" s="1087"/>
    </row>
    <row r="158" spans="3:15" ht="17.25" x14ac:dyDescent="0.3">
      <c r="C158" s="136">
        <v>85</v>
      </c>
      <c r="D158" s="136"/>
      <c r="E158" s="136"/>
      <c r="F158" s="141"/>
      <c r="G158" s="141"/>
      <c r="H158" s="141"/>
      <c r="I158" s="121"/>
      <c r="J158" s="121"/>
      <c r="K158" s="121"/>
      <c r="M158" s="1087"/>
      <c r="N158" s="1087"/>
      <c r="O158" s="1087"/>
    </row>
    <row r="159" spans="3:15" ht="17.25" x14ac:dyDescent="0.3">
      <c r="C159" s="136">
        <v>86</v>
      </c>
      <c r="D159" s="136"/>
      <c r="E159" s="136"/>
      <c r="F159" s="141"/>
      <c r="G159" s="141"/>
      <c r="H159" s="141"/>
      <c r="I159" s="121"/>
      <c r="J159" s="121"/>
      <c r="K159" s="121"/>
      <c r="M159" s="1087"/>
      <c r="N159" s="1087"/>
      <c r="O159" s="1087"/>
    </row>
    <row r="160" spans="3:15" ht="17.25" x14ac:dyDescent="0.3">
      <c r="C160" s="136">
        <v>87</v>
      </c>
      <c r="D160" s="136"/>
      <c r="E160" s="136"/>
      <c r="F160" s="141"/>
      <c r="G160" s="141"/>
      <c r="H160" s="141"/>
      <c r="I160" s="121"/>
      <c r="J160" s="121"/>
      <c r="K160" s="121"/>
      <c r="M160" s="1087"/>
      <c r="N160" s="1087"/>
      <c r="O160" s="1087"/>
    </row>
    <row r="161" spans="3:15" ht="17.25" x14ac:dyDescent="0.3">
      <c r="C161" s="136">
        <v>88</v>
      </c>
      <c r="D161" s="136"/>
      <c r="E161" s="136"/>
      <c r="F161" s="141"/>
      <c r="G161" s="141"/>
      <c r="H161" s="141"/>
      <c r="I161" s="121"/>
      <c r="J161" s="121"/>
      <c r="K161" s="121"/>
      <c r="M161" s="1087"/>
      <c r="N161" s="1087"/>
      <c r="O161" s="1087"/>
    </row>
    <row r="162" spans="3:15" ht="17.25" x14ac:dyDescent="0.3">
      <c r="C162" s="136">
        <v>89</v>
      </c>
      <c r="D162" s="136"/>
      <c r="E162" s="136"/>
      <c r="F162" s="141"/>
      <c r="G162" s="141"/>
      <c r="H162" s="141"/>
      <c r="I162" s="121"/>
      <c r="J162" s="121"/>
      <c r="K162" s="121"/>
      <c r="M162" s="1087"/>
      <c r="N162" s="1087"/>
      <c r="O162" s="1087"/>
    </row>
    <row r="163" spans="3:15" ht="17.25" x14ac:dyDescent="0.3">
      <c r="C163" s="623">
        <v>90</v>
      </c>
      <c r="D163" s="623"/>
      <c r="E163" s="623"/>
      <c r="F163" s="626"/>
      <c r="G163" s="626"/>
      <c r="H163" s="626"/>
      <c r="I163" s="627"/>
      <c r="J163" s="627"/>
      <c r="K163" s="627"/>
      <c r="M163" s="1087"/>
      <c r="N163" s="1087"/>
      <c r="O163" s="1087"/>
    </row>
    <row r="164" spans="3:15" ht="17.25" x14ac:dyDescent="0.3">
      <c r="C164" s="136">
        <v>91</v>
      </c>
      <c r="D164" s="136"/>
      <c r="E164" s="136"/>
      <c r="F164" s="121"/>
      <c r="G164" s="121"/>
      <c r="H164" s="121"/>
      <c r="I164" s="121"/>
      <c r="J164" s="121"/>
      <c r="K164" s="121"/>
      <c r="M164" s="1087"/>
      <c r="N164" s="1087"/>
      <c r="O164" s="1087"/>
    </row>
    <row r="165" spans="3:15" ht="17.25" x14ac:dyDescent="0.3">
      <c r="C165" s="136">
        <v>92</v>
      </c>
      <c r="D165" s="136"/>
      <c r="E165" s="136"/>
      <c r="F165" s="121"/>
      <c r="G165" s="121"/>
      <c r="H165" s="121"/>
      <c r="I165" s="121"/>
      <c r="J165" s="121"/>
      <c r="K165" s="121"/>
      <c r="M165" s="1087"/>
      <c r="N165" s="1087"/>
      <c r="O165" s="1087"/>
    </row>
    <row r="166" spans="3:15" ht="17.25" x14ac:dyDescent="0.3">
      <c r="C166" s="136">
        <v>93</v>
      </c>
      <c r="D166" s="136"/>
      <c r="E166" s="136"/>
      <c r="F166" s="121"/>
      <c r="G166" s="121"/>
      <c r="H166" s="121"/>
      <c r="I166" s="121"/>
      <c r="J166" s="121"/>
      <c r="K166" s="121"/>
      <c r="M166" s="1087"/>
      <c r="N166" s="1087"/>
      <c r="O166" s="1087"/>
    </row>
    <row r="167" spans="3:15" ht="17.25" x14ac:dyDescent="0.3">
      <c r="C167" s="136">
        <v>94</v>
      </c>
      <c r="D167" s="136"/>
      <c r="E167" s="136"/>
      <c r="F167" s="121"/>
      <c r="G167" s="121"/>
      <c r="H167" s="121"/>
      <c r="I167" s="121"/>
      <c r="J167" s="121"/>
      <c r="K167" s="121"/>
      <c r="M167" s="1087"/>
      <c r="N167" s="1087"/>
      <c r="O167" s="1087"/>
    </row>
    <row r="168" spans="3:15" ht="17.25" x14ac:dyDescent="0.3">
      <c r="C168" s="623">
        <v>95</v>
      </c>
      <c r="D168" s="623"/>
      <c r="E168" s="623"/>
      <c r="F168" s="627"/>
      <c r="G168" s="627"/>
      <c r="H168" s="627"/>
      <c r="I168" s="627"/>
      <c r="J168" s="627"/>
      <c r="K168" s="627"/>
      <c r="M168" s="1087"/>
      <c r="N168" s="1087"/>
      <c r="O168" s="1087"/>
    </row>
    <row r="169" spans="3:15" ht="17.25" x14ac:dyDescent="0.3">
      <c r="C169" s="136">
        <v>96</v>
      </c>
      <c r="D169" s="136"/>
      <c r="E169" s="136"/>
      <c r="F169" s="121"/>
      <c r="G169" s="121"/>
      <c r="H169" s="121"/>
      <c r="I169" s="121"/>
      <c r="J169" s="121"/>
      <c r="K169" s="121"/>
      <c r="M169" s="1087"/>
      <c r="N169" s="1087"/>
      <c r="O169" s="1087"/>
    </row>
    <row r="170" spans="3:15" ht="17.25" x14ac:dyDescent="0.3">
      <c r="C170" s="136">
        <v>97</v>
      </c>
      <c r="D170" s="136"/>
      <c r="E170" s="136"/>
      <c r="F170" s="121"/>
      <c r="G170" s="121"/>
      <c r="H170" s="121"/>
      <c r="I170" s="121"/>
      <c r="J170" s="121"/>
      <c r="K170" s="121"/>
      <c r="M170" s="1087"/>
      <c r="N170" s="1087"/>
      <c r="O170" s="1087"/>
    </row>
    <row r="171" spans="3:15" ht="17.25" x14ac:dyDescent="0.3">
      <c r="C171" s="136">
        <v>98</v>
      </c>
      <c r="D171" s="136"/>
      <c r="E171" s="136"/>
      <c r="F171" s="121"/>
      <c r="G171" s="121"/>
      <c r="H171" s="121"/>
      <c r="I171" s="121"/>
      <c r="J171" s="121"/>
      <c r="K171" s="121"/>
      <c r="M171" s="1087"/>
      <c r="N171" s="1087"/>
      <c r="O171" s="1087"/>
    </row>
    <row r="172" spans="3:15" ht="17.25" x14ac:dyDescent="0.3">
      <c r="C172" s="136">
        <v>99</v>
      </c>
      <c r="D172" s="136"/>
      <c r="E172" s="136"/>
      <c r="F172" s="121"/>
      <c r="G172" s="121"/>
      <c r="H172" s="121"/>
      <c r="I172" s="121"/>
      <c r="J172" s="121"/>
      <c r="K172" s="121"/>
      <c r="M172" s="1087"/>
      <c r="N172" s="1087"/>
      <c r="O172" s="1087"/>
    </row>
    <row r="173" spans="3:15" ht="17.25" x14ac:dyDescent="0.3">
      <c r="C173" s="623">
        <v>100</v>
      </c>
      <c r="D173" s="623"/>
      <c r="E173" s="623"/>
      <c r="F173" s="627"/>
      <c r="G173" s="627"/>
      <c r="H173" s="627"/>
      <c r="I173" s="627"/>
      <c r="J173" s="627"/>
      <c r="K173" s="627"/>
      <c r="M173" s="1087"/>
      <c r="N173" s="1087"/>
      <c r="O173" s="1087"/>
    </row>
    <row r="174" spans="3:15" x14ac:dyDescent="0.25">
      <c r="M174" s="1087"/>
      <c r="N174" s="1087"/>
      <c r="O174" s="1087"/>
    </row>
  </sheetData>
  <mergeCells count="22">
    <mergeCell ref="A1:M1"/>
    <mergeCell ref="M5:N5"/>
    <mergeCell ref="M6:N6"/>
    <mergeCell ref="A9:A10"/>
    <mergeCell ref="B13:B17"/>
    <mergeCell ref="C13:C17"/>
    <mergeCell ref="A18:A20"/>
    <mergeCell ref="B18:B19"/>
    <mergeCell ref="M21:N21"/>
    <mergeCell ref="A23:A24"/>
    <mergeCell ref="A25:A26"/>
    <mergeCell ref="C25:C26"/>
    <mergeCell ref="B29:B31"/>
    <mergeCell ref="B33:B35"/>
    <mergeCell ref="C33:C35"/>
    <mergeCell ref="B39:B43"/>
    <mergeCell ref="C39:C43"/>
    <mergeCell ref="B44:B47"/>
    <mergeCell ref="C44:C47"/>
    <mergeCell ref="B48:B49"/>
    <mergeCell ref="C48:C49"/>
    <mergeCell ref="B55:B58"/>
  </mergeCells>
  <pageMargins left="0.25" right="0.25" top="0.75" bottom="0.75" header="0.3" footer="0.3"/>
  <pageSetup paperSize="9" scale="38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D047-443D-46F5-A354-141FA50864AA}">
  <sheetPr>
    <tabColor rgb="FF3333FF"/>
    <pageSetUpPr fitToPage="1"/>
  </sheetPr>
  <dimension ref="A1:CL175"/>
  <sheetViews>
    <sheetView showGridLines="0" zoomScale="46" zoomScaleNormal="55" zoomScaleSheetLayoutView="55" workbookViewId="0">
      <pane xSplit="3" ySplit="6" topLeftCell="D79" activePane="bottomRight" state="frozen"/>
      <selection pane="topRight" activeCell="D1" sqref="D1"/>
      <selection pane="bottomLeft" activeCell="A7" sqref="A7"/>
      <selection pane="bottomRight" activeCell="L24" sqref="L24"/>
    </sheetView>
  </sheetViews>
  <sheetFormatPr defaultColWidth="8.85546875" defaultRowHeight="15.75" x14ac:dyDescent="0.25"/>
  <cols>
    <col min="1" max="1" width="28.140625" style="1088" bestFit="1" customWidth="1"/>
    <col min="2" max="2" width="26.85546875" style="1088" customWidth="1"/>
    <col min="3" max="3" width="14.5703125" style="1088" customWidth="1"/>
    <col min="4" max="10" width="13.85546875" style="1088" customWidth="1"/>
    <col min="11" max="11" width="13.85546875" style="1211" customWidth="1"/>
    <col min="12" max="12" width="23.85546875" style="1089" customWidth="1"/>
    <col min="13" max="13" width="24.85546875" style="1089" bestFit="1" customWidth="1"/>
    <col min="14" max="14" width="10.140625" style="1089" customWidth="1"/>
    <col min="15" max="15" width="2.5703125" style="1086" hidden="1" customWidth="1"/>
    <col min="16" max="16" width="0" style="1087" hidden="1" customWidth="1"/>
    <col min="17" max="17" width="2.5703125" style="1087" hidden="1" customWidth="1"/>
    <col min="18" max="21" width="0" style="1087" hidden="1" customWidth="1"/>
    <col min="22" max="23" width="8.85546875" style="1087"/>
    <col min="24" max="24" width="11.85546875" style="1087" customWidth="1"/>
    <col min="25" max="25" width="18.5703125" style="1087" customWidth="1"/>
    <col min="26" max="26" width="17.5703125" style="1087" customWidth="1"/>
    <col min="27" max="27" width="15.140625" style="1087" bestFit="1" customWidth="1"/>
    <col min="28" max="28" width="14.85546875" style="1087" bestFit="1" customWidth="1"/>
    <col min="29" max="29" width="15.42578125" style="1087" bestFit="1" customWidth="1"/>
    <col min="30" max="30" width="15.140625" style="1087" bestFit="1" customWidth="1"/>
    <col min="31" max="16384" width="8.85546875" style="1087"/>
  </cols>
  <sheetData>
    <row r="1" spans="1:17" ht="28.5" x14ac:dyDescent="0.45">
      <c r="A1" s="1601" t="s">
        <v>655</v>
      </c>
      <c r="B1" s="1601"/>
      <c r="C1" s="1601"/>
      <c r="D1" s="1601"/>
      <c r="E1" s="1601"/>
      <c r="F1" s="1601"/>
      <c r="G1" s="1601"/>
      <c r="H1" s="1601"/>
      <c r="I1" s="1601"/>
      <c r="J1" s="1601"/>
      <c r="K1" s="1601"/>
      <c r="L1" s="1601"/>
      <c r="M1" s="1601"/>
      <c r="N1" s="1208"/>
    </row>
    <row r="2" spans="1:17" x14ac:dyDescent="0.25">
      <c r="A2" s="1209"/>
      <c r="B2" s="1210"/>
      <c r="C2" s="1089"/>
      <c r="D2" s="1089"/>
      <c r="E2" s="1209"/>
      <c r="F2" s="1209"/>
      <c r="G2" s="1209"/>
      <c r="H2" s="1089"/>
      <c r="I2" s="1089"/>
      <c r="J2" s="1089"/>
      <c r="L2" s="1212" t="s">
        <v>656</v>
      </c>
      <c r="M2" s="1213" t="s">
        <v>657</v>
      </c>
      <c r="N2" s="1213"/>
    </row>
    <row r="3" spans="1:17" x14ac:dyDescent="0.25">
      <c r="A3" s="1209"/>
      <c r="B3" s="1214"/>
      <c r="C3" s="1089"/>
      <c r="D3" s="1089"/>
      <c r="E3" s="1209"/>
      <c r="F3" s="1209"/>
      <c r="G3" s="1209"/>
      <c r="H3" s="1089"/>
      <c r="I3" s="1089"/>
      <c r="J3" s="1089"/>
      <c r="L3" s="1212" t="s">
        <v>658</v>
      </c>
      <c r="M3" s="1215">
        <v>45684</v>
      </c>
      <c r="N3" s="1215"/>
    </row>
    <row r="4" spans="1:17" ht="16.5" thickBot="1" x14ac:dyDescent="0.3">
      <c r="A4" s="1209"/>
      <c r="B4" s="1214"/>
      <c r="C4" s="1089"/>
      <c r="D4" s="1089"/>
      <c r="E4" s="1209"/>
      <c r="F4" s="1209"/>
      <c r="G4" s="1209"/>
      <c r="H4" s="1089"/>
      <c r="I4" s="1089"/>
      <c r="J4" s="1089"/>
      <c r="L4" s="1212"/>
      <c r="M4" s="1216"/>
      <c r="N4" s="1216"/>
    </row>
    <row r="5" spans="1:17" ht="18" x14ac:dyDescent="0.25">
      <c r="A5" s="1116" t="s">
        <v>11</v>
      </c>
      <c r="B5" s="1117" t="s">
        <v>12</v>
      </c>
      <c r="C5" s="1117" t="s">
        <v>13</v>
      </c>
      <c r="D5" s="1117" t="s">
        <v>828</v>
      </c>
      <c r="E5" s="1117" t="s">
        <v>829</v>
      </c>
      <c r="F5" s="1117" t="s">
        <v>833</v>
      </c>
      <c r="G5" s="1117" t="s">
        <v>663</v>
      </c>
      <c r="H5" s="1117" t="s">
        <v>665</v>
      </c>
      <c r="I5" s="1117" t="s">
        <v>666</v>
      </c>
      <c r="J5" s="1117" t="s">
        <v>831</v>
      </c>
      <c r="K5" s="1118" t="s">
        <v>835</v>
      </c>
      <c r="M5" s="1602" t="s">
        <v>670</v>
      </c>
      <c r="N5" s="1603"/>
      <c r="O5" s="1219"/>
      <c r="P5" s="1086"/>
    </row>
    <row r="6" spans="1:17" ht="16.5" thickBot="1" x14ac:dyDescent="0.3">
      <c r="A6" s="1119" t="s">
        <v>671</v>
      </c>
      <c r="B6" s="1120"/>
      <c r="C6" s="1120"/>
      <c r="D6" s="1120"/>
      <c r="E6" s="1120" t="s">
        <v>830</v>
      </c>
      <c r="F6" s="1120" t="s">
        <v>834</v>
      </c>
      <c r="G6" s="1120" t="s">
        <v>103</v>
      </c>
      <c r="H6" s="1120" t="s">
        <v>104</v>
      </c>
      <c r="I6" s="1120" t="s">
        <v>679</v>
      </c>
      <c r="J6" s="1120" t="s">
        <v>237</v>
      </c>
      <c r="K6" s="1245" t="s">
        <v>160</v>
      </c>
      <c r="L6" s="1211"/>
      <c r="M6" s="1604" t="s">
        <v>683</v>
      </c>
      <c r="N6" s="1605"/>
      <c r="O6" s="1092"/>
      <c r="P6" s="1086"/>
      <c r="Q6" s="1090" t="s">
        <v>684</v>
      </c>
    </row>
    <row r="7" spans="1:17" x14ac:dyDescent="0.25">
      <c r="A7" s="1166" t="s">
        <v>685</v>
      </c>
      <c r="B7" s="1174" t="s">
        <v>686</v>
      </c>
      <c r="C7" s="1174" t="s">
        <v>18</v>
      </c>
      <c r="D7" s="1157"/>
      <c r="E7" s="1193">
        <v>2.4</v>
      </c>
      <c r="F7" s="1224"/>
      <c r="G7" s="1193">
        <v>7.3</v>
      </c>
      <c r="H7" s="1193">
        <v>14.7</v>
      </c>
      <c r="I7" s="1157"/>
      <c r="J7" s="1193">
        <v>35.700000000000003</v>
      </c>
      <c r="K7" s="1194">
        <v>40</v>
      </c>
      <c r="L7" s="1092"/>
      <c r="M7" s="1093" t="s">
        <v>688</v>
      </c>
      <c r="N7" s="1202" t="s">
        <v>687</v>
      </c>
      <c r="O7" s="1092"/>
      <c r="P7" s="1086"/>
      <c r="Q7" s="1094">
        <v>98.4</v>
      </c>
    </row>
    <row r="8" spans="1:17" ht="16.5" thickBot="1" x14ac:dyDescent="0.3">
      <c r="A8" s="1167" t="s">
        <v>689</v>
      </c>
      <c r="B8" s="1175" t="s">
        <v>690</v>
      </c>
      <c r="C8" s="1175" t="s">
        <v>18</v>
      </c>
      <c r="D8" s="1111"/>
      <c r="E8" s="1190">
        <v>3</v>
      </c>
      <c r="F8" s="1225"/>
      <c r="G8" s="1190">
        <v>7.2</v>
      </c>
      <c r="H8" s="1190">
        <v>15.3</v>
      </c>
      <c r="I8" s="1111"/>
      <c r="J8" s="1190">
        <v>32.299999999999997</v>
      </c>
      <c r="K8" s="1196">
        <v>42.2</v>
      </c>
      <c r="L8" s="1092"/>
      <c r="M8" s="1095" t="s">
        <v>691</v>
      </c>
      <c r="N8" s="1203" t="s">
        <v>687</v>
      </c>
      <c r="O8" s="1092"/>
      <c r="P8" s="1086"/>
      <c r="Q8" s="1094">
        <v>125.1</v>
      </c>
    </row>
    <row r="9" spans="1:17" x14ac:dyDescent="0.25">
      <c r="A9" s="1594" t="s">
        <v>21</v>
      </c>
      <c r="B9" s="1174" t="s">
        <v>692</v>
      </c>
      <c r="C9" s="1174" t="s">
        <v>693</v>
      </c>
      <c r="D9" s="1126"/>
      <c r="E9" s="1253">
        <v>0.76249999999999996</v>
      </c>
      <c r="F9" s="1226"/>
      <c r="G9" s="1252">
        <v>0.81189999999999996</v>
      </c>
      <c r="H9" s="1252">
        <v>0.87229999999999996</v>
      </c>
      <c r="I9" s="1226"/>
      <c r="J9" s="1192">
        <v>0.94420000000000004</v>
      </c>
      <c r="K9" s="1114"/>
      <c r="M9" s="1095" t="s">
        <v>694</v>
      </c>
      <c r="N9" s="1203" t="s">
        <v>687</v>
      </c>
      <c r="O9" s="1092"/>
      <c r="P9" s="1086"/>
      <c r="Q9" s="1094">
        <v>150.80000000000001</v>
      </c>
    </row>
    <row r="10" spans="1:17" x14ac:dyDescent="0.25">
      <c r="A10" s="1595"/>
      <c r="B10" s="1176" t="s">
        <v>839</v>
      </c>
      <c r="C10" s="1176" t="s">
        <v>436</v>
      </c>
      <c r="D10" s="1112"/>
      <c r="E10" s="1184">
        <v>53.9</v>
      </c>
      <c r="F10" s="1113"/>
      <c r="G10" s="1184">
        <v>42.6</v>
      </c>
      <c r="H10" s="1184">
        <v>30.6</v>
      </c>
      <c r="I10" s="1113"/>
      <c r="J10" s="1183">
        <v>18.2</v>
      </c>
      <c r="K10" s="1115"/>
      <c r="M10" s="1095" t="s">
        <v>696</v>
      </c>
      <c r="N10" s="1203" t="s">
        <v>687</v>
      </c>
      <c r="O10" s="1092"/>
      <c r="P10" s="1086"/>
      <c r="Q10" s="1094">
        <v>174.1</v>
      </c>
    </row>
    <row r="11" spans="1:17" ht="18.75" thickBot="1" x14ac:dyDescent="0.3">
      <c r="A11" s="1168" t="s">
        <v>697</v>
      </c>
      <c r="B11" s="1138" t="s">
        <v>698</v>
      </c>
      <c r="C11" s="1175"/>
      <c r="D11" s="1111"/>
      <c r="E11" s="1111"/>
      <c r="F11" s="1111"/>
      <c r="G11" s="1111"/>
      <c r="H11" s="1111"/>
      <c r="I11" s="1111"/>
      <c r="J11" s="1111"/>
      <c r="K11" s="1154"/>
      <c r="M11" s="1096" t="s">
        <v>699</v>
      </c>
      <c r="N11" s="1203" t="s">
        <v>687</v>
      </c>
      <c r="O11" s="1092"/>
      <c r="P11" s="1086"/>
      <c r="Q11" s="1094">
        <v>195.9</v>
      </c>
    </row>
    <row r="12" spans="1:17" ht="16.5" thickBot="1" x14ac:dyDescent="0.3">
      <c r="A12" s="1169" t="s">
        <v>700</v>
      </c>
      <c r="B12" s="1142" t="s">
        <v>701</v>
      </c>
      <c r="C12" s="1177" t="s">
        <v>702</v>
      </c>
      <c r="D12" s="1146"/>
      <c r="E12" s="1124"/>
      <c r="F12" s="1124"/>
      <c r="G12" s="1124"/>
      <c r="H12" s="1124"/>
      <c r="I12" s="1124"/>
      <c r="J12" s="1124"/>
      <c r="K12" s="1125"/>
      <c r="L12" s="1097"/>
      <c r="M12" s="1096" t="s">
        <v>703</v>
      </c>
      <c r="N12" s="1203" t="s">
        <v>687</v>
      </c>
      <c r="O12" s="1092"/>
      <c r="P12" s="1086"/>
      <c r="Q12" s="1094">
        <v>216.3</v>
      </c>
    </row>
    <row r="13" spans="1:17" ht="18" x14ac:dyDescent="0.25">
      <c r="A13" s="1166" t="s">
        <v>704</v>
      </c>
      <c r="B13" s="1584" t="s">
        <v>705</v>
      </c>
      <c r="C13" s="1584" t="s">
        <v>28</v>
      </c>
      <c r="D13" s="1126"/>
      <c r="E13" s="1126"/>
      <c r="F13" s="1126"/>
      <c r="G13" s="1147"/>
      <c r="H13" s="1126"/>
      <c r="I13" s="1126"/>
      <c r="J13" s="1126"/>
      <c r="K13" s="1114"/>
      <c r="L13" s="1097"/>
      <c r="M13" s="1096" t="s">
        <v>706</v>
      </c>
      <c r="N13" s="1203" t="s">
        <v>687</v>
      </c>
      <c r="O13" s="1092"/>
      <c r="P13" s="1086"/>
      <c r="Q13" s="1094">
        <v>234.8</v>
      </c>
    </row>
    <row r="14" spans="1:17" ht="18" x14ac:dyDescent="0.25">
      <c r="A14" s="1170" t="s">
        <v>707</v>
      </c>
      <c r="B14" s="1580"/>
      <c r="C14" s="1580"/>
      <c r="D14" s="1183"/>
      <c r="E14" s="1113"/>
      <c r="F14" s="1113"/>
      <c r="G14" s="1113"/>
      <c r="H14" s="1183"/>
      <c r="I14" s="1113"/>
      <c r="J14" s="1113"/>
      <c r="K14" s="1115"/>
      <c r="L14" s="1097"/>
      <c r="M14" s="1098" t="s">
        <v>708</v>
      </c>
      <c r="N14" s="1203" t="s">
        <v>687</v>
      </c>
      <c r="O14" s="1092"/>
      <c r="P14" s="1086"/>
      <c r="Q14" s="1094">
        <v>252</v>
      </c>
    </row>
    <row r="15" spans="1:17" ht="18" x14ac:dyDescent="0.25">
      <c r="A15" s="1170" t="s">
        <v>709</v>
      </c>
      <c r="B15" s="1580"/>
      <c r="C15" s="1580"/>
      <c r="D15" s="1113"/>
      <c r="E15" s="1113"/>
      <c r="F15" s="1113"/>
      <c r="G15" s="1113"/>
      <c r="H15" s="1113"/>
      <c r="I15" s="1113"/>
      <c r="J15" s="1113"/>
      <c r="K15" s="1115"/>
      <c r="L15" s="1099"/>
      <c r="M15" s="1096" t="s">
        <v>710</v>
      </c>
      <c r="N15" s="1203" t="s">
        <v>687</v>
      </c>
      <c r="O15" s="1092"/>
      <c r="P15" s="1086"/>
      <c r="Q15" s="1094">
        <v>267</v>
      </c>
    </row>
    <row r="16" spans="1:17" ht="18" x14ac:dyDescent="0.25">
      <c r="A16" s="1170" t="s">
        <v>711</v>
      </c>
      <c r="B16" s="1580"/>
      <c r="C16" s="1580"/>
      <c r="D16" s="1113"/>
      <c r="E16" s="1113"/>
      <c r="F16" s="1113"/>
      <c r="G16" s="1113"/>
      <c r="H16" s="1113"/>
      <c r="I16" s="1113"/>
      <c r="J16" s="1183"/>
      <c r="K16" s="1235"/>
      <c r="L16" s="1099"/>
      <c r="M16" s="1100" t="s">
        <v>712</v>
      </c>
      <c r="N16" s="1203" t="s">
        <v>687</v>
      </c>
      <c r="O16" s="1092"/>
      <c r="P16" s="1086"/>
      <c r="Q16" s="1094">
        <v>287</v>
      </c>
    </row>
    <row r="17" spans="1:30" ht="18.75" thickBot="1" x14ac:dyDescent="0.3">
      <c r="A17" s="1170" t="s">
        <v>836</v>
      </c>
      <c r="B17" s="1580"/>
      <c r="C17" s="1580"/>
      <c r="D17" s="1113"/>
      <c r="E17" s="1113"/>
      <c r="F17" s="1113"/>
      <c r="G17" s="1113"/>
      <c r="H17" s="1113"/>
      <c r="I17" s="1113"/>
      <c r="J17" s="1113"/>
      <c r="K17" s="1247"/>
      <c r="L17" s="1097"/>
      <c r="M17" s="1096" t="s">
        <v>714</v>
      </c>
      <c r="N17" s="1203" t="s">
        <v>687</v>
      </c>
      <c r="O17" s="1092"/>
      <c r="P17" s="1086"/>
    </row>
    <row r="18" spans="1:30" ht="16.5" thickBot="1" x14ac:dyDescent="0.3">
      <c r="A18" s="1594" t="s">
        <v>34</v>
      </c>
      <c r="B18" s="1585" t="s">
        <v>715</v>
      </c>
      <c r="C18" s="1174" t="s">
        <v>36</v>
      </c>
      <c r="D18" s="1188"/>
      <c r="E18" s="1126"/>
      <c r="F18" s="1126"/>
      <c r="G18" s="1126"/>
      <c r="H18" s="1126"/>
      <c r="I18" s="1126"/>
      <c r="J18" s="1252">
        <v>0.96699999999999997</v>
      </c>
      <c r="K18" s="1199">
        <v>2.113</v>
      </c>
      <c r="L18" s="1097"/>
      <c r="M18" s="1101" t="s">
        <v>716</v>
      </c>
      <c r="N18" s="1204" t="s">
        <v>687</v>
      </c>
      <c r="O18" s="1097"/>
      <c r="P18" s="1086"/>
    </row>
    <row r="19" spans="1:30" x14ac:dyDescent="0.25">
      <c r="A19" s="1595"/>
      <c r="B19" s="1579"/>
      <c r="C19" s="1176" t="s">
        <v>718</v>
      </c>
      <c r="D19" s="1184"/>
      <c r="E19" s="1183">
        <v>253</v>
      </c>
      <c r="F19" s="1113"/>
      <c r="G19" s="1183">
        <v>240</v>
      </c>
      <c r="H19" s="1183">
        <v>2310</v>
      </c>
      <c r="I19" s="1113"/>
      <c r="J19" s="1184">
        <f>J18*10000</f>
        <v>9670</v>
      </c>
      <c r="K19" s="1184">
        <f>K18*10000</f>
        <v>21130</v>
      </c>
      <c r="L19" s="1097"/>
      <c r="M19" s="1102"/>
      <c r="N19" s="1097"/>
      <c r="O19" s="1220"/>
      <c r="P19" s="1086"/>
    </row>
    <row r="20" spans="1:30" ht="16.5" thickBot="1" x14ac:dyDescent="0.3">
      <c r="A20" s="1596"/>
      <c r="B20" s="1248" t="s">
        <v>717</v>
      </c>
      <c r="C20" s="1175" t="s">
        <v>718</v>
      </c>
      <c r="D20" s="1111"/>
      <c r="E20" s="1111"/>
      <c r="F20" s="1111"/>
      <c r="G20" s="1111"/>
      <c r="H20" s="1111"/>
      <c r="I20" s="1111"/>
      <c r="J20" s="1111"/>
      <c r="K20" s="1127"/>
      <c r="L20" s="1097"/>
      <c r="M20" s="1102"/>
      <c r="N20" s="1097"/>
      <c r="O20" s="1220"/>
      <c r="P20" s="1086"/>
    </row>
    <row r="21" spans="1:30" ht="16.5" thickBot="1" x14ac:dyDescent="0.3">
      <c r="A21" s="1169" t="s">
        <v>719</v>
      </c>
      <c r="B21" s="1151" t="s">
        <v>720</v>
      </c>
      <c r="C21" s="1177" t="s">
        <v>718</v>
      </c>
      <c r="D21" s="1152"/>
      <c r="E21" s="1124"/>
      <c r="F21" s="1124"/>
      <c r="G21" s="1152"/>
      <c r="H21" s="1152"/>
      <c r="I21" s="1124"/>
      <c r="J21" s="1124"/>
      <c r="K21" s="1125"/>
      <c r="L21" s="1097"/>
      <c r="M21" s="1597" t="s">
        <v>721</v>
      </c>
      <c r="N21" s="1598"/>
      <c r="O21" s="1097"/>
      <c r="P21" s="1086"/>
    </row>
    <row r="22" spans="1:30" ht="16.5" thickBot="1" x14ac:dyDescent="0.3">
      <c r="A22" s="1169" t="s">
        <v>722</v>
      </c>
      <c r="B22" s="1142" t="s">
        <v>723</v>
      </c>
      <c r="C22" s="1178" t="s">
        <v>724</v>
      </c>
      <c r="D22" s="1124"/>
      <c r="E22" s="1124"/>
      <c r="F22" s="1124"/>
      <c r="G22" s="1146"/>
      <c r="H22" s="1146"/>
      <c r="I22" s="1124"/>
      <c r="J22" s="1124"/>
      <c r="K22" s="1125"/>
      <c r="L22" s="1097"/>
      <c r="M22" s="1155" t="s">
        <v>827</v>
      </c>
      <c r="N22" s="1165" t="s">
        <v>725</v>
      </c>
      <c r="O22" s="1097"/>
      <c r="P22" s="1086"/>
      <c r="Q22" s="1103" t="s">
        <v>726</v>
      </c>
    </row>
    <row r="23" spans="1:30" x14ac:dyDescent="0.25">
      <c r="A23" s="1599" t="s">
        <v>727</v>
      </c>
      <c r="B23" s="1145" t="s">
        <v>728</v>
      </c>
      <c r="C23" s="1179" t="s">
        <v>724</v>
      </c>
      <c r="D23" s="1126"/>
      <c r="E23" s="1126"/>
      <c r="F23" s="1126"/>
      <c r="G23" s="1126"/>
      <c r="H23" s="1126"/>
      <c r="I23" s="1126"/>
      <c r="J23" s="1126"/>
      <c r="K23" s="1114"/>
      <c r="L23" s="1097"/>
      <c r="M23" s="1200" t="s">
        <v>729</v>
      </c>
      <c r="N23" s="1205" t="s">
        <v>687</v>
      </c>
      <c r="O23" s="1097"/>
      <c r="P23" s="1086"/>
      <c r="Q23" s="1103" t="s">
        <v>730</v>
      </c>
    </row>
    <row r="24" spans="1:30" ht="16.5" thickBot="1" x14ac:dyDescent="0.3">
      <c r="A24" s="1600"/>
      <c r="B24" s="1138" t="s">
        <v>731</v>
      </c>
      <c r="C24" s="1180" t="s">
        <v>724</v>
      </c>
      <c r="D24" s="1111"/>
      <c r="E24" s="1111"/>
      <c r="F24" s="1111"/>
      <c r="G24" s="1148"/>
      <c r="H24" s="1148"/>
      <c r="I24" s="1111"/>
      <c r="J24" s="1111"/>
      <c r="K24" s="1127"/>
      <c r="L24" s="1097"/>
      <c r="M24" s="1104" t="s">
        <v>732</v>
      </c>
      <c r="N24" s="1206" t="s">
        <v>687</v>
      </c>
      <c r="O24" s="1097"/>
      <c r="P24" s="1086"/>
      <c r="Q24" s="1103" t="s">
        <v>733</v>
      </c>
    </row>
    <row r="25" spans="1:30" x14ac:dyDescent="0.25">
      <c r="A25" s="1594" t="s">
        <v>734</v>
      </c>
      <c r="B25" s="1143" t="s">
        <v>735</v>
      </c>
      <c r="C25" s="1584" t="s">
        <v>736</v>
      </c>
      <c r="D25" s="1126"/>
      <c r="E25" s="1126"/>
      <c r="F25" s="1126"/>
      <c r="G25" s="1132"/>
      <c r="H25" s="1132"/>
      <c r="I25" s="1126"/>
      <c r="J25" s="1126"/>
      <c r="K25" s="1114"/>
      <c r="L25" s="1105"/>
      <c r="M25" s="1104" t="s">
        <v>737</v>
      </c>
      <c r="N25" s="1206" t="s">
        <v>687</v>
      </c>
      <c r="O25" s="1097"/>
      <c r="P25" s="1086"/>
      <c r="Q25" s="1103" t="s">
        <v>738</v>
      </c>
    </row>
    <row r="26" spans="1:30" ht="16.5" thickBot="1" x14ac:dyDescent="0.3">
      <c r="A26" s="1596"/>
      <c r="B26" s="1144" t="s">
        <v>739</v>
      </c>
      <c r="C26" s="1582"/>
      <c r="D26" s="1149"/>
      <c r="E26" s="1128"/>
      <c r="F26" s="1128"/>
      <c r="G26" s="1128"/>
      <c r="H26" s="1128"/>
      <c r="I26" s="1149"/>
      <c r="J26" s="1149"/>
      <c r="K26" s="1150"/>
      <c r="L26" s="1097"/>
      <c r="M26" s="1104" t="s">
        <v>740</v>
      </c>
      <c r="N26" s="1206" t="s">
        <v>687</v>
      </c>
      <c r="O26" s="1097"/>
      <c r="P26" s="1086"/>
      <c r="Q26" s="1103" t="s">
        <v>741</v>
      </c>
    </row>
    <row r="27" spans="1:30" x14ac:dyDescent="0.25">
      <c r="A27" s="1166" t="s">
        <v>39</v>
      </c>
      <c r="B27" s="1174" t="s">
        <v>41</v>
      </c>
      <c r="C27" s="1174" t="s">
        <v>718</v>
      </c>
      <c r="D27" s="1188"/>
      <c r="E27" s="1188">
        <v>74</v>
      </c>
      <c r="F27" s="1226"/>
      <c r="G27" s="1188">
        <v>1027</v>
      </c>
      <c r="H27" s="1192">
        <v>1472</v>
      </c>
      <c r="I27" s="1126"/>
      <c r="J27" s="1188">
        <v>4325</v>
      </c>
      <c r="K27" s="1254">
        <v>7675</v>
      </c>
      <c r="L27" s="1097"/>
      <c r="M27" s="1104" t="s">
        <v>743</v>
      </c>
      <c r="N27" s="1206" t="s">
        <v>687</v>
      </c>
      <c r="O27" s="1097"/>
      <c r="P27" s="1086"/>
      <c r="Q27" s="1103" t="s">
        <v>744</v>
      </c>
    </row>
    <row r="28" spans="1:30" ht="16.5" thickBot="1" x14ac:dyDescent="0.3">
      <c r="A28" s="1167" t="s">
        <v>745</v>
      </c>
      <c r="B28" s="1144" t="s">
        <v>746</v>
      </c>
      <c r="C28" s="1175" t="s">
        <v>718</v>
      </c>
      <c r="D28" s="1149"/>
      <c r="E28" s="1129"/>
      <c r="F28" s="1129"/>
      <c r="G28" s="1129"/>
      <c r="H28" s="1129"/>
      <c r="I28" s="1129"/>
      <c r="J28" s="1149"/>
      <c r="K28" s="1127"/>
      <c r="L28" s="1097"/>
      <c r="M28" s="1104" t="s">
        <v>747</v>
      </c>
      <c r="N28" s="1206" t="s">
        <v>687</v>
      </c>
      <c r="O28" s="1097"/>
      <c r="P28" s="1086"/>
      <c r="Q28" s="1103" t="s">
        <v>748</v>
      </c>
    </row>
    <row r="29" spans="1:30" x14ac:dyDescent="0.25">
      <c r="A29" s="1236" t="s">
        <v>106</v>
      </c>
      <c r="B29" s="1588" t="s">
        <v>43</v>
      </c>
      <c r="C29" s="1237" t="s">
        <v>36</v>
      </c>
      <c r="D29" s="1238"/>
      <c r="E29" s="1233"/>
      <c r="F29" s="1233"/>
      <c r="G29" s="1233"/>
      <c r="H29" s="1233"/>
      <c r="I29" s="1233"/>
      <c r="J29" s="1485">
        <v>88.59</v>
      </c>
      <c r="K29" s="1484">
        <v>88.13</v>
      </c>
      <c r="L29" s="1097"/>
      <c r="M29" s="1104" t="s">
        <v>751</v>
      </c>
      <c r="N29" s="1206" t="s">
        <v>687</v>
      </c>
      <c r="O29" s="1097"/>
      <c r="P29" s="1086"/>
      <c r="Q29" s="1103" t="s">
        <v>752</v>
      </c>
    </row>
    <row r="30" spans="1:30" x14ac:dyDescent="0.25">
      <c r="A30" s="1230" t="s">
        <v>107</v>
      </c>
      <c r="B30" s="1589"/>
      <c r="C30" s="1231" t="s">
        <v>36</v>
      </c>
      <c r="D30" s="1239"/>
      <c r="E30" s="1234"/>
      <c r="F30" s="1234"/>
      <c r="G30" s="1234"/>
      <c r="H30" s="1234"/>
      <c r="I30" s="1234"/>
      <c r="J30" s="1183">
        <v>11.56</v>
      </c>
      <c r="K30" s="1247">
        <v>9.83</v>
      </c>
      <c r="L30" s="1097"/>
      <c r="M30" s="1104" t="s">
        <v>755</v>
      </c>
      <c r="N30" s="1206" t="s">
        <v>687</v>
      </c>
      <c r="O30" s="1097"/>
      <c r="P30" s="1086"/>
      <c r="Q30" s="1103"/>
    </row>
    <row r="31" spans="1:30" ht="32.25" thickBot="1" x14ac:dyDescent="0.3">
      <c r="A31" s="1240" t="s">
        <v>156</v>
      </c>
      <c r="B31" s="1590"/>
      <c r="C31" s="1241" t="s">
        <v>36</v>
      </c>
      <c r="D31" s="1242"/>
      <c r="E31" s="1232"/>
      <c r="F31" s="1232"/>
      <c r="G31" s="1232"/>
      <c r="H31" s="1232"/>
      <c r="I31" s="1232"/>
      <c r="J31" s="1487">
        <v>7.9</v>
      </c>
      <c r="K31" s="1489">
        <v>18.71</v>
      </c>
      <c r="L31" s="1488" t="s">
        <v>869</v>
      </c>
      <c r="M31" s="1104" t="s">
        <v>757</v>
      </c>
      <c r="N31" s="1206" t="s">
        <v>687</v>
      </c>
      <c r="O31" s="1097"/>
      <c r="P31" s="1086"/>
      <c r="Q31" s="1103"/>
    </row>
    <row r="32" spans="1:30" ht="16.5" thickBot="1" x14ac:dyDescent="0.3">
      <c r="A32" s="1169" t="s">
        <v>749</v>
      </c>
      <c r="B32" s="1142" t="s">
        <v>750</v>
      </c>
      <c r="C32" s="1178" t="s">
        <v>724</v>
      </c>
      <c r="D32" s="1146"/>
      <c r="E32" s="1124"/>
      <c r="F32" s="1124"/>
      <c r="G32" s="1124"/>
      <c r="H32" s="1124"/>
      <c r="I32" s="1124"/>
      <c r="J32" s="1124"/>
      <c r="K32" s="1125"/>
      <c r="L32" s="1097"/>
      <c r="M32" s="1104" t="s">
        <v>759</v>
      </c>
      <c r="N32" s="1206" t="s">
        <v>687</v>
      </c>
      <c r="O32" s="1097"/>
      <c r="P32" s="1086"/>
      <c r="Q32" s="1103"/>
      <c r="Y32" s="1087" t="s">
        <v>872</v>
      </c>
      <c r="Z32" s="1087" t="s">
        <v>873</v>
      </c>
      <c r="AA32" s="1087" t="s">
        <v>859</v>
      </c>
      <c r="AB32" s="1087" t="s">
        <v>860</v>
      </c>
      <c r="AC32" s="1087" t="s">
        <v>861</v>
      </c>
      <c r="AD32" s="1087" t="s">
        <v>862</v>
      </c>
    </row>
    <row r="33" spans="1:30" x14ac:dyDescent="0.25">
      <c r="A33" s="1166" t="s">
        <v>753</v>
      </c>
      <c r="B33" s="1584" t="s">
        <v>760</v>
      </c>
      <c r="C33" s="1584" t="s">
        <v>718</v>
      </c>
      <c r="D33" s="1126"/>
      <c r="E33" s="1126"/>
      <c r="F33" s="1126"/>
      <c r="G33" s="1126"/>
      <c r="H33" s="1192"/>
      <c r="I33" s="1126"/>
      <c r="J33" s="1188">
        <v>0.13</v>
      </c>
      <c r="K33" s="1254">
        <v>50.7</v>
      </c>
      <c r="L33" s="1097"/>
      <c r="M33" s="1104" t="s">
        <v>761</v>
      </c>
      <c r="N33" s="1206" t="s">
        <v>687</v>
      </c>
      <c r="O33" s="1097"/>
      <c r="P33" s="1086"/>
      <c r="Q33" s="1103" t="s">
        <v>762</v>
      </c>
      <c r="X33" s="1087" t="s">
        <v>3</v>
      </c>
      <c r="Y33" s="1475">
        <v>0.15</v>
      </c>
      <c r="Z33" s="1254">
        <v>29.65</v>
      </c>
      <c r="AA33" s="1188">
        <v>0.13</v>
      </c>
      <c r="AB33" s="1254">
        <v>50.7</v>
      </c>
      <c r="AC33" s="1188">
        <v>0.2</v>
      </c>
      <c r="AD33" s="1254">
        <v>52.5</v>
      </c>
    </row>
    <row r="34" spans="1:30" x14ac:dyDescent="0.25">
      <c r="A34" s="1170" t="s">
        <v>756</v>
      </c>
      <c r="B34" s="1580"/>
      <c r="C34" s="1580"/>
      <c r="D34" s="1113"/>
      <c r="E34" s="1113"/>
      <c r="F34" s="1113"/>
      <c r="G34" s="1113"/>
      <c r="H34" s="1184"/>
      <c r="I34" s="1113"/>
      <c r="J34" s="1183">
        <v>0</v>
      </c>
      <c r="K34" s="1247">
        <v>47.5</v>
      </c>
      <c r="L34" s="1097"/>
      <c r="M34" s="1104" t="s">
        <v>763</v>
      </c>
      <c r="N34" s="1206" t="s">
        <v>687</v>
      </c>
      <c r="O34" s="1097"/>
      <c r="P34" s="1086"/>
      <c r="Q34" s="1103" t="s">
        <v>764</v>
      </c>
      <c r="X34" s="1087" t="s">
        <v>4</v>
      </c>
      <c r="Y34" s="1476">
        <v>0.48</v>
      </c>
      <c r="Z34" s="1247">
        <v>10.28</v>
      </c>
      <c r="AA34" s="1183">
        <v>0</v>
      </c>
      <c r="AB34" s="1247">
        <v>47.5</v>
      </c>
      <c r="AC34" s="1183">
        <v>0</v>
      </c>
      <c r="AD34" s="1247">
        <v>48.6</v>
      </c>
    </row>
    <row r="35" spans="1:30" x14ac:dyDescent="0.25">
      <c r="A35" s="1171" t="s">
        <v>758</v>
      </c>
      <c r="B35" s="1581"/>
      <c r="C35" s="1581"/>
      <c r="D35" s="1130"/>
      <c r="E35" s="1130"/>
      <c r="F35" s="1130"/>
      <c r="G35" s="1130"/>
      <c r="H35" s="1130"/>
      <c r="I35" s="1130"/>
      <c r="J35" s="1189">
        <v>37.15</v>
      </c>
      <c r="K35" s="1473">
        <v>22.9</v>
      </c>
      <c r="L35" s="1097"/>
      <c r="M35" s="1104" t="s">
        <v>765</v>
      </c>
      <c r="N35" s="1206" t="s">
        <v>687</v>
      </c>
      <c r="O35" s="1097"/>
      <c r="P35" s="1086"/>
      <c r="Q35" s="1103" t="s">
        <v>766</v>
      </c>
      <c r="X35" s="1087" t="s">
        <v>864</v>
      </c>
      <c r="Y35" s="1477">
        <v>28.04</v>
      </c>
      <c r="Z35" s="1473">
        <v>33.25</v>
      </c>
      <c r="AA35" s="1189">
        <v>37.15</v>
      </c>
      <c r="AB35" s="1473">
        <v>22.9</v>
      </c>
      <c r="AC35" s="1189">
        <v>42.2</v>
      </c>
      <c r="AD35" s="1473">
        <v>24</v>
      </c>
    </row>
    <row r="36" spans="1:30" x14ac:dyDescent="0.25">
      <c r="A36" s="1171" t="s">
        <v>857</v>
      </c>
      <c r="B36" s="1181"/>
      <c r="C36" s="1181"/>
      <c r="D36" s="1130"/>
      <c r="E36" s="1130"/>
      <c r="F36" s="1130"/>
      <c r="G36" s="1130"/>
      <c r="H36" s="1130"/>
      <c r="I36" s="1130"/>
      <c r="J36" s="1189">
        <v>15.25</v>
      </c>
      <c r="K36" s="1473">
        <v>1.2</v>
      </c>
      <c r="L36" s="1097"/>
      <c r="M36" s="1104"/>
      <c r="N36" s="1206"/>
      <c r="O36" s="1097"/>
      <c r="P36" s="1086"/>
      <c r="Q36" s="1103"/>
      <c r="X36" s="1087" t="s">
        <v>865</v>
      </c>
      <c r="Y36" s="1477">
        <v>2.16</v>
      </c>
      <c r="Z36" s="1473">
        <v>11.7</v>
      </c>
      <c r="AA36" s="1189">
        <v>15.25</v>
      </c>
      <c r="AB36" s="1473">
        <v>1.2</v>
      </c>
      <c r="AC36" s="1189">
        <v>13.8</v>
      </c>
      <c r="AD36" s="1473">
        <v>3.5</v>
      </c>
    </row>
    <row r="37" spans="1:30" ht="16.5" thickBot="1" x14ac:dyDescent="0.3">
      <c r="A37" s="1171" t="s">
        <v>858</v>
      </c>
      <c r="B37" s="1181"/>
      <c r="C37" s="1181"/>
      <c r="D37" s="1130"/>
      <c r="E37" s="1130"/>
      <c r="F37" s="1130"/>
      <c r="G37" s="1130"/>
      <c r="H37" s="1130"/>
      <c r="I37" s="1130"/>
      <c r="J37" s="1189">
        <v>2.12</v>
      </c>
      <c r="K37" s="1473">
        <v>6.6</v>
      </c>
      <c r="L37" s="1097"/>
      <c r="M37" s="1104" t="s">
        <v>770</v>
      </c>
      <c r="N37" s="1206" t="s">
        <v>687</v>
      </c>
      <c r="O37" s="1097"/>
      <c r="P37" s="1086"/>
      <c r="Q37" s="1103"/>
      <c r="X37" s="1087" t="s">
        <v>866</v>
      </c>
      <c r="Y37" s="1478">
        <v>22.62</v>
      </c>
      <c r="Z37" s="1479">
        <v>11.05</v>
      </c>
      <c r="AA37" s="1190">
        <v>2.12</v>
      </c>
      <c r="AB37" s="1479">
        <v>6.6</v>
      </c>
      <c r="AC37" s="1190">
        <v>10.9</v>
      </c>
      <c r="AD37" s="1479">
        <v>6.5</v>
      </c>
    </row>
    <row r="38" spans="1:30" ht="16.5" thickBot="1" x14ac:dyDescent="0.3">
      <c r="A38" s="1171" t="s">
        <v>767</v>
      </c>
      <c r="B38" s="1181"/>
      <c r="C38" s="1181"/>
      <c r="D38" s="1130"/>
      <c r="E38" s="1130"/>
      <c r="F38" s="1130"/>
      <c r="G38" s="1130"/>
      <c r="H38" s="1191"/>
      <c r="I38" s="1130"/>
      <c r="J38" s="1133"/>
      <c r="K38" s="1135"/>
      <c r="L38" s="1097"/>
      <c r="M38" s="1104" t="s">
        <v>773</v>
      </c>
      <c r="N38" s="1206" t="s">
        <v>687</v>
      </c>
      <c r="O38" s="1097"/>
      <c r="P38" s="1086"/>
      <c r="Q38" s="1103" t="s">
        <v>771</v>
      </c>
    </row>
    <row r="39" spans="1:30" ht="16.5" thickBot="1" x14ac:dyDescent="0.3">
      <c r="A39" s="1166" t="s">
        <v>768</v>
      </c>
      <c r="B39" s="1591" t="s">
        <v>769</v>
      </c>
      <c r="C39" s="1585" t="s">
        <v>36</v>
      </c>
      <c r="D39" s="1126"/>
      <c r="E39" s="1221"/>
      <c r="F39" s="1227"/>
      <c r="G39" s="1126"/>
      <c r="H39" s="1126"/>
      <c r="I39" s="1126"/>
      <c r="J39" s="1126"/>
      <c r="K39" s="1114"/>
      <c r="L39" s="1097"/>
      <c r="M39" s="1104" t="s">
        <v>776</v>
      </c>
      <c r="N39" s="1206" t="s">
        <v>687</v>
      </c>
      <c r="O39" s="1097"/>
      <c r="P39" s="1086"/>
      <c r="Q39" s="1103" t="s">
        <v>774</v>
      </c>
      <c r="Y39" s="1087" t="s">
        <v>872</v>
      </c>
      <c r="Z39" s="1087" t="s">
        <v>873</v>
      </c>
      <c r="AA39" s="1087" t="s">
        <v>859</v>
      </c>
      <c r="AB39" s="1087" t="s">
        <v>860</v>
      </c>
      <c r="AC39" s="1087" t="s">
        <v>861</v>
      </c>
      <c r="AD39" s="1087" t="s">
        <v>862</v>
      </c>
    </row>
    <row r="40" spans="1:30" x14ac:dyDescent="0.25">
      <c r="A40" s="1170" t="s">
        <v>772</v>
      </c>
      <c r="B40" s="1592"/>
      <c r="C40" s="1586"/>
      <c r="D40" s="1113"/>
      <c r="E40" s="1222"/>
      <c r="F40" s="1228"/>
      <c r="G40" s="1113"/>
      <c r="H40" s="1113"/>
      <c r="I40" s="1113"/>
      <c r="J40" s="1113"/>
      <c r="K40" s="1115"/>
      <c r="L40" s="1097"/>
      <c r="M40" s="1104" t="s">
        <v>779</v>
      </c>
      <c r="N40" s="1206" t="s">
        <v>687</v>
      </c>
      <c r="O40" s="1097"/>
      <c r="P40" s="1086"/>
      <c r="Q40" s="1103" t="s">
        <v>777</v>
      </c>
      <c r="X40" s="1087" t="s">
        <v>157</v>
      </c>
      <c r="Y40" s="1476">
        <v>25.5</v>
      </c>
      <c r="Z40" s="1199">
        <v>0</v>
      </c>
      <c r="AA40" s="1183">
        <v>32.4</v>
      </c>
      <c r="AB40" s="1199">
        <v>0</v>
      </c>
      <c r="AC40" s="1183">
        <v>34</v>
      </c>
      <c r="AD40" s="1199">
        <v>4.5999999999999996</v>
      </c>
    </row>
    <row r="41" spans="1:30" x14ac:dyDescent="0.25">
      <c r="A41" s="1170" t="s">
        <v>775</v>
      </c>
      <c r="B41" s="1592"/>
      <c r="C41" s="1586"/>
      <c r="D41" s="1113"/>
      <c r="E41" s="1222"/>
      <c r="F41" s="1228"/>
      <c r="G41" s="1113"/>
      <c r="H41" s="1113"/>
      <c r="I41" s="1113"/>
      <c r="J41" s="1113"/>
      <c r="K41" s="1115"/>
      <c r="L41" s="1097"/>
      <c r="M41" s="1104" t="s">
        <v>782</v>
      </c>
      <c r="N41" s="1206" t="s">
        <v>687</v>
      </c>
      <c r="O41" s="1097"/>
      <c r="P41" s="1086"/>
      <c r="Q41" s="1103" t="s">
        <v>780</v>
      </c>
      <c r="X41" s="1087" t="s">
        <v>863</v>
      </c>
      <c r="Y41" s="1496">
        <v>73.900000000000006</v>
      </c>
      <c r="Z41" s="1490">
        <v>68.8</v>
      </c>
      <c r="AA41" s="1495">
        <v>66.900000000000006</v>
      </c>
      <c r="AB41" s="1490">
        <v>53.6</v>
      </c>
      <c r="AC41" s="1495">
        <v>64.900000000000006</v>
      </c>
      <c r="AD41" s="1490">
        <v>43.1</v>
      </c>
    </row>
    <row r="42" spans="1:30" ht="16.5" thickBot="1" x14ac:dyDescent="0.3">
      <c r="A42" s="1170" t="s">
        <v>778</v>
      </c>
      <c r="B42" s="1592"/>
      <c r="C42" s="1586"/>
      <c r="D42" s="1113"/>
      <c r="E42" s="1222"/>
      <c r="F42" s="1228"/>
      <c r="G42" s="1113"/>
      <c r="H42" s="1113"/>
      <c r="I42" s="1113"/>
      <c r="J42" s="1113"/>
      <c r="K42" s="1115"/>
      <c r="L42" s="1097"/>
      <c r="M42" s="1106" t="s">
        <v>786</v>
      </c>
      <c r="N42" s="1206" t="s">
        <v>687</v>
      </c>
      <c r="O42" s="1097"/>
      <c r="P42" s="1086"/>
      <c r="Q42" s="1103" t="s">
        <v>783</v>
      </c>
      <c r="X42" s="1087" t="s">
        <v>339</v>
      </c>
      <c r="Y42" s="1478">
        <v>0.6</v>
      </c>
      <c r="Z42" s="1185">
        <v>12.9</v>
      </c>
      <c r="AA42" s="1190">
        <v>0.7</v>
      </c>
      <c r="AB42" s="1185">
        <v>14.6</v>
      </c>
      <c r="AC42" s="1190">
        <v>1.1000000000000001</v>
      </c>
      <c r="AD42" s="1185">
        <v>12.3</v>
      </c>
    </row>
    <row r="43" spans="1:30" ht="16.5" thickBot="1" x14ac:dyDescent="0.3">
      <c r="A43" s="1167" t="s">
        <v>781</v>
      </c>
      <c r="B43" s="1593"/>
      <c r="C43" s="1587"/>
      <c r="D43" s="1111"/>
      <c r="E43" s="1223"/>
      <c r="F43" s="1229"/>
      <c r="G43" s="1111"/>
      <c r="H43" s="1111"/>
      <c r="I43" s="1111"/>
      <c r="J43" s="1111"/>
      <c r="K43" s="1127"/>
      <c r="L43" s="1097"/>
      <c r="M43" s="1107" t="s">
        <v>788</v>
      </c>
      <c r="N43" s="1206" t="s">
        <v>687</v>
      </c>
      <c r="O43" s="1097"/>
      <c r="P43" s="1086"/>
      <c r="Q43" s="1103" t="s">
        <v>774</v>
      </c>
      <c r="X43" s="1087" t="s">
        <v>867</v>
      </c>
      <c r="Y43" s="1478">
        <v>0</v>
      </c>
      <c r="Z43" s="1491">
        <v>18.3</v>
      </c>
      <c r="AA43" s="1190">
        <v>0</v>
      </c>
      <c r="AB43" s="1491">
        <v>31.8</v>
      </c>
      <c r="AC43" s="1190">
        <v>0</v>
      </c>
      <c r="AD43" s="1491">
        <v>40.1</v>
      </c>
    </row>
    <row r="44" spans="1:30" x14ac:dyDescent="0.25">
      <c r="A44" s="1172" t="s">
        <v>784</v>
      </c>
      <c r="B44" s="1575" t="s">
        <v>785</v>
      </c>
      <c r="C44" s="1579" t="s">
        <v>36</v>
      </c>
      <c r="D44" s="1131"/>
      <c r="E44" s="1131"/>
      <c r="F44" s="1131"/>
      <c r="G44" s="1156"/>
      <c r="H44" s="1156"/>
      <c r="I44" s="1131"/>
      <c r="J44" s="1131"/>
      <c r="K44" s="1134"/>
      <c r="L44" s="1097"/>
      <c r="M44" s="1107" t="s">
        <v>792</v>
      </c>
      <c r="N44" s="1206" t="s">
        <v>687</v>
      </c>
      <c r="O44" s="1097"/>
      <c r="P44" s="1086"/>
      <c r="Q44" s="1103" t="s">
        <v>789</v>
      </c>
      <c r="X44" s="1087" t="s">
        <v>320</v>
      </c>
      <c r="Y44" s="1480">
        <f>(Y40+Y43)/(Y41+Y42)</f>
        <v>0.34228187919463088</v>
      </c>
      <c r="Z44" s="1480">
        <f t="shared" ref="Z44:AD44" si="0">(Z40+Z43)/(Z41+Z42)</f>
        <v>0.22399020807833536</v>
      </c>
      <c r="AA44" s="1480">
        <f>(AA40+AA43)/(AA41+AA42)</f>
        <v>0.47928994082840226</v>
      </c>
      <c r="AB44" s="1480">
        <f t="shared" si="0"/>
        <v>0.4662756598240469</v>
      </c>
      <c r="AC44" s="1480">
        <f t="shared" si="0"/>
        <v>0.51515151515151514</v>
      </c>
      <c r="AD44" s="1480">
        <f t="shared" si="0"/>
        <v>0.80685920577617321</v>
      </c>
    </row>
    <row r="45" spans="1:30" ht="16.5" thickBot="1" x14ac:dyDescent="0.3">
      <c r="A45" s="1170" t="s">
        <v>787</v>
      </c>
      <c r="B45" s="1576"/>
      <c r="C45" s="1580"/>
      <c r="D45" s="1113"/>
      <c r="E45" s="1113"/>
      <c r="F45" s="1113"/>
      <c r="G45" s="1140"/>
      <c r="H45" s="1140"/>
      <c r="I45" s="1113"/>
      <c r="J45" s="1113"/>
      <c r="K45" s="1115"/>
      <c r="L45" s="1097"/>
      <c r="M45" s="1201" t="s">
        <v>796</v>
      </c>
      <c r="N45" s="1138" t="s">
        <v>687</v>
      </c>
      <c r="O45" s="1097"/>
      <c r="P45" s="1086"/>
      <c r="Q45" s="1103"/>
    </row>
    <row r="46" spans="1:30" ht="16.5" thickBot="1" x14ac:dyDescent="0.3">
      <c r="A46" s="1171" t="s">
        <v>790</v>
      </c>
      <c r="B46" s="1577"/>
      <c r="C46" s="1581"/>
      <c r="D46" s="1130"/>
      <c r="E46" s="1130"/>
      <c r="F46" s="1130"/>
      <c r="G46" s="1130"/>
      <c r="H46" s="1140"/>
      <c r="I46" s="1130"/>
      <c r="J46" s="1130"/>
      <c r="K46" s="1135"/>
      <c r="L46" s="1097"/>
      <c r="M46" s="1102"/>
      <c r="N46" s="1097"/>
      <c r="O46" s="1097"/>
      <c r="P46" s="1086"/>
      <c r="Q46" s="1103" t="s">
        <v>793</v>
      </c>
      <c r="X46" s="1087" t="s">
        <v>156</v>
      </c>
      <c r="Y46" s="1481">
        <v>3192</v>
      </c>
      <c r="Z46" s="1482">
        <v>3613</v>
      </c>
      <c r="AA46" s="1482">
        <v>4325</v>
      </c>
      <c r="AB46" s="1482">
        <v>7675</v>
      </c>
      <c r="AC46" s="1482">
        <v>5243</v>
      </c>
      <c r="AD46" s="1483">
        <v>9436</v>
      </c>
    </row>
    <row r="47" spans="1:30" ht="16.5" thickBot="1" x14ac:dyDescent="0.3">
      <c r="A47" s="1167" t="s">
        <v>791</v>
      </c>
      <c r="B47" s="1578"/>
      <c r="C47" s="1582"/>
      <c r="D47" s="1111"/>
      <c r="E47" s="1111"/>
      <c r="F47" s="1111"/>
      <c r="G47" s="1141"/>
      <c r="H47" s="1141"/>
      <c r="I47" s="1111"/>
      <c r="J47" s="1111"/>
      <c r="K47" s="1127"/>
      <c r="M47" s="1102"/>
      <c r="N47" s="1097"/>
      <c r="O47" s="1089"/>
      <c r="P47" s="1086"/>
      <c r="Q47" s="1103" t="s">
        <v>793</v>
      </c>
    </row>
    <row r="48" spans="1:30" x14ac:dyDescent="0.25">
      <c r="A48" s="1166" t="s">
        <v>794</v>
      </c>
      <c r="B48" s="1583" t="s">
        <v>795</v>
      </c>
      <c r="C48" s="1584" t="s">
        <v>718</v>
      </c>
      <c r="D48" s="1147"/>
      <c r="E48" s="1147"/>
      <c r="F48" s="1226"/>
      <c r="G48" s="1126"/>
      <c r="H48" s="1126"/>
      <c r="I48" s="1126"/>
      <c r="J48" s="1126"/>
      <c r="K48" s="1114"/>
      <c r="M48" s="1102"/>
      <c r="N48" s="1097"/>
      <c r="O48" s="1089"/>
      <c r="P48" s="1086"/>
      <c r="Q48" s="1103" t="s">
        <v>798</v>
      </c>
      <c r="X48" s="1087" t="s">
        <v>868</v>
      </c>
      <c r="Z48" s="1088">
        <v>2100</v>
      </c>
      <c r="AA48" s="1088"/>
      <c r="AB48" s="1088">
        <v>4329</v>
      </c>
      <c r="AC48" s="1088"/>
      <c r="AD48" s="1088">
        <v>18485</v>
      </c>
    </row>
    <row r="49" spans="1:90" ht="16.5" thickBot="1" x14ac:dyDescent="0.3">
      <c r="A49" s="1167" t="s">
        <v>797</v>
      </c>
      <c r="B49" s="1578"/>
      <c r="C49" s="1582"/>
      <c r="D49" s="1111"/>
      <c r="E49" s="1111"/>
      <c r="F49" s="1111"/>
      <c r="G49" s="1111"/>
      <c r="H49" s="1111"/>
      <c r="I49" s="1111"/>
      <c r="J49" s="1111"/>
      <c r="K49" s="1127"/>
      <c r="M49" s="1102"/>
      <c r="N49" s="1097"/>
      <c r="O49" s="1089"/>
      <c r="P49" s="1086"/>
    </row>
    <row r="50" spans="1:90" x14ac:dyDescent="0.25">
      <c r="A50" s="1172" t="s">
        <v>799</v>
      </c>
      <c r="B50" s="1136" t="s">
        <v>800</v>
      </c>
      <c r="C50" s="1182" t="s">
        <v>36</v>
      </c>
      <c r="D50" s="1131"/>
      <c r="E50" s="1131"/>
      <c r="F50" s="1131"/>
      <c r="G50" s="1131"/>
      <c r="H50" s="1131"/>
      <c r="I50" s="1131"/>
      <c r="J50" s="1244"/>
      <c r="K50" s="1474"/>
      <c r="M50" s="1102"/>
      <c r="N50" s="1097"/>
      <c r="O50" s="1089"/>
      <c r="P50" s="1086"/>
    </row>
    <row r="51" spans="1:90" x14ac:dyDescent="0.25">
      <c r="A51" s="1170" t="s">
        <v>801</v>
      </c>
      <c r="B51" s="1176" t="s">
        <v>77</v>
      </c>
      <c r="C51" s="1182" t="s">
        <v>36</v>
      </c>
      <c r="D51" s="1113"/>
      <c r="E51" s="1113"/>
      <c r="F51" s="1113"/>
      <c r="G51" s="1113"/>
      <c r="H51" s="1113"/>
      <c r="I51" s="1113"/>
      <c r="J51" s="1486">
        <v>6.8000000000000005E-2</v>
      </c>
      <c r="K51" s="1185">
        <v>45.8</v>
      </c>
      <c r="M51" s="1102"/>
      <c r="N51" s="1097"/>
      <c r="O51" s="1089"/>
      <c r="P51" s="1086"/>
      <c r="V51" s="1211"/>
      <c r="W51" s="1211"/>
      <c r="X51" s="1211" t="s">
        <v>870</v>
      </c>
      <c r="Y51" s="1494" t="s">
        <v>835</v>
      </c>
      <c r="Z51" s="1493">
        <f>Z43/Z41</f>
        <v>0.26598837209302328</v>
      </c>
      <c r="AA51" s="1211"/>
      <c r="AB51" s="1492">
        <f>AB43/AB41</f>
        <v>0.59328358208955223</v>
      </c>
      <c r="AC51" s="1211"/>
      <c r="AD51" s="1211">
        <f>AD43/AD41</f>
        <v>0.93039443155452439</v>
      </c>
      <c r="AE51" s="1211"/>
      <c r="AF51" s="1211"/>
      <c r="AG51" s="1211"/>
      <c r="AH51" s="1211"/>
      <c r="AI51" s="1211"/>
      <c r="AJ51" s="1211"/>
      <c r="AK51" s="1211"/>
      <c r="AL51" s="1211"/>
      <c r="AM51" s="1211"/>
      <c r="AN51" s="1211"/>
      <c r="AO51" s="1211"/>
      <c r="AP51" s="1211"/>
      <c r="AQ51" s="1211"/>
      <c r="AR51" s="1211"/>
      <c r="AS51" s="1211"/>
      <c r="AT51" s="1211"/>
      <c r="AU51" s="1211"/>
      <c r="AV51" s="1211"/>
      <c r="AW51" s="1211"/>
      <c r="AX51" s="1211"/>
      <c r="AY51" s="1211"/>
      <c r="AZ51" s="1211"/>
      <c r="BA51" s="1211"/>
      <c r="BB51" s="1211"/>
      <c r="BC51" s="1211"/>
      <c r="BD51" s="1211"/>
      <c r="BE51" s="1211"/>
      <c r="BF51" s="1211"/>
      <c r="BG51" s="1211"/>
      <c r="BH51" s="1211"/>
      <c r="BI51" s="1211"/>
      <c r="BJ51" s="1211"/>
      <c r="BK51" s="1211"/>
      <c r="BL51" s="1211"/>
      <c r="BM51" s="1211"/>
      <c r="BN51" s="1211"/>
      <c r="BO51" s="1211"/>
      <c r="BP51" s="1211"/>
      <c r="BQ51" s="1211"/>
      <c r="BR51" s="1211"/>
      <c r="BS51" s="1211"/>
      <c r="BT51" s="1211"/>
      <c r="BU51" s="1211"/>
      <c r="BV51" s="1211"/>
      <c r="BW51" s="1211"/>
      <c r="BX51" s="1211"/>
      <c r="BY51" s="1211"/>
      <c r="BZ51" s="1211"/>
      <c r="CA51" s="1211"/>
      <c r="CB51" s="1211"/>
      <c r="CC51" s="1211"/>
      <c r="CD51" s="1211"/>
      <c r="CE51" s="1211"/>
      <c r="CF51" s="1211"/>
      <c r="CG51" s="1211"/>
      <c r="CH51" s="1211"/>
      <c r="CI51" s="1211"/>
      <c r="CJ51" s="1211"/>
      <c r="CK51" s="1211"/>
      <c r="CL51" s="1211"/>
    </row>
    <row r="52" spans="1:90" s="1086" customFormat="1" x14ac:dyDescent="0.25">
      <c r="A52" s="1173" t="s">
        <v>802</v>
      </c>
      <c r="B52" s="1176" t="s">
        <v>803</v>
      </c>
      <c r="C52" s="1176" t="s">
        <v>36</v>
      </c>
      <c r="D52" s="1184"/>
      <c r="E52" s="1113"/>
      <c r="F52" s="1113"/>
      <c r="G52" s="1113"/>
      <c r="H52" s="1113"/>
      <c r="I52" s="1113"/>
      <c r="J52" s="1486">
        <v>5.8000000000000003E-2</v>
      </c>
      <c r="K52" s="1185">
        <v>17.5</v>
      </c>
      <c r="L52" s="1089"/>
      <c r="M52" s="1089"/>
      <c r="N52" s="1089"/>
      <c r="O52" s="1089"/>
      <c r="Q52" s="1087"/>
      <c r="R52" s="1087"/>
      <c r="S52" s="1087"/>
      <c r="T52" s="1087"/>
      <c r="U52" s="1087"/>
      <c r="V52" s="1211"/>
      <c r="W52" s="1211"/>
      <c r="X52" s="1211" t="s">
        <v>871</v>
      </c>
      <c r="Y52" s="1494" t="s">
        <v>835</v>
      </c>
      <c r="Z52" s="1211"/>
      <c r="AA52" s="1211"/>
      <c r="AB52" s="1492">
        <f>19.4/17.6</f>
        <v>1.1022727272727271</v>
      </c>
      <c r="AC52" s="1211"/>
      <c r="AD52" s="1211">
        <f>25/10.7</f>
        <v>2.3364485981308412</v>
      </c>
      <c r="AE52" s="1211"/>
      <c r="AF52" s="1211"/>
      <c r="AG52" s="1211"/>
      <c r="AH52" s="1211"/>
      <c r="AI52" s="1211"/>
      <c r="AJ52" s="1211"/>
      <c r="AK52" s="1211"/>
      <c r="AL52" s="1211"/>
      <c r="AM52" s="1211"/>
      <c r="AN52" s="1211"/>
      <c r="AO52" s="1211"/>
      <c r="AP52" s="1211"/>
      <c r="AQ52" s="1211"/>
      <c r="AR52" s="1211"/>
      <c r="AS52" s="1211"/>
      <c r="AT52" s="1211"/>
      <c r="AU52" s="1211"/>
      <c r="AV52" s="1211"/>
      <c r="AW52" s="1211"/>
      <c r="AX52" s="1211"/>
      <c r="AY52" s="1211"/>
      <c r="AZ52" s="1211"/>
      <c r="BA52" s="1211"/>
      <c r="BB52" s="1211"/>
      <c r="BC52" s="1211"/>
      <c r="BD52" s="1211"/>
      <c r="BE52" s="1211"/>
      <c r="BF52" s="1211"/>
      <c r="BG52" s="1211"/>
      <c r="BH52" s="1211"/>
      <c r="BI52" s="1211"/>
      <c r="BJ52" s="1211"/>
      <c r="BK52" s="1211"/>
      <c r="BL52" s="1211"/>
      <c r="BM52" s="1211"/>
      <c r="BN52" s="1211"/>
      <c r="BO52" s="1211"/>
      <c r="BP52" s="1211"/>
      <c r="BQ52" s="1211"/>
      <c r="BR52" s="1211"/>
      <c r="BS52" s="1211"/>
      <c r="BT52" s="1211"/>
      <c r="BU52" s="1211"/>
      <c r="BV52" s="1211"/>
      <c r="BW52" s="1211"/>
      <c r="BX52" s="1211"/>
      <c r="BY52" s="1211"/>
      <c r="BZ52" s="1211"/>
      <c r="CA52" s="1211"/>
      <c r="CB52" s="1211"/>
      <c r="CC52" s="1211"/>
      <c r="CD52" s="1211"/>
      <c r="CE52" s="1211"/>
      <c r="CF52" s="1211"/>
      <c r="CG52" s="1211"/>
      <c r="CH52" s="1211"/>
      <c r="CI52" s="1211"/>
      <c r="CJ52" s="1211"/>
      <c r="CK52" s="1211"/>
      <c r="CL52" s="1211"/>
    </row>
    <row r="53" spans="1:90" s="1086" customFormat="1" x14ac:dyDescent="0.25">
      <c r="A53" s="1170" t="s">
        <v>80</v>
      </c>
      <c r="B53" s="1176" t="s">
        <v>805</v>
      </c>
      <c r="C53" s="1176" t="s">
        <v>36</v>
      </c>
      <c r="D53" s="1184"/>
      <c r="E53" s="1113"/>
      <c r="F53" s="1113"/>
      <c r="G53" s="1113"/>
      <c r="H53" s="1113"/>
      <c r="I53" s="1113"/>
      <c r="J53" s="1183">
        <v>0.76</v>
      </c>
      <c r="K53" s="1185">
        <v>36.200000000000003</v>
      </c>
      <c r="L53" s="1089"/>
      <c r="M53" s="1089"/>
      <c r="N53" s="1089"/>
      <c r="O53" s="1089"/>
      <c r="Q53" s="1087"/>
      <c r="R53" s="1087"/>
      <c r="S53" s="1087"/>
      <c r="T53" s="1087"/>
      <c r="U53" s="1087"/>
      <c r="V53" s="1211"/>
      <c r="W53" s="1211"/>
      <c r="X53" s="1211"/>
      <c r="Y53" s="1211"/>
      <c r="Z53" s="1211"/>
      <c r="AA53" s="1211"/>
      <c r="AB53" s="1211"/>
      <c r="AC53" s="1211"/>
      <c r="AD53" s="1211"/>
      <c r="AE53" s="1211"/>
      <c r="AF53" s="1211"/>
      <c r="AG53" s="1211"/>
      <c r="AH53" s="1211"/>
      <c r="AI53" s="1211"/>
      <c r="AJ53" s="1211"/>
      <c r="AK53" s="1211"/>
      <c r="AL53" s="1211"/>
      <c r="AM53" s="1211"/>
      <c r="AN53" s="1211"/>
      <c r="AO53" s="1211"/>
      <c r="AP53" s="1211"/>
      <c r="AQ53" s="1211"/>
      <c r="AR53" s="1211"/>
      <c r="AS53" s="1211"/>
      <c r="AT53" s="1211"/>
      <c r="AU53" s="1211"/>
      <c r="AV53" s="1211"/>
      <c r="AW53" s="1211"/>
      <c r="AX53" s="1211"/>
      <c r="AY53" s="1211"/>
      <c r="AZ53" s="1211"/>
      <c r="BA53" s="1211"/>
      <c r="BB53" s="1211"/>
      <c r="BC53" s="1211"/>
      <c r="BD53" s="1211"/>
      <c r="BE53" s="1211"/>
      <c r="BF53" s="1211"/>
      <c r="BG53" s="1211"/>
      <c r="BH53" s="1211"/>
      <c r="BI53" s="1211"/>
      <c r="BJ53" s="1211"/>
      <c r="BK53" s="1211"/>
      <c r="BL53" s="1211"/>
      <c r="BM53" s="1211"/>
      <c r="BN53" s="1211"/>
      <c r="BO53" s="1211"/>
      <c r="BP53" s="1211"/>
      <c r="BQ53" s="1211"/>
      <c r="BR53" s="1211"/>
      <c r="BS53" s="1211"/>
      <c r="BT53" s="1211"/>
      <c r="BU53" s="1211"/>
      <c r="BV53" s="1211"/>
      <c r="BW53" s="1211"/>
      <c r="BX53" s="1211"/>
      <c r="BY53" s="1211"/>
      <c r="BZ53" s="1211"/>
      <c r="CA53" s="1211"/>
      <c r="CB53" s="1211"/>
      <c r="CC53" s="1211"/>
      <c r="CD53" s="1211"/>
      <c r="CE53" s="1211"/>
      <c r="CF53" s="1211"/>
      <c r="CG53" s="1211"/>
      <c r="CH53" s="1211"/>
      <c r="CI53" s="1211"/>
      <c r="CJ53" s="1211"/>
      <c r="CK53" s="1211"/>
      <c r="CL53" s="1211"/>
    </row>
    <row r="54" spans="1:90" s="1086" customFormat="1" ht="16.5" thickBot="1" x14ac:dyDescent="0.3">
      <c r="A54" s="1171" t="s">
        <v>832</v>
      </c>
      <c r="B54" s="1251" t="s">
        <v>83</v>
      </c>
      <c r="C54" s="1251" t="s">
        <v>718</v>
      </c>
      <c r="D54" s="1191">
        <v>4696.7</v>
      </c>
      <c r="E54" s="1130"/>
      <c r="F54" s="1191">
        <v>2036.6</v>
      </c>
      <c r="G54" s="1130"/>
      <c r="H54" s="1130"/>
      <c r="I54" s="1191">
        <v>1781.8</v>
      </c>
      <c r="J54" s="1133"/>
      <c r="K54" s="1243"/>
      <c r="L54" s="1089"/>
      <c r="M54" s="1089"/>
      <c r="N54" s="1089"/>
      <c r="O54" s="1089"/>
      <c r="Q54" s="1087"/>
      <c r="R54" s="1087"/>
      <c r="S54" s="1087"/>
      <c r="T54" s="1087"/>
      <c r="U54" s="1087"/>
      <c r="V54" s="1211"/>
      <c r="W54" s="1211"/>
      <c r="X54" s="1087" t="s">
        <v>875</v>
      </c>
      <c r="Y54" s="1087"/>
      <c r="Z54" s="1087"/>
      <c r="AA54" s="1087"/>
      <c r="AB54" s="1087">
        <v>3942</v>
      </c>
      <c r="AC54" s="1087"/>
      <c r="AD54" s="1087">
        <v>4733</v>
      </c>
      <c r="AE54" s="1211"/>
      <c r="AF54" s="1211"/>
      <c r="AG54" s="1211"/>
      <c r="AH54" s="1211"/>
      <c r="AI54" s="1211"/>
      <c r="AJ54" s="1211"/>
      <c r="AK54" s="1211"/>
      <c r="AL54" s="1211"/>
      <c r="AM54" s="1211"/>
      <c r="AN54" s="1211"/>
      <c r="AO54" s="1211"/>
      <c r="AP54" s="1211"/>
      <c r="AQ54" s="1211"/>
      <c r="AR54" s="1211"/>
      <c r="AS54" s="1211"/>
      <c r="AT54" s="1211"/>
      <c r="AU54" s="1211"/>
      <c r="AV54" s="1211"/>
      <c r="AW54" s="1211"/>
      <c r="AX54" s="1211"/>
      <c r="AY54" s="1211"/>
      <c r="AZ54" s="1211"/>
      <c r="BA54" s="1211"/>
      <c r="BB54" s="1211"/>
      <c r="BC54" s="1211"/>
      <c r="BD54" s="1211"/>
      <c r="BE54" s="1211"/>
      <c r="BF54" s="1211"/>
      <c r="BG54" s="1211"/>
      <c r="BH54" s="1211"/>
      <c r="BI54" s="1211"/>
      <c r="BJ54" s="1211"/>
      <c r="BK54" s="1211"/>
      <c r="BL54" s="1211"/>
      <c r="BM54" s="1211"/>
      <c r="BN54" s="1211"/>
      <c r="BO54" s="1211"/>
      <c r="BP54" s="1211"/>
      <c r="BQ54" s="1211"/>
      <c r="BR54" s="1211"/>
      <c r="BS54" s="1211"/>
      <c r="BT54" s="1211"/>
      <c r="BU54" s="1211"/>
      <c r="BV54" s="1211"/>
      <c r="BW54" s="1211"/>
      <c r="BX54" s="1211"/>
      <c r="BY54" s="1211"/>
      <c r="BZ54" s="1211"/>
      <c r="CA54" s="1211"/>
      <c r="CB54" s="1211"/>
      <c r="CC54" s="1211"/>
      <c r="CD54" s="1211"/>
      <c r="CE54" s="1211"/>
      <c r="CF54" s="1211"/>
      <c r="CG54" s="1211"/>
      <c r="CH54" s="1211"/>
      <c r="CI54" s="1211"/>
      <c r="CJ54" s="1211"/>
      <c r="CK54" s="1211"/>
      <c r="CL54" s="1211"/>
    </row>
    <row r="55" spans="1:90" s="1086" customFormat="1" x14ac:dyDescent="0.25">
      <c r="A55" s="1166" t="s">
        <v>64</v>
      </c>
      <c r="B55" s="1585" t="s">
        <v>63</v>
      </c>
      <c r="C55" s="1174" t="s">
        <v>55</v>
      </c>
      <c r="D55" s="1192">
        <v>12.6</v>
      </c>
      <c r="E55" s="1126"/>
      <c r="F55" s="1192">
        <v>14.2</v>
      </c>
      <c r="G55" s="1126"/>
      <c r="H55" s="1126"/>
      <c r="I55" s="1192">
        <v>13.8</v>
      </c>
      <c r="J55" s="1188">
        <v>0</v>
      </c>
      <c r="K55" s="1199">
        <v>0</v>
      </c>
      <c r="L55" s="1089"/>
      <c r="M55" s="1089"/>
      <c r="N55" s="1089"/>
      <c r="O55" s="1089"/>
      <c r="Q55" s="1087"/>
      <c r="R55" s="1087"/>
      <c r="S55" s="1087"/>
      <c r="T55" s="1087"/>
      <c r="U55" s="1087"/>
      <c r="V55" s="1211"/>
      <c r="W55" s="1211"/>
      <c r="X55" s="1497" t="s">
        <v>876</v>
      </c>
      <c r="Y55" s="1497"/>
      <c r="Z55" s="1497"/>
      <c r="AA55" s="1497"/>
      <c r="AB55" s="1497">
        <v>4325</v>
      </c>
      <c r="AC55" s="1497"/>
      <c r="AD55" s="1497">
        <v>5243</v>
      </c>
      <c r="AE55" s="1211"/>
      <c r="AF55" s="1211"/>
      <c r="AG55" s="1211"/>
      <c r="AH55" s="1211"/>
      <c r="AI55" s="1211"/>
      <c r="AJ55" s="1211"/>
      <c r="AK55" s="1211"/>
      <c r="AL55" s="1211"/>
      <c r="AM55" s="1211"/>
      <c r="AN55" s="1211"/>
      <c r="AO55" s="1211"/>
      <c r="AP55" s="1211"/>
      <c r="AQ55" s="1211"/>
      <c r="AR55" s="1211"/>
      <c r="AS55" s="1211"/>
      <c r="AT55" s="1211"/>
      <c r="AU55" s="1211"/>
      <c r="AV55" s="1211"/>
      <c r="AW55" s="1211"/>
      <c r="AX55" s="1211"/>
      <c r="AY55" s="1211"/>
      <c r="AZ55" s="1211"/>
      <c r="BA55" s="1211"/>
      <c r="BB55" s="1211"/>
      <c r="BC55" s="1211"/>
      <c r="BD55" s="1211"/>
      <c r="BE55" s="1211"/>
      <c r="BF55" s="1211"/>
      <c r="BG55" s="1211"/>
      <c r="BH55" s="1211"/>
      <c r="BI55" s="1211"/>
      <c r="BJ55" s="1211"/>
      <c r="BK55" s="1211"/>
      <c r="BL55" s="1211"/>
      <c r="BM55" s="1211"/>
      <c r="BN55" s="1211"/>
      <c r="BO55" s="1211"/>
      <c r="BP55" s="1211"/>
      <c r="BQ55" s="1211"/>
      <c r="BR55" s="1211"/>
      <c r="BS55" s="1211"/>
      <c r="BT55" s="1211"/>
      <c r="BU55" s="1211"/>
      <c r="BV55" s="1211"/>
      <c r="BW55" s="1211"/>
      <c r="BX55" s="1211"/>
      <c r="BY55" s="1211"/>
      <c r="BZ55" s="1211"/>
      <c r="CA55" s="1211"/>
      <c r="CB55" s="1211"/>
      <c r="CC55" s="1211"/>
      <c r="CD55" s="1211"/>
      <c r="CE55" s="1211"/>
      <c r="CF55" s="1211"/>
      <c r="CG55" s="1211"/>
      <c r="CH55" s="1211"/>
      <c r="CI55" s="1211"/>
      <c r="CJ55" s="1211"/>
      <c r="CK55" s="1211"/>
      <c r="CL55" s="1211"/>
    </row>
    <row r="56" spans="1:90" s="1086" customFormat="1" x14ac:dyDescent="0.25">
      <c r="A56" s="1170" t="s">
        <v>65</v>
      </c>
      <c r="B56" s="1586"/>
      <c r="C56" s="1176" t="s">
        <v>55</v>
      </c>
      <c r="D56" s="1184">
        <v>55.9</v>
      </c>
      <c r="E56" s="1113"/>
      <c r="F56" s="1184">
        <v>65.400000000000006</v>
      </c>
      <c r="G56" s="1113"/>
      <c r="H56" s="1113"/>
      <c r="I56" s="1184">
        <v>64.2</v>
      </c>
      <c r="J56" s="1183">
        <v>32.4</v>
      </c>
      <c r="K56" s="1185">
        <v>53.6</v>
      </c>
      <c r="L56" s="1089"/>
      <c r="M56" s="1089"/>
      <c r="N56" s="1089"/>
      <c r="O56" s="1089"/>
      <c r="Q56" s="1087"/>
      <c r="R56" s="1087"/>
      <c r="S56" s="1087"/>
      <c r="T56" s="1087"/>
      <c r="U56" s="1087"/>
      <c r="V56" s="1211"/>
      <c r="W56" s="1211"/>
      <c r="X56" s="1211" t="s">
        <v>874</v>
      </c>
      <c r="Y56" s="1211"/>
      <c r="Z56" s="1211"/>
      <c r="AA56" s="1211"/>
      <c r="AB56" s="1211">
        <v>6308</v>
      </c>
      <c r="AC56" s="1211"/>
      <c r="AD56" s="1211">
        <v>8611</v>
      </c>
      <c r="AE56" s="1211"/>
      <c r="AF56" s="1211"/>
      <c r="AG56" s="1211"/>
      <c r="AH56" s="1211"/>
      <c r="AI56" s="1211"/>
      <c r="AJ56" s="1211"/>
      <c r="AK56" s="1211"/>
      <c r="AL56" s="1211"/>
      <c r="AM56" s="1211"/>
      <c r="AN56" s="1211"/>
      <c r="AO56" s="1211"/>
      <c r="AP56" s="1211"/>
      <c r="AQ56" s="1211"/>
      <c r="AR56" s="1211"/>
      <c r="AS56" s="1211"/>
      <c r="AT56" s="1211"/>
      <c r="AU56" s="1211"/>
      <c r="AV56" s="1211"/>
      <c r="AW56" s="1211"/>
      <c r="AX56" s="1211"/>
      <c r="AY56" s="1211"/>
      <c r="AZ56" s="1211"/>
      <c r="BA56" s="1211"/>
      <c r="BB56" s="1211"/>
      <c r="BC56" s="1211"/>
      <c r="BD56" s="1211"/>
      <c r="BE56" s="1211"/>
      <c r="BF56" s="1211"/>
      <c r="BG56" s="1211"/>
      <c r="BH56" s="1211"/>
      <c r="BI56" s="1211"/>
      <c r="BJ56" s="1211"/>
      <c r="BK56" s="1211"/>
      <c r="BL56" s="1211"/>
      <c r="BM56" s="1211"/>
      <c r="BN56" s="1211"/>
      <c r="BO56" s="1211"/>
      <c r="BP56" s="1211"/>
      <c r="BQ56" s="1211"/>
      <c r="BR56" s="1211"/>
      <c r="BS56" s="1211"/>
      <c r="BT56" s="1211"/>
      <c r="BU56" s="1211"/>
      <c r="BV56" s="1211"/>
      <c r="BW56" s="1211"/>
      <c r="BX56" s="1211"/>
      <c r="BY56" s="1211"/>
      <c r="BZ56" s="1211"/>
      <c r="CA56" s="1211"/>
      <c r="CB56" s="1211"/>
      <c r="CC56" s="1211"/>
      <c r="CD56" s="1211"/>
      <c r="CE56" s="1211"/>
      <c r="CF56" s="1211"/>
      <c r="CG56" s="1211"/>
      <c r="CH56" s="1211"/>
      <c r="CI56" s="1211"/>
      <c r="CJ56" s="1211"/>
      <c r="CK56" s="1211"/>
      <c r="CL56" s="1211"/>
    </row>
    <row r="57" spans="1:90" s="1086" customFormat="1" x14ac:dyDescent="0.25">
      <c r="A57" s="1170" t="s">
        <v>66</v>
      </c>
      <c r="B57" s="1586"/>
      <c r="C57" s="1176" t="s">
        <v>55</v>
      </c>
      <c r="D57" s="1184">
        <v>11.5</v>
      </c>
      <c r="E57" s="1113"/>
      <c r="F57" s="1184">
        <v>8.3000000000000007</v>
      </c>
      <c r="G57" s="1113"/>
      <c r="H57" s="1113"/>
      <c r="I57" s="1184">
        <v>10.1</v>
      </c>
      <c r="J57" s="1183">
        <v>66.900000000000006</v>
      </c>
      <c r="K57" s="1185">
        <v>14.6</v>
      </c>
      <c r="L57" s="1089"/>
      <c r="M57" s="1089"/>
      <c r="N57" s="1089"/>
      <c r="O57" s="1089"/>
      <c r="Q57" s="1087"/>
      <c r="R57" s="1087"/>
      <c r="S57" s="1087"/>
      <c r="T57" s="1087"/>
      <c r="U57" s="1087"/>
      <c r="V57" s="1211"/>
      <c r="W57" s="1211"/>
      <c r="X57" s="1497" t="s">
        <v>877</v>
      </c>
      <c r="Y57" s="1497"/>
      <c r="Z57" s="1497"/>
      <c r="AA57" s="1497"/>
      <c r="AB57" s="1497">
        <f>AB46</f>
        <v>7675</v>
      </c>
      <c r="AC57" s="1497"/>
      <c r="AD57" s="1497">
        <f>AD46</f>
        <v>9436</v>
      </c>
      <c r="AE57" s="1211"/>
      <c r="AF57" s="1211"/>
      <c r="AG57" s="1211"/>
      <c r="AH57" s="1211"/>
      <c r="AI57" s="1211"/>
      <c r="AJ57" s="1211"/>
      <c r="AK57" s="1211"/>
      <c r="AL57" s="1211"/>
      <c r="AM57" s="1211"/>
      <c r="AN57" s="1211"/>
      <c r="AO57" s="1211"/>
      <c r="AP57" s="1211"/>
      <c r="AQ57" s="1211"/>
      <c r="AR57" s="1211"/>
      <c r="AS57" s="1211"/>
      <c r="AT57" s="1211"/>
      <c r="AU57" s="1211"/>
      <c r="AV57" s="1211"/>
      <c r="AW57" s="1211"/>
      <c r="AX57" s="1211"/>
      <c r="AY57" s="1211"/>
      <c r="AZ57" s="1211"/>
      <c r="BA57" s="1211"/>
      <c r="BB57" s="1211"/>
      <c r="BC57" s="1211"/>
      <c r="BD57" s="1211"/>
      <c r="BE57" s="1211"/>
      <c r="BF57" s="1211"/>
      <c r="BG57" s="1211"/>
      <c r="BH57" s="1211"/>
      <c r="BI57" s="1211"/>
      <c r="BJ57" s="1211"/>
      <c r="BK57" s="1211"/>
      <c r="BL57" s="1211"/>
      <c r="BM57" s="1211"/>
      <c r="BN57" s="1211"/>
      <c r="BO57" s="1211"/>
      <c r="BP57" s="1211"/>
      <c r="BQ57" s="1211"/>
      <c r="BR57" s="1211"/>
      <c r="BS57" s="1211"/>
      <c r="BT57" s="1211"/>
      <c r="BU57" s="1211"/>
      <c r="BV57" s="1211"/>
      <c r="BW57" s="1211"/>
      <c r="BX57" s="1211"/>
      <c r="BY57" s="1211"/>
      <c r="BZ57" s="1211"/>
      <c r="CA57" s="1211"/>
      <c r="CB57" s="1211"/>
      <c r="CC57" s="1211"/>
      <c r="CD57" s="1211"/>
      <c r="CE57" s="1211"/>
      <c r="CF57" s="1211"/>
      <c r="CG57" s="1211"/>
      <c r="CH57" s="1211"/>
      <c r="CI57" s="1211"/>
      <c r="CJ57" s="1211"/>
      <c r="CK57" s="1211"/>
      <c r="CL57" s="1211"/>
    </row>
    <row r="58" spans="1:90" s="1086" customFormat="1" ht="16.5" thickBot="1" x14ac:dyDescent="0.3">
      <c r="A58" s="1167" t="s">
        <v>67</v>
      </c>
      <c r="B58" s="1587"/>
      <c r="C58" s="1175" t="s">
        <v>55</v>
      </c>
      <c r="D58" s="1195">
        <v>20</v>
      </c>
      <c r="E58" s="1111"/>
      <c r="F58" s="1195">
        <v>12.1</v>
      </c>
      <c r="G58" s="1111"/>
      <c r="H58" s="1111"/>
      <c r="I58" s="1195">
        <v>11.9</v>
      </c>
      <c r="J58" s="1190">
        <v>0.7</v>
      </c>
      <c r="K58" s="1196">
        <v>31.8</v>
      </c>
      <c r="L58" s="1089"/>
      <c r="M58" s="1089"/>
      <c r="N58" s="1089"/>
      <c r="O58" s="1089"/>
      <c r="Q58" s="1087"/>
      <c r="R58" s="1087"/>
      <c r="S58" s="1087"/>
      <c r="T58" s="1087"/>
      <c r="U58" s="1087"/>
      <c r="V58" s="1211"/>
      <c r="W58" s="1211"/>
      <c r="X58" s="1211" t="s">
        <v>879</v>
      </c>
      <c r="Y58" s="1211"/>
      <c r="Z58" s="1211"/>
      <c r="AA58" s="1211"/>
      <c r="AB58" s="1211">
        <v>19.399999999999999</v>
      </c>
      <c r="AC58" s="1211"/>
      <c r="AD58" s="1211">
        <v>25</v>
      </c>
      <c r="AE58" s="1211"/>
      <c r="AF58" s="1211"/>
      <c r="AG58" s="1211"/>
      <c r="AH58" s="1211"/>
      <c r="AI58" s="1211"/>
      <c r="AJ58" s="1211"/>
      <c r="AK58" s="1211"/>
      <c r="AL58" s="1211"/>
      <c r="AM58" s="1211"/>
      <c r="AN58" s="1211"/>
      <c r="AO58" s="1211"/>
      <c r="AP58" s="1211"/>
      <c r="AQ58" s="1211"/>
      <c r="AR58" s="1211"/>
      <c r="AS58" s="1211"/>
      <c r="AT58" s="1211"/>
      <c r="AU58" s="1211"/>
      <c r="AV58" s="1211"/>
      <c r="AW58" s="1211"/>
      <c r="AX58" s="1211"/>
      <c r="AY58" s="1211"/>
      <c r="AZ58" s="1211"/>
      <c r="BA58" s="1211"/>
      <c r="BB58" s="1211"/>
      <c r="BC58" s="1211"/>
      <c r="BD58" s="1211"/>
      <c r="BE58" s="1211"/>
      <c r="BF58" s="1211"/>
      <c r="BG58" s="1211"/>
      <c r="BH58" s="1211"/>
      <c r="BI58" s="1211"/>
      <c r="BJ58" s="1211"/>
      <c r="BK58" s="1211"/>
      <c r="BL58" s="1211"/>
      <c r="BM58" s="1211"/>
      <c r="BN58" s="1211"/>
      <c r="BO58" s="1211"/>
      <c r="BP58" s="1211"/>
      <c r="BQ58" s="1211"/>
      <c r="BR58" s="1211"/>
      <c r="BS58" s="1211"/>
      <c r="BT58" s="1211"/>
      <c r="BU58" s="1211"/>
      <c r="BV58" s="1211"/>
      <c r="BW58" s="1211"/>
      <c r="BX58" s="1211"/>
      <c r="BY58" s="1211"/>
      <c r="BZ58" s="1211"/>
      <c r="CA58" s="1211"/>
      <c r="CB58" s="1211"/>
      <c r="CC58" s="1211"/>
      <c r="CD58" s="1211"/>
      <c r="CE58" s="1211"/>
      <c r="CF58" s="1211"/>
      <c r="CG58" s="1211"/>
      <c r="CH58" s="1211"/>
      <c r="CI58" s="1211"/>
      <c r="CJ58" s="1211"/>
      <c r="CK58" s="1211"/>
      <c r="CL58" s="1211"/>
    </row>
    <row r="59" spans="1:90" s="1086" customFormat="1" x14ac:dyDescent="0.25">
      <c r="A59" s="1172" t="s">
        <v>806</v>
      </c>
      <c r="B59" s="1136" t="s">
        <v>807</v>
      </c>
      <c r="C59" s="1182" t="s">
        <v>36</v>
      </c>
      <c r="D59" s="1131"/>
      <c r="E59" s="1131"/>
      <c r="F59" s="1131"/>
      <c r="G59" s="1131"/>
      <c r="H59" s="1244"/>
      <c r="I59" s="1131"/>
      <c r="J59" s="1131"/>
      <c r="K59" s="1134"/>
      <c r="L59" s="1089"/>
      <c r="M59" s="1089"/>
      <c r="N59" s="1089"/>
      <c r="O59" s="1089"/>
      <c r="Q59" s="1087"/>
      <c r="R59" s="1087"/>
      <c r="S59" s="1087"/>
      <c r="T59" s="1087"/>
      <c r="U59" s="1087"/>
      <c r="V59" s="1211"/>
      <c r="W59" s="1211"/>
      <c r="X59" s="1497" t="s">
        <v>878</v>
      </c>
      <c r="Y59" s="1497"/>
      <c r="Z59" s="1497"/>
      <c r="AA59" s="1497"/>
      <c r="AB59" s="1497">
        <v>31.8</v>
      </c>
      <c r="AC59" s="1497"/>
      <c r="AD59" s="1497">
        <v>40.1</v>
      </c>
      <c r="AE59" s="1211"/>
      <c r="AF59" s="1211"/>
      <c r="AG59" s="1211"/>
      <c r="AH59" s="1211"/>
      <c r="AI59" s="1211"/>
      <c r="AJ59" s="1211"/>
      <c r="AK59" s="1211"/>
      <c r="AL59" s="1211"/>
      <c r="AM59" s="1211"/>
      <c r="AN59" s="1211"/>
      <c r="AO59" s="1211"/>
      <c r="AP59" s="1211"/>
      <c r="AQ59" s="1211"/>
      <c r="AR59" s="1211"/>
      <c r="AS59" s="1211"/>
      <c r="AT59" s="1211"/>
      <c r="AU59" s="1211"/>
      <c r="AV59" s="1211"/>
      <c r="AW59" s="1211"/>
      <c r="AX59" s="1211"/>
      <c r="AY59" s="1211"/>
      <c r="AZ59" s="1211"/>
      <c r="BA59" s="1211"/>
      <c r="BB59" s="1211"/>
      <c r="BC59" s="1211"/>
      <c r="BD59" s="1211"/>
      <c r="BE59" s="1211"/>
      <c r="BF59" s="1211"/>
      <c r="BG59" s="1211"/>
      <c r="BH59" s="1211"/>
      <c r="BI59" s="1211"/>
      <c r="BJ59" s="1211"/>
      <c r="BK59" s="1211"/>
      <c r="BL59" s="1211"/>
      <c r="BM59" s="1211"/>
      <c r="BN59" s="1211"/>
      <c r="BO59" s="1211"/>
      <c r="BP59" s="1211"/>
      <c r="BQ59" s="1211"/>
      <c r="BR59" s="1211"/>
      <c r="BS59" s="1211"/>
      <c r="BT59" s="1211"/>
      <c r="BU59" s="1211"/>
      <c r="BV59" s="1211"/>
      <c r="BW59" s="1211"/>
      <c r="BX59" s="1211"/>
      <c r="BY59" s="1211"/>
      <c r="BZ59" s="1211"/>
      <c r="CA59" s="1211"/>
      <c r="CB59" s="1211"/>
      <c r="CC59" s="1211"/>
      <c r="CD59" s="1211"/>
      <c r="CE59" s="1211"/>
      <c r="CF59" s="1211"/>
      <c r="CG59" s="1211"/>
      <c r="CH59" s="1211"/>
      <c r="CI59" s="1211"/>
      <c r="CJ59" s="1211"/>
      <c r="CK59" s="1211"/>
      <c r="CL59" s="1211"/>
    </row>
    <row r="60" spans="1:90" s="1086" customFormat="1" x14ac:dyDescent="0.25">
      <c r="A60" s="1170" t="s">
        <v>808</v>
      </c>
      <c r="B60" s="1137" t="s">
        <v>809</v>
      </c>
      <c r="C60" s="1176" t="s">
        <v>810</v>
      </c>
      <c r="D60" s="1139"/>
      <c r="E60" s="1113"/>
      <c r="F60" s="1113"/>
      <c r="G60" s="1139"/>
      <c r="H60" s="1139"/>
      <c r="I60" s="1139"/>
      <c r="J60" s="1139"/>
      <c r="K60" s="1153"/>
      <c r="L60" s="1089"/>
      <c r="M60" s="1089"/>
      <c r="N60" s="1089"/>
      <c r="O60" s="1089"/>
      <c r="Q60" s="1087"/>
      <c r="R60" s="1087"/>
      <c r="S60" s="1087"/>
      <c r="T60" s="1087"/>
      <c r="U60" s="1087"/>
      <c r="V60" s="1211"/>
      <c r="W60" s="1211"/>
      <c r="X60" s="1211" t="s">
        <v>880</v>
      </c>
      <c r="Y60" s="1211"/>
      <c r="Z60" s="1211"/>
      <c r="AA60" s="1211"/>
      <c r="AB60" s="1211">
        <v>37.200000000000003</v>
      </c>
      <c r="AC60" s="1211"/>
      <c r="AD60" s="1211">
        <v>43.1</v>
      </c>
      <c r="AE60" s="1211"/>
      <c r="AF60" s="1211"/>
      <c r="AG60" s="1211"/>
      <c r="AH60" s="1211"/>
      <c r="AI60" s="1211"/>
      <c r="AJ60" s="1211"/>
      <c r="AK60" s="1211"/>
      <c r="AL60" s="1211"/>
      <c r="AM60" s="1211"/>
      <c r="AN60" s="1211"/>
      <c r="AO60" s="1211"/>
      <c r="AP60" s="1211"/>
      <c r="AQ60" s="1211"/>
      <c r="AR60" s="1211"/>
      <c r="AS60" s="1211"/>
      <c r="AT60" s="1211"/>
      <c r="AU60" s="1211"/>
      <c r="AV60" s="1211"/>
      <c r="AW60" s="1211"/>
      <c r="AX60" s="1211"/>
      <c r="AY60" s="1211"/>
      <c r="AZ60" s="1211"/>
      <c r="BA60" s="1211"/>
      <c r="BB60" s="1211"/>
      <c r="BC60" s="1211"/>
      <c r="BD60" s="1211"/>
      <c r="BE60" s="1211"/>
      <c r="BF60" s="1211"/>
      <c r="BG60" s="1211"/>
      <c r="BH60" s="1211"/>
      <c r="BI60" s="1211"/>
      <c r="BJ60" s="1211"/>
      <c r="BK60" s="1211"/>
      <c r="BL60" s="1211"/>
      <c r="BM60" s="1211"/>
      <c r="BN60" s="1211"/>
      <c r="BO60" s="1211"/>
      <c r="BP60" s="1211"/>
      <c r="BQ60" s="1211"/>
      <c r="BR60" s="1211"/>
      <c r="BS60" s="1211"/>
      <c r="BT60" s="1211"/>
      <c r="BU60" s="1211"/>
      <c r="BV60" s="1211"/>
      <c r="BW60" s="1211"/>
      <c r="BX60" s="1211"/>
      <c r="BY60" s="1211"/>
      <c r="BZ60" s="1211"/>
      <c r="CA60" s="1211"/>
      <c r="CB60" s="1211"/>
      <c r="CC60" s="1211"/>
      <c r="CD60" s="1211"/>
      <c r="CE60" s="1211"/>
      <c r="CF60" s="1211"/>
      <c r="CG60" s="1211"/>
      <c r="CH60" s="1211"/>
      <c r="CI60" s="1211"/>
      <c r="CJ60" s="1211"/>
      <c r="CK60" s="1211"/>
      <c r="CL60" s="1211"/>
    </row>
    <row r="61" spans="1:90" s="1086" customFormat="1" x14ac:dyDescent="0.25">
      <c r="A61" s="1170" t="s">
        <v>811</v>
      </c>
      <c r="B61" s="1137" t="s">
        <v>812</v>
      </c>
      <c r="C61" s="1176" t="s">
        <v>810</v>
      </c>
      <c r="D61" s="1139"/>
      <c r="E61" s="1113"/>
      <c r="F61" s="1113"/>
      <c r="G61" s="1113"/>
      <c r="H61" s="1113"/>
      <c r="I61" s="1113"/>
      <c r="J61" s="1113"/>
      <c r="K61" s="1115"/>
      <c r="L61" s="1089"/>
      <c r="M61" s="1089"/>
      <c r="N61" s="1089"/>
      <c r="O61" s="1089"/>
      <c r="Q61" s="1087"/>
      <c r="R61" s="1087"/>
      <c r="S61" s="1087"/>
      <c r="T61" s="1087"/>
      <c r="U61" s="1087"/>
      <c r="V61" s="1211"/>
      <c r="W61" s="1211"/>
      <c r="X61" s="1211"/>
      <c r="Y61" s="1211"/>
      <c r="Z61" s="1211"/>
      <c r="AA61" s="1211"/>
      <c r="AB61" s="1211"/>
      <c r="AC61" s="1211"/>
      <c r="AD61" s="1211"/>
      <c r="AE61" s="1211"/>
      <c r="AF61" s="1211"/>
      <c r="AG61" s="1211"/>
      <c r="AH61" s="1211"/>
      <c r="AI61" s="1211"/>
      <c r="AJ61" s="1211"/>
      <c r="AK61" s="1211"/>
      <c r="AL61" s="1211"/>
      <c r="AM61" s="1211"/>
      <c r="AN61" s="1211"/>
      <c r="AO61" s="1211"/>
      <c r="AP61" s="1211"/>
      <c r="AQ61" s="1211"/>
      <c r="AR61" s="1211"/>
      <c r="AS61" s="1211"/>
      <c r="AT61" s="1211"/>
      <c r="AU61" s="1211"/>
      <c r="AV61" s="1211"/>
      <c r="AW61" s="1211"/>
      <c r="AX61" s="1211"/>
      <c r="AY61" s="1211"/>
      <c r="AZ61" s="1211"/>
      <c r="BA61" s="1211"/>
      <c r="BB61" s="1211"/>
      <c r="BC61" s="1211"/>
      <c r="BD61" s="1211"/>
      <c r="BE61" s="1211"/>
      <c r="BF61" s="1211"/>
      <c r="BG61" s="1211"/>
      <c r="BH61" s="1211"/>
      <c r="BI61" s="1211"/>
      <c r="BJ61" s="1211"/>
      <c r="BK61" s="1211"/>
      <c r="BL61" s="1211"/>
      <c r="BM61" s="1211"/>
      <c r="BN61" s="1211"/>
      <c r="BO61" s="1211"/>
      <c r="BP61" s="1211"/>
      <c r="BQ61" s="1211"/>
      <c r="BR61" s="1211"/>
      <c r="BS61" s="1211"/>
      <c r="BT61" s="1211"/>
      <c r="BU61" s="1211"/>
      <c r="BV61" s="1211"/>
      <c r="BW61" s="1211"/>
      <c r="BX61" s="1211"/>
      <c r="BY61" s="1211"/>
      <c r="BZ61" s="1211"/>
      <c r="CA61" s="1211"/>
      <c r="CB61" s="1211"/>
      <c r="CC61" s="1211"/>
      <c r="CD61" s="1211"/>
      <c r="CE61" s="1211"/>
      <c r="CF61" s="1211"/>
      <c r="CG61" s="1211"/>
      <c r="CH61" s="1211"/>
      <c r="CI61" s="1211"/>
      <c r="CJ61" s="1211"/>
      <c r="CK61" s="1211"/>
      <c r="CL61" s="1211"/>
    </row>
    <row r="62" spans="1:90" s="1086" customFormat="1" x14ac:dyDescent="0.25">
      <c r="A62" s="1170" t="s">
        <v>813</v>
      </c>
      <c r="B62" s="1137" t="s">
        <v>814</v>
      </c>
      <c r="C62" s="1176" t="s">
        <v>815</v>
      </c>
      <c r="D62" s="1113"/>
      <c r="E62" s="1139"/>
      <c r="F62" s="1112"/>
      <c r="G62" s="1113"/>
      <c r="H62" s="1140"/>
      <c r="I62" s="1113"/>
      <c r="J62" s="1113"/>
      <c r="K62" s="1115"/>
      <c r="L62" s="1089"/>
      <c r="M62" s="1089"/>
      <c r="N62" s="1089"/>
      <c r="O62" s="1089"/>
      <c r="Q62" s="1087"/>
      <c r="R62" s="1087"/>
      <c r="S62" s="1087"/>
      <c r="T62" s="1087"/>
      <c r="U62" s="1087"/>
      <c r="V62" s="1211"/>
      <c r="W62" s="1211"/>
      <c r="X62" s="1211"/>
      <c r="Y62" s="1211"/>
      <c r="Z62" s="1211"/>
      <c r="AA62" s="1211"/>
      <c r="AB62" s="1211"/>
      <c r="AC62" s="1211"/>
      <c r="AD62" s="1211"/>
      <c r="AE62" s="1211"/>
      <c r="AF62" s="1211"/>
      <c r="AG62" s="1211"/>
      <c r="AH62" s="1211"/>
      <c r="AI62" s="1211"/>
      <c r="AJ62" s="1211"/>
      <c r="AK62" s="1211"/>
      <c r="AL62" s="1211"/>
      <c r="AM62" s="1211"/>
      <c r="AN62" s="1211"/>
      <c r="AO62" s="1211"/>
      <c r="AP62" s="1211"/>
      <c r="AQ62" s="1211"/>
      <c r="AR62" s="1211"/>
      <c r="AS62" s="1211"/>
      <c r="AT62" s="1211"/>
      <c r="AU62" s="1211"/>
      <c r="AV62" s="1211"/>
      <c r="AW62" s="1211"/>
      <c r="AX62" s="1211"/>
      <c r="AY62" s="1211"/>
      <c r="AZ62" s="1211"/>
      <c r="BA62" s="1211"/>
      <c r="BB62" s="1211"/>
      <c r="BC62" s="1211"/>
      <c r="BD62" s="1211"/>
      <c r="BE62" s="1211"/>
      <c r="BF62" s="1211"/>
      <c r="BG62" s="1211"/>
      <c r="BH62" s="1211"/>
      <c r="BI62" s="1211"/>
      <c r="BJ62" s="1211"/>
      <c r="BK62" s="1211"/>
      <c r="BL62" s="1211"/>
      <c r="BM62" s="1211"/>
      <c r="BN62" s="1211"/>
      <c r="BO62" s="1211"/>
      <c r="BP62" s="1211"/>
      <c r="BQ62" s="1211"/>
      <c r="BR62" s="1211"/>
      <c r="BS62" s="1211"/>
      <c r="BT62" s="1211"/>
      <c r="BU62" s="1211"/>
      <c r="BV62" s="1211"/>
      <c r="BW62" s="1211"/>
      <c r="BX62" s="1211"/>
      <c r="BY62" s="1211"/>
      <c r="BZ62" s="1211"/>
      <c r="CA62" s="1211"/>
      <c r="CB62" s="1211"/>
      <c r="CC62" s="1211"/>
      <c r="CD62" s="1211"/>
      <c r="CE62" s="1211"/>
      <c r="CF62" s="1211"/>
      <c r="CG62" s="1211"/>
      <c r="CH62" s="1211"/>
      <c r="CI62" s="1211"/>
      <c r="CJ62" s="1211"/>
      <c r="CK62" s="1211"/>
      <c r="CL62" s="1211"/>
    </row>
    <row r="63" spans="1:90" s="1086" customFormat="1" ht="16.5" thickBot="1" x14ac:dyDescent="0.3">
      <c r="A63" s="1167" t="s">
        <v>816</v>
      </c>
      <c r="B63" s="1138" t="s">
        <v>817</v>
      </c>
      <c r="C63" s="1175" t="s">
        <v>815</v>
      </c>
      <c r="D63" s="1111"/>
      <c r="E63" s="1111"/>
      <c r="F63" s="1111"/>
      <c r="G63" s="1111"/>
      <c r="H63" s="1111"/>
      <c r="I63" s="1246"/>
      <c r="J63" s="1111"/>
      <c r="K63" s="1127"/>
      <c r="L63" s="1089"/>
      <c r="M63" s="1089"/>
      <c r="N63" s="1089"/>
      <c r="O63" s="1089"/>
      <c r="Q63" s="1087"/>
      <c r="R63" s="1087"/>
      <c r="S63" s="1087"/>
      <c r="T63" s="1087"/>
      <c r="U63" s="1087"/>
      <c r="V63" s="1211"/>
      <c r="W63" s="1211"/>
      <c r="X63" s="1211"/>
      <c r="Y63" s="1211"/>
      <c r="Z63" s="1211"/>
      <c r="AA63" s="1211"/>
      <c r="AB63" s="1211"/>
      <c r="AC63" s="1211"/>
      <c r="AD63" s="1211"/>
      <c r="AE63" s="1211"/>
      <c r="AF63" s="1211"/>
      <c r="AG63" s="1211"/>
      <c r="AH63" s="1211"/>
      <c r="AI63" s="1211"/>
      <c r="AJ63" s="1211"/>
      <c r="AK63" s="1211"/>
      <c r="AL63" s="1211"/>
      <c r="AM63" s="1211"/>
      <c r="AN63" s="1211"/>
      <c r="AO63" s="1211"/>
      <c r="AP63" s="1211"/>
      <c r="AQ63" s="1211"/>
      <c r="AR63" s="1211"/>
      <c r="AS63" s="1211"/>
      <c r="AT63" s="1211"/>
      <c r="AU63" s="1211"/>
      <c r="AV63" s="1211"/>
      <c r="AW63" s="1211"/>
      <c r="AX63" s="1211"/>
      <c r="AY63" s="1211"/>
      <c r="AZ63" s="1211"/>
      <c r="BA63" s="1211"/>
      <c r="BB63" s="1211"/>
      <c r="BC63" s="1211"/>
      <c r="BD63" s="1211"/>
      <c r="BE63" s="1211"/>
      <c r="BF63" s="1211"/>
      <c r="BG63" s="1211"/>
      <c r="BH63" s="1211"/>
      <c r="BI63" s="1211"/>
      <c r="BJ63" s="1211"/>
      <c r="BK63" s="1211"/>
      <c r="BL63" s="1211"/>
      <c r="BM63" s="1211"/>
      <c r="BN63" s="1211"/>
      <c r="BO63" s="1211"/>
      <c r="BP63" s="1211"/>
      <c r="BQ63" s="1211"/>
      <c r="BR63" s="1211"/>
      <c r="BS63" s="1211"/>
      <c r="BT63" s="1211"/>
      <c r="BU63" s="1211"/>
      <c r="BV63" s="1211"/>
      <c r="BW63" s="1211"/>
      <c r="BX63" s="1211"/>
      <c r="BY63" s="1211"/>
      <c r="BZ63" s="1211"/>
      <c r="CA63" s="1211"/>
      <c r="CB63" s="1211"/>
      <c r="CC63" s="1211"/>
      <c r="CD63" s="1211"/>
      <c r="CE63" s="1211"/>
      <c r="CF63" s="1211"/>
      <c r="CG63" s="1211"/>
      <c r="CH63" s="1211"/>
      <c r="CI63" s="1211"/>
      <c r="CJ63" s="1211"/>
      <c r="CK63" s="1211"/>
      <c r="CL63" s="1211"/>
    </row>
    <row r="64" spans="1:90" ht="16.5" thickBot="1" x14ac:dyDescent="0.3">
      <c r="A64" s="1167" t="s">
        <v>819</v>
      </c>
      <c r="B64" s="1138" t="s">
        <v>820</v>
      </c>
      <c r="C64" s="1175" t="s">
        <v>821</v>
      </c>
      <c r="D64" s="1111"/>
      <c r="E64" s="1111"/>
      <c r="F64" s="1111"/>
      <c r="G64" s="1111"/>
      <c r="H64" s="1141"/>
      <c r="I64" s="1111"/>
      <c r="J64" s="1111"/>
      <c r="K64" s="1127"/>
      <c r="O64" s="1089"/>
      <c r="V64" s="1211"/>
      <c r="W64" s="1211"/>
      <c r="X64" s="1211"/>
      <c r="Y64" s="1211"/>
      <c r="Z64" s="1211"/>
      <c r="AA64" s="1211"/>
      <c r="AB64" s="1211"/>
      <c r="AC64" s="1211"/>
      <c r="AD64" s="1211"/>
      <c r="AE64" s="1211"/>
      <c r="AF64" s="1211"/>
      <c r="AG64" s="1211"/>
      <c r="AH64" s="1211"/>
      <c r="AI64" s="1211"/>
      <c r="AJ64" s="1211"/>
      <c r="AK64" s="1211"/>
      <c r="AL64" s="1211"/>
      <c r="AM64" s="1211"/>
      <c r="AN64" s="1211"/>
      <c r="AO64" s="1211"/>
      <c r="AP64" s="1211"/>
      <c r="AQ64" s="1211"/>
      <c r="AR64" s="1211"/>
      <c r="AS64" s="1211"/>
      <c r="AT64" s="1211"/>
      <c r="AU64" s="1211"/>
      <c r="AV64" s="1211"/>
      <c r="AW64" s="1211"/>
      <c r="AX64" s="1211"/>
      <c r="AY64" s="1211"/>
      <c r="AZ64" s="1211"/>
      <c r="BA64" s="1211"/>
      <c r="BB64" s="1211"/>
      <c r="BC64" s="1211"/>
      <c r="BD64" s="1211"/>
      <c r="BE64" s="1211"/>
      <c r="BF64" s="1211"/>
      <c r="BG64" s="1211"/>
      <c r="BH64" s="1211"/>
      <c r="BI64" s="1211"/>
      <c r="BJ64" s="1211"/>
      <c r="BK64" s="1211"/>
      <c r="BL64" s="1211"/>
      <c r="BM64" s="1211"/>
      <c r="BN64" s="1211"/>
      <c r="BO64" s="1211"/>
      <c r="BP64" s="1211"/>
      <c r="BQ64" s="1211"/>
      <c r="BR64" s="1211"/>
      <c r="BS64" s="1211"/>
      <c r="BT64" s="1211"/>
      <c r="BU64" s="1211"/>
      <c r="BV64" s="1211"/>
      <c r="BW64" s="1211"/>
      <c r="BX64" s="1211"/>
      <c r="BY64" s="1211"/>
      <c r="BZ64" s="1211"/>
      <c r="CA64" s="1211"/>
      <c r="CB64" s="1211"/>
      <c r="CC64" s="1211"/>
      <c r="CD64" s="1211"/>
      <c r="CE64" s="1211"/>
      <c r="CF64" s="1211"/>
      <c r="CG64" s="1211"/>
      <c r="CH64" s="1211"/>
      <c r="CI64" s="1211"/>
      <c r="CJ64" s="1211"/>
      <c r="CK64" s="1211"/>
      <c r="CL64" s="1211"/>
    </row>
    <row r="65" spans="1:90" ht="16.5" thickBot="1" x14ac:dyDescent="0.3">
      <c r="A65" s="1167" t="s">
        <v>822</v>
      </c>
      <c r="B65" s="1175"/>
      <c r="C65" s="1175"/>
      <c r="D65" s="1183"/>
      <c r="E65" s="1111"/>
      <c r="F65" s="1111"/>
      <c r="G65" s="1111"/>
      <c r="H65" s="1111"/>
      <c r="I65" s="1111"/>
      <c r="J65" s="1111"/>
      <c r="K65" s="1127"/>
      <c r="O65" s="1089"/>
      <c r="V65" s="1211"/>
      <c r="W65" s="1211"/>
      <c r="X65" s="1211"/>
      <c r="Y65" s="1211"/>
      <c r="Z65" s="1211"/>
      <c r="AA65" s="1211"/>
      <c r="AB65" s="1211"/>
      <c r="AC65" s="1211"/>
      <c r="AD65" s="1211"/>
      <c r="AE65" s="1211"/>
      <c r="AF65" s="1211"/>
      <c r="AG65" s="1211"/>
      <c r="AH65" s="1211"/>
      <c r="AI65" s="1211"/>
      <c r="AJ65" s="1211"/>
      <c r="AK65" s="1211"/>
      <c r="AL65" s="1211"/>
      <c r="AM65" s="1211"/>
      <c r="AN65" s="1211"/>
      <c r="AO65" s="1211"/>
      <c r="AP65" s="1211"/>
      <c r="AQ65" s="1211"/>
      <c r="AR65" s="1211"/>
      <c r="AS65" s="1211"/>
      <c r="AT65" s="1211"/>
      <c r="AU65" s="1211"/>
      <c r="AV65" s="1211"/>
      <c r="AW65" s="1211"/>
      <c r="AX65" s="1211"/>
      <c r="AY65" s="1211"/>
      <c r="AZ65" s="1211"/>
      <c r="BA65" s="1211"/>
      <c r="BB65" s="1211"/>
      <c r="BC65" s="1211"/>
      <c r="BD65" s="1211"/>
      <c r="BE65" s="1211"/>
      <c r="BF65" s="1211"/>
      <c r="BG65" s="1211"/>
      <c r="BH65" s="1211"/>
      <c r="BI65" s="1211"/>
      <c r="BJ65" s="1211"/>
      <c r="BK65" s="1211"/>
      <c r="BL65" s="1211"/>
      <c r="BM65" s="1211"/>
      <c r="BN65" s="1211"/>
      <c r="BO65" s="1211"/>
      <c r="BP65" s="1211"/>
      <c r="BQ65" s="1211"/>
      <c r="BR65" s="1211"/>
      <c r="BS65" s="1211"/>
      <c r="BT65" s="1211"/>
      <c r="BU65" s="1211"/>
      <c r="BV65" s="1211"/>
      <c r="BW65" s="1211"/>
      <c r="BX65" s="1211"/>
      <c r="BY65" s="1211"/>
      <c r="BZ65" s="1211"/>
      <c r="CA65" s="1211"/>
      <c r="CB65" s="1211"/>
      <c r="CC65" s="1211"/>
      <c r="CD65" s="1211"/>
      <c r="CE65" s="1211"/>
      <c r="CF65" s="1211"/>
      <c r="CG65" s="1211"/>
      <c r="CH65" s="1211"/>
      <c r="CI65" s="1211"/>
      <c r="CJ65" s="1211"/>
      <c r="CK65" s="1211"/>
      <c r="CL65" s="1211"/>
    </row>
    <row r="66" spans="1:90" s="1086" customFormat="1" ht="25.35" customHeight="1" thickBot="1" x14ac:dyDescent="0.3">
      <c r="A66" s="1167" t="s">
        <v>823</v>
      </c>
      <c r="B66" s="1175"/>
      <c r="C66" s="1175"/>
      <c r="D66" s="1190"/>
      <c r="E66" s="1111"/>
      <c r="F66" s="1111"/>
      <c r="G66" s="1111"/>
      <c r="H66" s="1111"/>
      <c r="I66" s="1111"/>
      <c r="J66" s="1111"/>
      <c r="K66" s="1127"/>
      <c r="L66" s="1089"/>
      <c r="M66" s="1089"/>
      <c r="N66" s="1089"/>
      <c r="P66" s="1087"/>
      <c r="Q66" s="1087"/>
      <c r="R66" s="1087"/>
      <c r="S66" s="1087"/>
      <c r="T66" s="1087"/>
      <c r="U66" s="1087"/>
      <c r="V66" s="1211"/>
      <c r="W66" s="1211"/>
      <c r="X66" s="1211"/>
      <c r="Y66" s="1211"/>
      <c r="Z66" s="1211"/>
      <c r="AA66" s="1211"/>
      <c r="AB66" s="1211"/>
      <c r="AC66" s="1211"/>
      <c r="AD66" s="1211"/>
      <c r="AE66" s="1211"/>
      <c r="AF66" s="1211"/>
      <c r="AG66" s="1211"/>
      <c r="AH66" s="1211"/>
      <c r="AI66" s="1211"/>
      <c r="AJ66" s="1211"/>
      <c r="AK66" s="1211"/>
      <c r="AL66" s="1211"/>
      <c r="AM66" s="1211"/>
      <c r="AN66" s="1211"/>
      <c r="AO66" s="1211"/>
      <c r="AP66" s="1211"/>
      <c r="AQ66" s="1211"/>
      <c r="AR66" s="1211"/>
      <c r="AS66" s="1211"/>
      <c r="AT66" s="1211"/>
      <c r="AU66" s="1211"/>
      <c r="AV66" s="1211"/>
      <c r="AW66" s="1211"/>
      <c r="AX66" s="1211"/>
      <c r="AY66" s="1211"/>
      <c r="AZ66" s="1211"/>
      <c r="BA66" s="1211"/>
      <c r="BB66" s="1211"/>
      <c r="BC66" s="1211"/>
      <c r="BD66" s="1211"/>
      <c r="BE66" s="1211"/>
      <c r="BF66" s="1211"/>
      <c r="BG66" s="1211"/>
      <c r="BH66" s="1211"/>
      <c r="BI66" s="1211"/>
      <c r="BJ66" s="1211"/>
      <c r="BK66" s="1211"/>
      <c r="BL66" s="1211"/>
      <c r="BM66" s="1211"/>
      <c r="BN66" s="1211"/>
      <c r="BO66" s="1211"/>
      <c r="BP66" s="1211"/>
      <c r="BQ66" s="1211"/>
      <c r="BR66" s="1211"/>
      <c r="BS66" s="1211"/>
      <c r="BT66" s="1211"/>
      <c r="BU66" s="1211"/>
      <c r="BV66" s="1211"/>
      <c r="BW66" s="1211"/>
      <c r="BX66" s="1211"/>
      <c r="BY66" s="1211"/>
      <c r="BZ66" s="1211"/>
      <c r="CA66" s="1211"/>
      <c r="CB66" s="1211"/>
      <c r="CC66" s="1211"/>
      <c r="CD66" s="1211"/>
      <c r="CE66" s="1211"/>
      <c r="CF66" s="1211"/>
      <c r="CG66" s="1211"/>
      <c r="CH66" s="1211"/>
      <c r="CI66" s="1211"/>
      <c r="CJ66" s="1211"/>
      <c r="CK66" s="1211"/>
      <c r="CL66" s="1211"/>
    </row>
    <row r="67" spans="1:90" s="1086" customFormat="1" ht="17.100000000000001" customHeight="1" thickBot="1" x14ac:dyDescent="0.3">
      <c r="A67" s="1088"/>
      <c r="B67" s="1088"/>
      <c r="C67" s="1088"/>
      <c r="D67" s="1088"/>
      <c r="E67" s="1088"/>
      <c r="F67" s="1088"/>
      <c r="G67" s="1088"/>
      <c r="H67" s="1088"/>
      <c r="I67" s="1088"/>
      <c r="J67" s="1088"/>
      <c r="K67" s="1211"/>
      <c r="L67" s="1089"/>
      <c r="M67" s="1089"/>
      <c r="N67" s="1089"/>
      <c r="P67" s="1087"/>
      <c r="Q67" s="1087"/>
      <c r="R67" s="1087"/>
      <c r="S67" s="1087"/>
      <c r="T67" s="1087"/>
      <c r="U67" s="1087"/>
      <c r="V67" s="1211"/>
      <c r="W67" s="1211"/>
      <c r="X67" s="1211"/>
      <c r="Y67" s="1211"/>
      <c r="Z67" s="1211"/>
      <c r="AA67" s="1211"/>
      <c r="AB67" s="1211"/>
      <c r="AC67" s="1211"/>
      <c r="AD67" s="1211"/>
      <c r="AE67" s="1211"/>
      <c r="AF67" s="1211"/>
      <c r="AG67" s="1211"/>
      <c r="AH67" s="1211"/>
      <c r="AI67" s="1211"/>
      <c r="AJ67" s="1211"/>
      <c r="AK67" s="1211"/>
      <c r="AL67" s="1211"/>
      <c r="AM67" s="1211"/>
      <c r="AN67" s="1211"/>
      <c r="AO67" s="1211"/>
      <c r="AP67" s="1211"/>
      <c r="AQ67" s="1211"/>
      <c r="AR67" s="1211"/>
      <c r="AS67" s="1211"/>
      <c r="AT67" s="1211"/>
      <c r="AU67" s="1211"/>
      <c r="AV67" s="1211"/>
      <c r="AW67" s="1211"/>
      <c r="AX67" s="1211"/>
      <c r="AY67" s="1211"/>
      <c r="AZ67" s="1211"/>
      <c r="BA67" s="1211"/>
      <c r="BB67" s="1211"/>
      <c r="BC67" s="1211"/>
      <c r="BD67" s="1211"/>
      <c r="BE67" s="1211"/>
      <c r="BF67" s="1211"/>
      <c r="BG67" s="1211"/>
      <c r="BH67" s="1211"/>
      <c r="BI67" s="1211"/>
      <c r="BJ67" s="1211"/>
      <c r="BK67" s="1211"/>
      <c r="BL67" s="1211"/>
      <c r="BM67" s="1211"/>
      <c r="BN67" s="1211"/>
      <c r="BO67" s="1211"/>
      <c r="BP67" s="1211"/>
      <c r="BQ67" s="1211"/>
      <c r="BR67" s="1211"/>
      <c r="BS67" s="1211"/>
      <c r="BT67" s="1211"/>
      <c r="BU67" s="1211"/>
      <c r="BV67" s="1211"/>
      <c r="BW67" s="1211"/>
      <c r="BX67" s="1211"/>
      <c r="BY67" s="1211"/>
      <c r="BZ67" s="1211"/>
      <c r="CA67" s="1211"/>
      <c r="CB67" s="1211"/>
      <c r="CC67" s="1211"/>
      <c r="CD67" s="1211"/>
      <c r="CE67" s="1211"/>
      <c r="CF67" s="1211"/>
      <c r="CG67" s="1211"/>
      <c r="CH67" s="1211"/>
      <c r="CI67" s="1211"/>
      <c r="CJ67" s="1211"/>
      <c r="CK67" s="1211"/>
      <c r="CL67" s="1211"/>
    </row>
    <row r="68" spans="1:90" s="1086" customFormat="1" ht="16.5" thickBot="1" x14ac:dyDescent="0.3">
      <c r="A68" s="1108" t="s">
        <v>687</v>
      </c>
      <c r="B68" s="1087" t="s">
        <v>824</v>
      </c>
      <c r="C68" s="1088"/>
      <c r="D68" s="1088"/>
      <c r="E68" s="1087"/>
      <c r="F68" s="1087"/>
      <c r="G68" s="1088"/>
      <c r="H68" s="1088"/>
      <c r="I68" s="1088"/>
      <c r="J68" s="1088"/>
      <c r="K68" s="1211"/>
      <c r="L68" s="1089"/>
      <c r="M68" s="1089"/>
      <c r="N68" s="1089"/>
      <c r="P68" s="1087"/>
      <c r="Q68" s="1087"/>
      <c r="R68" s="1087"/>
      <c r="S68" s="1087"/>
      <c r="T68" s="1087"/>
      <c r="U68" s="1087"/>
      <c r="V68" s="1211"/>
      <c r="W68" s="1211"/>
      <c r="X68" s="1211"/>
      <c r="Y68" s="1211"/>
      <c r="Z68" s="1211"/>
      <c r="AA68" s="1211"/>
      <c r="AB68" s="1211"/>
      <c r="AC68" s="1211"/>
      <c r="AD68" s="1211"/>
      <c r="AE68" s="1211"/>
      <c r="AF68" s="1211"/>
      <c r="AG68" s="1211"/>
      <c r="AH68" s="1211"/>
      <c r="AI68" s="1211"/>
      <c r="AJ68" s="1211"/>
      <c r="AK68" s="1211"/>
      <c r="AL68" s="1211"/>
      <c r="AM68" s="1211"/>
      <c r="AN68" s="1211"/>
      <c r="AO68" s="1211"/>
      <c r="AP68" s="1211"/>
      <c r="AQ68" s="1211"/>
      <c r="AR68" s="1211"/>
      <c r="AS68" s="1211"/>
      <c r="AT68" s="1211"/>
      <c r="AU68" s="1211"/>
      <c r="AV68" s="1211"/>
      <c r="AW68" s="1211"/>
      <c r="AX68" s="1211"/>
      <c r="AY68" s="1211"/>
      <c r="AZ68" s="1211"/>
      <c r="BA68" s="1211"/>
      <c r="BB68" s="1211"/>
      <c r="BC68" s="1211"/>
      <c r="BD68" s="1211"/>
      <c r="BE68" s="1211"/>
      <c r="BF68" s="1211"/>
      <c r="BG68" s="1211"/>
      <c r="BH68" s="1211"/>
      <c r="BI68" s="1211"/>
      <c r="BJ68" s="1211"/>
      <c r="BK68" s="1211"/>
      <c r="BL68" s="1211"/>
      <c r="BM68" s="1211"/>
      <c r="BN68" s="1211"/>
      <c r="BO68" s="1211"/>
      <c r="BP68" s="1211"/>
      <c r="BQ68" s="1211"/>
      <c r="BR68" s="1211"/>
      <c r="BS68" s="1211"/>
      <c r="BT68" s="1211"/>
      <c r="BU68" s="1211"/>
      <c r="BV68" s="1211"/>
      <c r="BW68" s="1211"/>
      <c r="BX68" s="1211"/>
      <c r="BY68" s="1211"/>
      <c r="BZ68" s="1211"/>
      <c r="CA68" s="1211"/>
      <c r="CB68" s="1211"/>
      <c r="CC68" s="1211"/>
      <c r="CD68" s="1211"/>
      <c r="CE68" s="1211"/>
      <c r="CF68" s="1211"/>
      <c r="CG68" s="1211"/>
      <c r="CH68" s="1211"/>
      <c r="CI68" s="1211"/>
      <c r="CJ68" s="1211"/>
      <c r="CK68" s="1211"/>
      <c r="CL68" s="1211"/>
    </row>
    <row r="69" spans="1:90" s="1086" customFormat="1" x14ac:dyDescent="0.25">
      <c r="A69" s="1091" t="s">
        <v>687</v>
      </c>
      <c r="B69" s="1087" t="s">
        <v>825</v>
      </c>
      <c r="C69" s="1088"/>
      <c r="D69" s="1088"/>
      <c r="E69" s="1087"/>
      <c r="F69" s="1087"/>
      <c r="G69" s="1088"/>
      <c r="H69" s="1088"/>
      <c r="I69" s="1088"/>
      <c r="J69" s="1088"/>
      <c r="K69" s="1211"/>
      <c r="L69" s="1089"/>
      <c r="M69" s="1089"/>
      <c r="N69" s="1089"/>
      <c r="P69" s="1087"/>
      <c r="Q69" s="1087"/>
      <c r="R69" s="1087"/>
      <c r="S69" s="1087"/>
      <c r="T69" s="1087"/>
      <c r="U69" s="1087"/>
      <c r="V69" s="1211"/>
      <c r="W69" s="1211"/>
      <c r="X69" s="1211"/>
      <c r="Y69" s="1211"/>
      <c r="Z69" s="1211"/>
      <c r="AA69" s="1211"/>
      <c r="AB69" s="1211"/>
      <c r="AC69" s="1211"/>
      <c r="AD69" s="1211"/>
      <c r="AE69" s="1211"/>
      <c r="AF69" s="1211"/>
      <c r="AG69" s="1211"/>
      <c r="AH69" s="1211"/>
      <c r="AI69" s="1211"/>
      <c r="AJ69" s="1211"/>
      <c r="AK69" s="1211"/>
      <c r="AL69" s="1211"/>
      <c r="AM69" s="1211"/>
      <c r="AN69" s="1211"/>
      <c r="AO69" s="1211"/>
      <c r="AP69" s="1211"/>
      <c r="AQ69" s="1211"/>
      <c r="AR69" s="1211"/>
      <c r="AS69" s="1211"/>
      <c r="AT69" s="1211"/>
      <c r="AU69" s="1211"/>
      <c r="AV69" s="1211"/>
      <c r="AW69" s="1211"/>
      <c r="AX69" s="1211"/>
      <c r="AY69" s="1211"/>
      <c r="AZ69" s="1211"/>
      <c r="BA69" s="1211"/>
      <c r="BB69" s="1211"/>
      <c r="BC69" s="1211"/>
      <c r="BD69" s="1211"/>
      <c r="BE69" s="1211"/>
      <c r="BF69" s="1211"/>
      <c r="BG69" s="1211"/>
      <c r="BH69" s="1211"/>
      <c r="BI69" s="1211"/>
      <c r="BJ69" s="1211"/>
      <c r="BK69" s="1211"/>
      <c r="BL69" s="1211"/>
      <c r="BM69" s="1211"/>
      <c r="BN69" s="1211"/>
      <c r="BO69" s="1211"/>
      <c r="BP69" s="1211"/>
      <c r="BQ69" s="1211"/>
      <c r="BR69" s="1211"/>
      <c r="BS69" s="1211"/>
      <c r="BT69" s="1211"/>
      <c r="BU69" s="1211"/>
      <c r="BV69" s="1211"/>
      <c r="BW69" s="1211"/>
      <c r="BX69" s="1211"/>
      <c r="BY69" s="1211"/>
      <c r="BZ69" s="1211"/>
      <c r="CA69" s="1211"/>
      <c r="CB69" s="1211"/>
      <c r="CC69" s="1211"/>
      <c r="CD69" s="1211"/>
      <c r="CE69" s="1211"/>
      <c r="CF69" s="1211"/>
      <c r="CG69" s="1211"/>
      <c r="CH69" s="1211"/>
      <c r="CI69" s="1211"/>
      <c r="CJ69" s="1211"/>
      <c r="CK69" s="1211"/>
      <c r="CL69" s="1211"/>
    </row>
    <row r="70" spans="1:90" x14ac:dyDescent="0.25">
      <c r="A70" s="1109"/>
      <c r="B70" s="1087" t="s">
        <v>826</v>
      </c>
      <c r="V70" s="1211"/>
      <c r="W70" s="1211"/>
      <c r="X70" s="1211"/>
      <c r="Y70" s="1211"/>
      <c r="Z70" s="1211"/>
      <c r="AA70" s="1211"/>
      <c r="AB70" s="1211"/>
      <c r="AC70" s="1211"/>
      <c r="AD70" s="1211"/>
      <c r="AE70" s="1211"/>
      <c r="AF70" s="1211"/>
      <c r="AG70" s="1211"/>
      <c r="AH70" s="1211"/>
      <c r="AI70" s="1211"/>
      <c r="AJ70" s="1211"/>
      <c r="AK70" s="1211"/>
      <c r="AL70" s="1211"/>
      <c r="AM70" s="1211"/>
      <c r="AN70" s="1211"/>
      <c r="AO70" s="1211"/>
      <c r="AP70" s="1211"/>
      <c r="AQ70" s="1211"/>
      <c r="AR70" s="1211"/>
      <c r="AS70" s="1211"/>
      <c r="AT70" s="1211"/>
      <c r="AU70" s="1211"/>
      <c r="AV70" s="1211"/>
      <c r="AW70" s="1211"/>
      <c r="AX70" s="1211"/>
      <c r="AY70" s="1211"/>
      <c r="AZ70" s="1211"/>
      <c r="BA70" s="1211"/>
      <c r="BB70" s="1211"/>
      <c r="BC70" s="1211"/>
      <c r="BD70" s="1211"/>
      <c r="BE70" s="1211"/>
      <c r="BF70" s="1211"/>
      <c r="BG70" s="1211"/>
      <c r="BH70" s="1211"/>
      <c r="BI70" s="1211"/>
      <c r="BJ70" s="1211"/>
      <c r="BK70" s="1211"/>
      <c r="BL70" s="1211"/>
      <c r="BM70" s="1211"/>
      <c r="BN70" s="1211"/>
      <c r="BO70" s="1211"/>
      <c r="BP70" s="1211"/>
      <c r="BQ70" s="1211"/>
      <c r="BR70" s="1211"/>
      <c r="BS70" s="1211"/>
      <c r="BT70" s="1211"/>
      <c r="BU70" s="1211"/>
      <c r="BV70" s="1211"/>
      <c r="BW70" s="1211"/>
      <c r="BX70" s="1211"/>
      <c r="BY70" s="1211"/>
      <c r="BZ70" s="1211"/>
      <c r="CA70" s="1211"/>
      <c r="CB70" s="1211"/>
      <c r="CC70" s="1211"/>
      <c r="CD70" s="1211"/>
      <c r="CE70" s="1211"/>
      <c r="CF70" s="1211"/>
      <c r="CG70" s="1211"/>
      <c r="CH70" s="1211"/>
      <c r="CI70" s="1211"/>
      <c r="CJ70" s="1211"/>
      <c r="CK70" s="1211"/>
      <c r="CL70" s="1211"/>
    </row>
    <row r="71" spans="1:90" ht="16.5" thickBot="1" x14ac:dyDescent="0.3">
      <c r="D71" s="1110" t="s">
        <v>838</v>
      </c>
      <c r="E71" s="1110" t="s">
        <v>837</v>
      </c>
      <c r="F71" s="1110" t="s">
        <v>838</v>
      </c>
      <c r="G71" s="1110" t="s">
        <v>837</v>
      </c>
      <c r="H71" s="1110" t="s">
        <v>837</v>
      </c>
      <c r="I71" s="1110" t="s">
        <v>838</v>
      </c>
      <c r="J71" s="1110" t="s">
        <v>838</v>
      </c>
      <c r="K71" s="1110" t="s">
        <v>838</v>
      </c>
      <c r="V71" s="1211"/>
      <c r="W71" s="1211"/>
      <c r="X71" s="1211"/>
      <c r="Y71" s="1211"/>
      <c r="Z71" s="1211"/>
      <c r="AA71" s="1211"/>
      <c r="AB71" s="1211"/>
      <c r="AC71" s="1211"/>
      <c r="AD71" s="1211"/>
      <c r="AE71" s="1211"/>
      <c r="AF71" s="1211"/>
      <c r="AG71" s="1211"/>
      <c r="AH71" s="1211"/>
      <c r="AI71" s="1211"/>
      <c r="AJ71" s="1211"/>
      <c r="AK71" s="1211"/>
      <c r="AL71" s="1211"/>
      <c r="AM71" s="1211"/>
      <c r="AN71" s="1211"/>
      <c r="AO71" s="1211"/>
      <c r="AP71" s="1211"/>
      <c r="AQ71" s="1211"/>
      <c r="AR71" s="1211"/>
      <c r="AS71" s="1211"/>
      <c r="AT71" s="1211"/>
      <c r="AU71" s="1211"/>
      <c r="AV71" s="1211"/>
      <c r="AW71" s="1211"/>
      <c r="AX71" s="1211"/>
      <c r="AY71" s="1211"/>
      <c r="AZ71" s="1211"/>
      <c r="BA71" s="1211"/>
      <c r="BB71" s="1211"/>
      <c r="BC71" s="1211"/>
      <c r="BD71" s="1211"/>
      <c r="BE71" s="1211"/>
      <c r="BF71" s="1211"/>
      <c r="BG71" s="1211"/>
      <c r="BH71" s="1211"/>
      <c r="BI71" s="1211"/>
      <c r="BJ71" s="1211"/>
      <c r="BK71" s="1211"/>
      <c r="BL71" s="1211"/>
      <c r="BM71" s="1211"/>
      <c r="BN71" s="1211"/>
      <c r="BO71" s="1211"/>
      <c r="BP71" s="1211"/>
      <c r="BQ71" s="1211"/>
      <c r="BR71" s="1211"/>
      <c r="BS71" s="1211"/>
      <c r="BT71" s="1211"/>
      <c r="BU71" s="1211"/>
      <c r="BV71" s="1211"/>
      <c r="BW71" s="1211"/>
      <c r="BX71" s="1211"/>
      <c r="BY71" s="1211"/>
      <c r="BZ71" s="1211"/>
      <c r="CA71" s="1211"/>
      <c r="CB71" s="1211"/>
      <c r="CC71" s="1211"/>
      <c r="CD71" s="1211"/>
      <c r="CE71" s="1211"/>
      <c r="CF71" s="1211"/>
      <c r="CG71" s="1211"/>
      <c r="CH71" s="1211"/>
      <c r="CI71" s="1211"/>
      <c r="CJ71" s="1211"/>
      <c r="CK71" s="1211"/>
      <c r="CL71" s="1211"/>
    </row>
    <row r="72" spans="1:90" x14ac:dyDescent="0.25">
      <c r="C72" s="134" t="s">
        <v>92</v>
      </c>
      <c r="D72" s="1117" t="s">
        <v>828</v>
      </c>
      <c r="E72" s="135" t="s">
        <v>830</v>
      </c>
      <c r="F72" s="135" t="s">
        <v>834</v>
      </c>
      <c r="G72" s="135" t="s">
        <v>103</v>
      </c>
      <c r="H72" s="135" t="s">
        <v>104</v>
      </c>
      <c r="I72" s="622" t="s">
        <v>679</v>
      </c>
      <c r="J72" s="622" t="s">
        <v>237</v>
      </c>
      <c r="K72" s="622" t="s">
        <v>160</v>
      </c>
      <c r="V72" s="1211"/>
      <c r="W72" s="1211"/>
      <c r="X72" s="1211"/>
      <c r="Y72" s="1211"/>
      <c r="Z72" s="1211"/>
      <c r="AA72" s="1211"/>
      <c r="AB72" s="1211"/>
      <c r="AC72" s="1211"/>
      <c r="AD72" s="1211"/>
      <c r="AE72" s="1211"/>
      <c r="AF72" s="1211"/>
      <c r="AG72" s="1211"/>
      <c r="AH72" s="1211"/>
      <c r="AI72" s="1211"/>
      <c r="AJ72" s="1211"/>
      <c r="AK72" s="1211"/>
      <c r="AL72" s="1211"/>
      <c r="AM72" s="1211"/>
      <c r="AN72" s="1211"/>
      <c r="AO72" s="1211"/>
      <c r="AP72" s="1211"/>
      <c r="AQ72" s="1211"/>
      <c r="AR72" s="1211"/>
      <c r="AS72" s="1211"/>
      <c r="AT72" s="1211"/>
      <c r="AU72" s="1211"/>
      <c r="AV72" s="1211"/>
      <c r="AW72" s="1211"/>
      <c r="AX72" s="1211"/>
      <c r="AY72" s="1211"/>
      <c r="AZ72" s="1211"/>
      <c r="BA72" s="1211"/>
      <c r="BB72" s="1211"/>
      <c r="BC72" s="1211"/>
      <c r="BD72" s="1211"/>
      <c r="BE72" s="1211"/>
      <c r="BF72" s="1211"/>
      <c r="BG72" s="1211"/>
      <c r="BH72" s="1211"/>
      <c r="BI72" s="1211"/>
      <c r="BJ72" s="1211"/>
      <c r="BK72" s="1211"/>
      <c r="BL72" s="1211"/>
      <c r="BM72" s="1211"/>
      <c r="BN72" s="1211"/>
      <c r="BO72" s="1211"/>
      <c r="BP72" s="1211"/>
      <c r="BQ72" s="1211"/>
      <c r="BR72" s="1211"/>
      <c r="BS72" s="1211"/>
      <c r="BT72" s="1211"/>
      <c r="BU72" s="1211"/>
      <c r="BV72" s="1211"/>
      <c r="BW72" s="1211"/>
      <c r="BX72" s="1211"/>
      <c r="BY72" s="1211"/>
      <c r="BZ72" s="1211"/>
      <c r="CA72" s="1211"/>
      <c r="CB72" s="1211"/>
      <c r="CC72" s="1211"/>
      <c r="CD72" s="1211"/>
      <c r="CE72" s="1211"/>
      <c r="CF72" s="1211"/>
      <c r="CG72" s="1211"/>
      <c r="CH72" s="1211"/>
      <c r="CI72" s="1211"/>
      <c r="CJ72" s="1211"/>
      <c r="CK72" s="1211"/>
      <c r="CL72" s="1211"/>
    </row>
    <row r="73" spans="1:90" ht="17.25" x14ac:dyDescent="0.25">
      <c r="C73" s="136">
        <v>0</v>
      </c>
      <c r="D73" s="136">
        <v>105.1</v>
      </c>
      <c r="E73" s="136">
        <v>25.2</v>
      </c>
      <c r="F73" s="137">
        <v>144.69999999999999</v>
      </c>
      <c r="G73" s="137">
        <v>98.4</v>
      </c>
      <c r="H73" s="137">
        <v>204.7</v>
      </c>
      <c r="I73" s="138">
        <v>332.8</v>
      </c>
      <c r="J73" s="138">
        <v>310.89999999999998</v>
      </c>
      <c r="K73" s="138">
        <v>506.7</v>
      </c>
    </row>
    <row r="74" spans="1:90" ht="17.25" x14ac:dyDescent="0.25">
      <c r="C74" s="136">
        <v>1</v>
      </c>
      <c r="D74" s="136">
        <v>120.6</v>
      </c>
      <c r="E74" s="136">
        <v>35.4</v>
      </c>
      <c r="F74" s="137">
        <v>177.1</v>
      </c>
      <c r="G74" s="137">
        <v>112.6</v>
      </c>
      <c r="H74" s="137">
        <v>214.4</v>
      </c>
      <c r="I74" s="138">
        <v>341.9</v>
      </c>
      <c r="J74" s="138">
        <v>320.5</v>
      </c>
      <c r="K74" s="138">
        <v>521.1</v>
      </c>
      <c r="M74" s="1087"/>
      <c r="N74" s="1087"/>
      <c r="O74" s="1087"/>
    </row>
    <row r="75" spans="1:90" ht="17.25" x14ac:dyDescent="0.25">
      <c r="C75" s="136">
        <v>2</v>
      </c>
      <c r="D75" s="136">
        <v>151.30000000000001</v>
      </c>
      <c r="E75" s="136">
        <v>56</v>
      </c>
      <c r="F75" s="137">
        <v>198.3</v>
      </c>
      <c r="G75" s="137">
        <v>116.3</v>
      </c>
      <c r="H75" s="137">
        <v>223.5</v>
      </c>
      <c r="I75" s="138">
        <v>354.6</v>
      </c>
      <c r="J75" s="138">
        <v>330.1</v>
      </c>
      <c r="K75" s="138">
        <v>532.29999999999995</v>
      </c>
      <c r="M75" s="1087"/>
      <c r="N75" s="1087"/>
      <c r="O75" s="1087"/>
      <c r="X75" s="1087">
        <v>5</v>
      </c>
      <c r="Y75" s="1087">
        <v>900</v>
      </c>
    </row>
    <row r="76" spans="1:90" ht="17.25" x14ac:dyDescent="0.25">
      <c r="C76" s="136">
        <v>3</v>
      </c>
      <c r="D76" s="136">
        <v>171.8</v>
      </c>
      <c r="E76" s="136">
        <v>61.3</v>
      </c>
      <c r="F76" s="137">
        <v>213</v>
      </c>
      <c r="G76" s="137">
        <v>126.4</v>
      </c>
      <c r="H76" s="137">
        <v>229.4</v>
      </c>
      <c r="I76" s="138">
        <v>364.2</v>
      </c>
      <c r="J76" s="138">
        <v>336.9</v>
      </c>
      <c r="K76" s="138">
        <v>539.20000000000005</v>
      </c>
      <c r="M76" s="1087"/>
      <c r="N76" s="1087"/>
      <c r="O76" s="1087"/>
      <c r="X76" s="1087">
        <v>5</v>
      </c>
      <c r="Y76" s="1087">
        <v>0</v>
      </c>
    </row>
    <row r="77" spans="1:90" ht="17.25" x14ac:dyDescent="0.25">
      <c r="C77" s="136">
        <v>4</v>
      </c>
      <c r="D77" s="136">
        <v>187.4</v>
      </c>
      <c r="E77" s="136">
        <v>68.2</v>
      </c>
      <c r="F77" s="137">
        <v>222.5</v>
      </c>
      <c r="G77" s="137">
        <v>134.1</v>
      </c>
      <c r="H77" s="137">
        <v>234.3</v>
      </c>
      <c r="I77" s="138">
        <v>372.4</v>
      </c>
      <c r="J77" s="138">
        <v>341.8</v>
      </c>
      <c r="K77" s="138">
        <v>544.6</v>
      </c>
      <c r="M77" s="1087"/>
      <c r="N77" s="1087"/>
      <c r="O77" s="1087"/>
    </row>
    <row r="78" spans="1:90" ht="17.25" x14ac:dyDescent="0.25">
      <c r="C78" s="1499">
        <v>5</v>
      </c>
      <c r="D78" s="623">
        <v>200.3</v>
      </c>
      <c r="E78" s="623">
        <v>68.8</v>
      </c>
      <c r="F78" s="1498">
        <v>230</v>
      </c>
      <c r="G78" s="624">
        <v>140.4</v>
      </c>
      <c r="H78" s="624">
        <v>236.7</v>
      </c>
      <c r="I78" s="1500">
        <v>379.3</v>
      </c>
      <c r="J78" s="625">
        <v>347</v>
      </c>
      <c r="K78" s="1500">
        <v>549.20000000000005</v>
      </c>
      <c r="M78" s="1087"/>
      <c r="N78" s="1087"/>
      <c r="O78" s="1087"/>
      <c r="X78" s="1087">
        <v>95</v>
      </c>
      <c r="Y78" s="1087">
        <v>900</v>
      </c>
    </row>
    <row r="79" spans="1:90" ht="17.25" x14ac:dyDescent="0.25">
      <c r="C79" s="136">
        <v>6</v>
      </c>
      <c r="D79" s="136">
        <v>212.6</v>
      </c>
      <c r="E79" s="136">
        <v>74</v>
      </c>
      <c r="F79" s="137">
        <v>237.7</v>
      </c>
      <c r="G79" s="137">
        <v>143.4</v>
      </c>
      <c r="H79" s="137">
        <v>240.5</v>
      </c>
      <c r="I79" s="138">
        <v>386.4</v>
      </c>
      <c r="J79" s="138">
        <v>351.3</v>
      </c>
      <c r="K79" s="138">
        <v>553.1</v>
      </c>
      <c r="M79" s="1087"/>
      <c r="N79" s="1087"/>
      <c r="O79" s="1087"/>
      <c r="X79" s="1087">
        <v>95</v>
      </c>
      <c r="Y79" s="1087">
        <v>0</v>
      </c>
    </row>
    <row r="80" spans="1:90" ht="17.25" x14ac:dyDescent="0.25">
      <c r="C80" s="136">
        <v>7</v>
      </c>
      <c r="D80" s="136">
        <v>223</v>
      </c>
      <c r="E80" s="136">
        <v>82.2</v>
      </c>
      <c r="F80" s="137">
        <v>245.3</v>
      </c>
      <c r="G80" s="137">
        <v>145.80000000000001</v>
      </c>
      <c r="H80" s="137">
        <v>244.3</v>
      </c>
      <c r="I80" s="138">
        <v>392.3</v>
      </c>
      <c r="J80" s="138">
        <v>355.2</v>
      </c>
      <c r="K80" s="138">
        <v>556.6</v>
      </c>
      <c r="M80" s="1087"/>
      <c r="N80" s="1087"/>
      <c r="O80" s="1087"/>
    </row>
    <row r="81" spans="3:15" ht="17.25" x14ac:dyDescent="0.25">
      <c r="C81" s="136">
        <v>8</v>
      </c>
      <c r="D81" s="136">
        <v>233</v>
      </c>
      <c r="E81" s="136">
        <v>83.4</v>
      </c>
      <c r="F81" s="137">
        <v>253.6</v>
      </c>
      <c r="G81" s="137">
        <v>150.1</v>
      </c>
      <c r="H81" s="137">
        <v>247.2</v>
      </c>
      <c r="I81" s="138">
        <v>397.1</v>
      </c>
      <c r="J81" s="138">
        <v>359</v>
      </c>
      <c r="K81" s="138">
        <v>559.70000000000005</v>
      </c>
      <c r="M81" s="1087"/>
      <c r="N81" s="1087"/>
      <c r="O81" s="1087"/>
    </row>
    <row r="82" spans="3:15" ht="17.25" x14ac:dyDescent="0.25">
      <c r="C82" s="136">
        <v>9</v>
      </c>
      <c r="D82" s="136">
        <v>243.5</v>
      </c>
      <c r="E82" s="136">
        <v>87.4</v>
      </c>
      <c r="F82" s="137">
        <v>259.7</v>
      </c>
      <c r="G82" s="137">
        <v>151.9</v>
      </c>
      <c r="H82" s="137">
        <v>249.9</v>
      </c>
      <c r="I82" s="138">
        <v>401.7</v>
      </c>
      <c r="J82" s="138">
        <v>362.7</v>
      </c>
      <c r="K82" s="138">
        <v>562.70000000000005</v>
      </c>
      <c r="M82" s="1087"/>
      <c r="N82" s="1087"/>
      <c r="O82" s="1087"/>
    </row>
    <row r="83" spans="3:15" ht="17.25" x14ac:dyDescent="0.25">
      <c r="C83" s="623">
        <v>10</v>
      </c>
      <c r="D83" s="623">
        <v>252.4</v>
      </c>
      <c r="E83" s="623">
        <v>88.2</v>
      </c>
      <c r="F83" s="624">
        <v>267</v>
      </c>
      <c r="G83" s="624">
        <v>152.4</v>
      </c>
      <c r="H83" s="624">
        <v>252.4</v>
      </c>
      <c r="I83" s="625">
        <v>406.1</v>
      </c>
      <c r="J83" s="625">
        <v>365.5</v>
      </c>
      <c r="K83" s="625">
        <v>565.4</v>
      </c>
      <c r="M83" s="1087"/>
      <c r="N83" s="1087"/>
      <c r="O83" s="1087"/>
    </row>
    <row r="84" spans="3:15" ht="17.25" x14ac:dyDescent="0.25">
      <c r="C84" s="136">
        <v>11</v>
      </c>
      <c r="D84" s="136">
        <v>262.10000000000002</v>
      </c>
      <c r="E84" s="136">
        <v>90.2</v>
      </c>
      <c r="F84" s="137">
        <v>274</v>
      </c>
      <c r="G84" s="137">
        <v>154.5</v>
      </c>
      <c r="H84" s="137">
        <v>254.5</v>
      </c>
      <c r="I84" s="138">
        <v>410.4</v>
      </c>
      <c r="J84" s="138">
        <v>369.1</v>
      </c>
      <c r="K84" s="138">
        <v>567.79999999999995</v>
      </c>
      <c r="M84" s="1087"/>
      <c r="N84" s="1087"/>
      <c r="O84" s="1087"/>
    </row>
    <row r="85" spans="3:15" ht="17.25" x14ac:dyDescent="0.25">
      <c r="C85" s="136">
        <v>12</v>
      </c>
      <c r="D85" s="136">
        <v>270.39999999999998</v>
      </c>
      <c r="E85" s="136">
        <v>91</v>
      </c>
      <c r="F85" s="137">
        <v>281.8</v>
      </c>
      <c r="G85" s="137">
        <v>158.1</v>
      </c>
      <c r="H85" s="137">
        <v>255.6</v>
      </c>
      <c r="I85" s="138">
        <v>415.3</v>
      </c>
      <c r="J85" s="138">
        <v>372.2</v>
      </c>
      <c r="K85" s="138">
        <v>570</v>
      </c>
      <c r="M85" s="1087"/>
      <c r="N85" s="1087"/>
      <c r="O85" s="1087"/>
    </row>
    <row r="86" spans="3:15" ht="17.25" x14ac:dyDescent="0.25">
      <c r="C86" s="136">
        <v>13</v>
      </c>
      <c r="D86" s="136">
        <v>280.10000000000002</v>
      </c>
      <c r="E86" s="136">
        <v>92.7</v>
      </c>
      <c r="F86" s="137">
        <v>289.2</v>
      </c>
      <c r="G86" s="137">
        <v>160.30000000000001</v>
      </c>
      <c r="H86" s="137">
        <v>257.10000000000002</v>
      </c>
      <c r="I86" s="138">
        <v>420.8</v>
      </c>
      <c r="J86" s="138">
        <v>375.3</v>
      </c>
      <c r="K86" s="138">
        <v>572.20000000000005</v>
      </c>
      <c r="M86" s="1087"/>
      <c r="N86" s="1087"/>
      <c r="O86" s="1087"/>
    </row>
    <row r="87" spans="3:15" ht="17.25" x14ac:dyDescent="0.25">
      <c r="C87" s="136">
        <v>14</v>
      </c>
      <c r="D87" s="136">
        <v>288.5</v>
      </c>
      <c r="E87" s="136">
        <v>97.9</v>
      </c>
      <c r="F87" s="137">
        <v>296.7</v>
      </c>
      <c r="G87" s="137">
        <v>161.9</v>
      </c>
      <c r="H87" s="137">
        <v>259.2</v>
      </c>
      <c r="I87" s="138">
        <v>426.2</v>
      </c>
      <c r="J87" s="138">
        <v>377.6</v>
      </c>
      <c r="K87" s="138">
        <v>574.29999999999995</v>
      </c>
      <c r="M87" s="1087"/>
      <c r="N87" s="1087"/>
      <c r="O87" s="1087"/>
    </row>
    <row r="88" spans="3:15" ht="17.25" x14ac:dyDescent="0.25">
      <c r="C88" s="623">
        <v>15</v>
      </c>
      <c r="D88" s="623">
        <v>296.39999999999998</v>
      </c>
      <c r="E88" s="623">
        <v>98.5</v>
      </c>
      <c r="F88" s="624">
        <v>303.60000000000002</v>
      </c>
      <c r="G88" s="624">
        <v>163.19999999999999</v>
      </c>
      <c r="H88" s="624">
        <v>261.2</v>
      </c>
      <c r="I88" s="625">
        <v>431.3</v>
      </c>
      <c r="J88" s="625">
        <v>380.8</v>
      </c>
      <c r="K88" s="625">
        <v>576.4</v>
      </c>
      <c r="M88" s="1087"/>
      <c r="N88" s="1087"/>
      <c r="O88" s="1087"/>
    </row>
    <row r="89" spans="3:15" ht="17.25" x14ac:dyDescent="0.25">
      <c r="C89" s="136">
        <v>16</v>
      </c>
      <c r="D89" s="136">
        <v>303.39999999999998</v>
      </c>
      <c r="E89" s="136">
        <v>98.8</v>
      </c>
      <c r="F89" s="137">
        <v>311.2</v>
      </c>
      <c r="G89" s="137">
        <v>164</v>
      </c>
      <c r="H89" s="137">
        <v>263.3</v>
      </c>
      <c r="I89" s="138">
        <v>435.1</v>
      </c>
      <c r="J89" s="138">
        <v>383.7</v>
      </c>
      <c r="K89" s="138">
        <v>578.5</v>
      </c>
      <c r="M89" s="1087"/>
      <c r="N89" s="1087"/>
      <c r="O89" s="1087"/>
    </row>
    <row r="90" spans="3:15" ht="17.25" x14ac:dyDescent="0.25">
      <c r="C90" s="136">
        <v>17</v>
      </c>
      <c r="D90" s="136">
        <v>310.89999999999998</v>
      </c>
      <c r="E90" s="136">
        <v>99.1</v>
      </c>
      <c r="F90" s="137">
        <v>317.8</v>
      </c>
      <c r="G90" s="137">
        <v>166.3</v>
      </c>
      <c r="H90" s="137">
        <v>264.89999999999998</v>
      </c>
      <c r="I90" s="138">
        <v>438.8</v>
      </c>
      <c r="J90" s="138">
        <v>386.5</v>
      </c>
      <c r="K90" s="138">
        <v>580.6</v>
      </c>
      <c r="M90" s="1087"/>
      <c r="N90" s="1087"/>
      <c r="O90" s="1087"/>
    </row>
    <row r="91" spans="3:15" ht="17.25" x14ac:dyDescent="0.25">
      <c r="C91" s="136">
        <v>18</v>
      </c>
      <c r="D91" s="136">
        <v>317.7</v>
      </c>
      <c r="E91" s="136">
        <v>99.4</v>
      </c>
      <c r="F91" s="137">
        <v>324.5</v>
      </c>
      <c r="G91" s="137">
        <v>166.9</v>
      </c>
      <c r="H91" s="137">
        <v>266.10000000000002</v>
      </c>
      <c r="I91" s="138">
        <v>442.5</v>
      </c>
      <c r="J91" s="138">
        <v>388.5</v>
      </c>
      <c r="K91" s="138">
        <v>582.6</v>
      </c>
      <c r="M91" s="1087"/>
      <c r="N91" s="1087"/>
      <c r="O91" s="1087"/>
    </row>
    <row r="92" spans="3:15" ht="17.25" x14ac:dyDescent="0.25">
      <c r="C92" s="136">
        <v>19</v>
      </c>
      <c r="D92" s="136">
        <v>324.8</v>
      </c>
      <c r="E92" s="136">
        <v>99.9</v>
      </c>
      <c r="F92" s="137">
        <v>330.6</v>
      </c>
      <c r="G92" s="137">
        <v>167.4</v>
      </c>
      <c r="H92" s="137">
        <v>267.5</v>
      </c>
      <c r="I92" s="138">
        <v>446.1</v>
      </c>
      <c r="J92" s="138">
        <v>391.4</v>
      </c>
      <c r="K92" s="138">
        <v>584.5</v>
      </c>
      <c r="M92" s="1087"/>
      <c r="N92" s="1087"/>
      <c r="O92" s="1087"/>
    </row>
    <row r="93" spans="3:15" ht="17.25" x14ac:dyDescent="0.25">
      <c r="C93" s="623">
        <v>20</v>
      </c>
      <c r="D93" s="623">
        <v>331.8</v>
      </c>
      <c r="E93" s="623">
        <v>102.1</v>
      </c>
      <c r="F93" s="624">
        <v>337.2</v>
      </c>
      <c r="G93" s="624">
        <v>168.5</v>
      </c>
      <c r="H93" s="624">
        <v>269.10000000000002</v>
      </c>
      <c r="I93" s="625">
        <v>450.2</v>
      </c>
      <c r="J93" s="625">
        <v>393.5</v>
      </c>
      <c r="K93" s="625">
        <v>586.4</v>
      </c>
      <c r="M93" s="1087"/>
      <c r="N93" s="1087"/>
      <c r="O93" s="1087"/>
    </row>
    <row r="94" spans="3:15" ht="17.25" x14ac:dyDescent="0.25">
      <c r="C94" s="136">
        <v>21</v>
      </c>
      <c r="D94" s="136">
        <v>338.2</v>
      </c>
      <c r="E94" s="136">
        <v>102.6</v>
      </c>
      <c r="F94" s="137">
        <v>343.1</v>
      </c>
      <c r="G94" s="137">
        <v>170.1</v>
      </c>
      <c r="H94" s="137">
        <v>270.8</v>
      </c>
      <c r="I94" s="138">
        <v>455.6</v>
      </c>
      <c r="J94" s="138">
        <v>395.7</v>
      </c>
      <c r="K94" s="138">
        <v>588.29999999999995</v>
      </c>
      <c r="M94" s="1087"/>
      <c r="N94" s="1087"/>
      <c r="O94" s="1087"/>
    </row>
    <row r="95" spans="3:15" ht="17.25" x14ac:dyDescent="0.25">
      <c r="C95" s="136">
        <v>22</v>
      </c>
      <c r="D95" s="136">
        <v>345.4</v>
      </c>
      <c r="E95" s="136">
        <v>103</v>
      </c>
      <c r="F95" s="137">
        <v>350</v>
      </c>
      <c r="G95" s="137">
        <v>170.8</v>
      </c>
      <c r="H95" s="137">
        <v>272.10000000000002</v>
      </c>
      <c r="I95" s="138">
        <v>461</v>
      </c>
      <c r="J95" s="138">
        <v>397.4</v>
      </c>
      <c r="K95" s="138">
        <v>590.20000000000005</v>
      </c>
      <c r="M95" s="1087"/>
      <c r="N95" s="1087"/>
      <c r="O95" s="1087"/>
    </row>
    <row r="96" spans="3:15" ht="17.25" x14ac:dyDescent="0.25">
      <c r="C96" s="136">
        <v>23</v>
      </c>
      <c r="D96" s="136">
        <v>351.1</v>
      </c>
      <c r="E96" s="136">
        <v>104.2</v>
      </c>
      <c r="F96" s="137">
        <v>356.2</v>
      </c>
      <c r="G96" s="137">
        <v>172.4</v>
      </c>
      <c r="H96" s="137">
        <v>272.89999999999998</v>
      </c>
      <c r="I96" s="138">
        <v>466.1</v>
      </c>
      <c r="J96" s="138">
        <v>399.3</v>
      </c>
      <c r="K96" s="138">
        <v>592.1</v>
      </c>
      <c r="M96" s="1087"/>
      <c r="N96" s="1087"/>
      <c r="O96" s="1087"/>
    </row>
    <row r="97" spans="3:15" ht="17.25" x14ac:dyDescent="0.25">
      <c r="C97" s="136">
        <v>24</v>
      </c>
      <c r="D97" s="136">
        <v>357.7</v>
      </c>
      <c r="E97" s="136">
        <v>107.5</v>
      </c>
      <c r="F97" s="137">
        <v>362.9</v>
      </c>
      <c r="G97" s="137">
        <v>174.8</v>
      </c>
      <c r="H97" s="137">
        <v>273.8</v>
      </c>
      <c r="I97" s="138">
        <v>469.9</v>
      </c>
      <c r="J97" s="138">
        <v>401.4</v>
      </c>
      <c r="K97" s="138">
        <v>593.9</v>
      </c>
      <c r="M97" s="1087"/>
      <c r="N97" s="1087"/>
      <c r="O97" s="1087"/>
    </row>
    <row r="98" spans="3:15" ht="17.25" x14ac:dyDescent="0.25">
      <c r="C98" s="136">
        <v>25</v>
      </c>
      <c r="D98" s="136">
        <v>363.6</v>
      </c>
      <c r="E98" s="136">
        <v>112.4</v>
      </c>
      <c r="F98" s="137">
        <v>369.1</v>
      </c>
      <c r="G98" s="137">
        <v>175.6</v>
      </c>
      <c r="H98" s="137">
        <v>275.2</v>
      </c>
      <c r="I98" s="138">
        <v>473.5</v>
      </c>
      <c r="J98" s="138">
        <v>403.4</v>
      </c>
      <c r="K98" s="138">
        <v>595.6</v>
      </c>
      <c r="M98" s="1087"/>
      <c r="N98" s="1087"/>
      <c r="O98" s="1087"/>
    </row>
    <row r="99" spans="3:15" ht="17.25" x14ac:dyDescent="0.25">
      <c r="C99" s="136">
        <v>26</v>
      </c>
      <c r="D99" s="136">
        <v>370.1</v>
      </c>
      <c r="E99" s="136">
        <v>113.1</v>
      </c>
      <c r="F99" s="137">
        <v>375.7</v>
      </c>
      <c r="G99" s="137">
        <v>176</v>
      </c>
      <c r="H99" s="137">
        <v>276.7</v>
      </c>
      <c r="I99" s="138">
        <v>477.2</v>
      </c>
      <c r="J99" s="138">
        <v>405.4</v>
      </c>
      <c r="K99" s="138">
        <v>597.5</v>
      </c>
      <c r="M99" s="1087"/>
      <c r="N99" s="1087"/>
      <c r="O99" s="1087"/>
    </row>
    <row r="100" spans="3:15" ht="17.25" x14ac:dyDescent="0.25">
      <c r="C100" s="136">
        <v>27</v>
      </c>
      <c r="D100" s="136">
        <v>377.7</v>
      </c>
      <c r="E100" s="136">
        <v>113.5</v>
      </c>
      <c r="F100" s="137">
        <v>382</v>
      </c>
      <c r="G100" s="137">
        <v>176.3</v>
      </c>
      <c r="H100" s="137">
        <v>278.10000000000002</v>
      </c>
      <c r="I100" s="138">
        <v>480.9</v>
      </c>
      <c r="J100" s="138">
        <v>406.9</v>
      </c>
      <c r="K100" s="138">
        <v>599.20000000000005</v>
      </c>
      <c r="M100" s="1087"/>
      <c r="N100" s="1087"/>
      <c r="O100" s="1087"/>
    </row>
    <row r="101" spans="3:15" ht="17.25" x14ac:dyDescent="0.25">
      <c r="C101" s="136">
        <v>28</v>
      </c>
      <c r="D101" s="136">
        <v>385.3</v>
      </c>
      <c r="E101" s="136">
        <v>113.8</v>
      </c>
      <c r="F101" s="137">
        <v>388.3</v>
      </c>
      <c r="G101" s="137">
        <v>176.7</v>
      </c>
      <c r="H101" s="137">
        <v>279.5</v>
      </c>
      <c r="I101" s="138">
        <v>485.5</v>
      </c>
      <c r="J101" s="138">
        <v>408.9</v>
      </c>
      <c r="K101" s="138">
        <v>601.1</v>
      </c>
      <c r="M101" s="1087"/>
      <c r="N101" s="1087"/>
      <c r="O101" s="1087"/>
    </row>
    <row r="102" spans="3:15" ht="17.25" x14ac:dyDescent="0.25">
      <c r="C102" s="136">
        <v>29</v>
      </c>
      <c r="D102" s="136">
        <v>392.8</v>
      </c>
      <c r="E102" s="136">
        <v>114</v>
      </c>
      <c r="F102" s="137">
        <v>394.1</v>
      </c>
      <c r="G102" s="137">
        <v>177.9</v>
      </c>
      <c r="H102" s="137">
        <v>280.7</v>
      </c>
      <c r="I102" s="138">
        <v>490.1</v>
      </c>
      <c r="J102" s="138">
        <v>410.8</v>
      </c>
      <c r="K102" s="138">
        <v>602.9</v>
      </c>
      <c r="M102" s="1087"/>
      <c r="N102" s="1087"/>
      <c r="O102" s="1087"/>
    </row>
    <row r="103" spans="3:15" ht="17.25" x14ac:dyDescent="0.25">
      <c r="C103" s="623">
        <v>30</v>
      </c>
      <c r="D103" s="623">
        <v>398.3</v>
      </c>
      <c r="E103" s="623">
        <v>114.2</v>
      </c>
      <c r="F103" s="624">
        <v>398.9</v>
      </c>
      <c r="G103" s="624">
        <v>179.3</v>
      </c>
      <c r="H103" s="624">
        <v>281.89999999999998</v>
      </c>
      <c r="I103" s="625">
        <v>494.7</v>
      </c>
      <c r="J103" s="625">
        <v>412.9</v>
      </c>
      <c r="K103" s="625">
        <v>604.9</v>
      </c>
      <c r="M103" s="1087"/>
      <c r="N103" s="1087"/>
      <c r="O103" s="1087"/>
    </row>
    <row r="104" spans="3:15" ht="17.25" x14ac:dyDescent="0.25">
      <c r="C104" s="136">
        <v>31</v>
      </c>
      <c r="D104" s="136">
        <v>404.4</v>
      </c>
      <c r="E104" s="136">
        <v>114.4</v>
      </c>
      <c r="F104" s="137">
        <v>404.2</v>
      </c>
      <c r="G104" s="137">
        <v>180.8</v>
      </c>
      <c r="H104" s="137">
        <v>283</v>
      </c>
      <c r="I104" s="138">
        <v>498.5</v>
      </c>
      <c r="J104" s="138">
        <v>415.3</v>
      </c>
      <c r="K104" s="138">
        <v>606.79999999999995</v>
      </c>
      <c r="M104" s="1087"/>
      <c r="N104" s="1087"/>
      <c r="O104" s="1087"/>
    </row>
    <row r="105" spans="3:15" ht="17.25" x14ac:dyDescent="0.25">
      <c r="C105" s="136">
        <v>32</v>
      </c>
      <c r="D105" s="136">
        <v>409.8</v>
      </c>
      <c r="E105" s="136">
        <v>114.6</v>
      </c>
      <c r="F105" s="137">
        <v>408.9</v>
      </c>
      <c r="G105" s="137">
        <v>181.6</v>
      </c>
      <c r="H105" s="137">
        <v>284.10000000000002</v>
      </c>
      <c r="I105" s="138">
        <v>501.9</v>
      </c>
      <c r="J105" s="138">
        <v>417.4</v>
      </c>
      <c r="K105" s="138">
        <v>608.70000000000005</v>
      </c>
      <c r="M105" s="1087"/>
      <c r="N105" s="1087"/>
      <c r="O105" s="1087"/>
    </row>
    <row r="106" spans="3:15" ht="17.25" x14ac:dyDescent="0.25">
      <c r="C106" s="136">
        <v>33</v>
      </c>
      <c r="D106" s="136">
        <v>415.7</v>
      </c>
      <c r="E106" s="136">
        <v>114.7</v>
      </c>
      <c r="F106" s="137">
        <v>414.7</v>
      </c>
      <c r="G106" s="137">
        <v>183.1</v>
      </c>
      <c r="H106" s="137">
        <v>285.3</v>
      </c>
      <c r="I106" s="138">
        <v>505.3</v>
      </c>
      <c r="J106" s="138">
        <v>420</v>
      </c>
      <c r="K106" s="138">
        <v>610.5</v>
      </c>
      <c r="M106" s="1087"/>
      <c r="N106" s="1087"/>
      <c r="O106" s="1087"/>
    </row>
    <row r="107" spans="3:15" ht="17.25" x14ac:dyDescent="0.25">
      <c r="C107" s="136">
        <v>34</v>
      </c>
      <c r="D107" s="136">
        <v>422.6</v>
      </c>
      <c r="E107" s="136">
        <v>114.9</v>
      </c>
      <c r="F107" s="137">
        <v>421.2</v>
      </c>
      <c r="G107" s="137">
        <v>184</v>
      </c>
      <c r="H107" s="137">
        <v>286.60000000000002</v>
      </c>
      <c r="I107" s="138">
        <v>508.6</v>
      </c>
      <c r="J107" s="138">
        <v>422.5</v>
      </c>
      <c r="K107" s="138">
        <v>612.4</v>
      </c>
      <c r="M107" s="1087"/>
      <c r="N107" s="1087"/>
      <c r="O107" s="1087"/>
    </row>
    <row r="108" spans="3:15" ht="17.25" x14ac:dyDescent="0.25">
      <c r="C108" s="136">
        <v>35</v>
      </c>
      <c r="D108" s="136">
        <v>428.9</v>
      </c>
      <c r="E108" s="136">
        <v>115</v>
      </c>
      <c r="F108" s="137">
        <v>427.6</v>
      </c>
      <c r="G108" s="137">
        <v>184.9</v>
      </c>
      <c r="H108" s="137">
        <v>287.8</v>
      </c>
      <c r="I108" s="138">
        <v>512.70000000000005</v>
      </c>
      <c r="J108" s="138">
        <v>425</v>
      </c>
      <c r="K108" s="138">
        <v>614.29999999999995</v>
      </c>
      <c r="M108" s="1087"/>
      <c r="N108" s="1087"/>
      <c r="O108" s="1087"/>
    </row>
    <row r="109" spans="3:15" ht="17.25" x14ac:dyDescent="0.25">
      <c r="C109" s="136">
        <v>36</v>
      </c>
      <c r="D109" s="136">
        <v>435</v>
      </c>
      <c r="E109" s="136">
        <v>115.1</v>
      </c>
      <c r="F109" s="137">
        <v>433.5</v>
      </c>
      <c r="G109" s="137">
        <v>185.7</v>
      </c>
      <c r="H109" s="137">
        <v>288.60000000000002</v>
      </c>
      <c r="I109" s="138">
        <v>516.79999999999995</v>
      </c>
      <c r="J109" s="138">
        <v>427.2</v>
      </c>
      <c r="K109" s="138">
        <v>616.29999999999995</v>
      </c>
      <c r="M109" s="1087"/>
      <c r="N109" s="1087"/>
      <c r="O109" s="1087"/>
    </row>
    <row r="110" spans="3:15" ht="17.25" x14ac:dyDescent="0.25">
      <c r="C110" s="136">
        <v>37</v>
      </c>
      <c r="D110" s="136">
        <v>440.7</v>
      </c>
      <c r="E110" s="136">
        <v>115.3</v>
      </c>
      <c r="F110" s="137">
        <v>438.1</v>
      </c>
      <c r="G110" s="137">
        <v>186.9</v>
      </c>
      <c r="H110" s="137">
        <v>289.3</v>
      </c>
      <c r="I110" s="138">
        <v>520.79999999999995</v>
      </c>
      <c r="J110" s="138">
        <v>429.5</v>
      </c>
      <c r="K110" s="138">
        <v>618.29999999999995</v>
      </c>
      <c r="M110" s="1087"/>
      <c r="N110" s="1087"/>
      <c r="O110" s="1087"/>
    </row>
    <row r="111" spans="3:15" ht="17.25" x14ac:dyDescent="0.25">
      <c r="C111" s="136">
        <v>38</v>
      </c>
      <c r="D111" s="136">
        <v>446.3</v>
      </c>
      <c r="E111" s="136">
        <v>115.4</v>
      </c>
      <c r="F111" s="137">
        <v>442.9</v>
      </c>
      <c r="G111" s="137">
        <v>188.7</v>
      </c>
      <c r="H111" s="137">
        <v>289.89999999999998</v>
      </c>
      <c r="I111" s="138">
        <v>524.4</v>
      </c>
      <c r="J111" s="138">
        <v>431.8</v>
      </c>
      <c r="K111" s="138">
        <v>620.29999999999995</v>
      </c>
      <c r="M111" s="1087"/>
      <c r="N111" s="1087"/>
      <c r="O111" s="1087"/>
    </row>
    <row r="112" spans="3:15" ht="17.25" x14ac:dyDescent="0.25">
      <c r="C112" s="136">
        <v>39</v>
      </c>
      <c r="D112" s="136">
        <v>452.3</v>
      </c>
      <c r="E112" s="136">
        <v>115.5</v>
      </c>
      <c r="F112" s="137">
        <v>447.7</v>
      </c>
      <c r="G112" s="137">
        <v>189.5</v>
      </c>
      <c r="H112" s="137">
        <v>291</v>
      </c>
      <c r="I112" s="138">
        <v>527.70000000000005</v>
      </c>
      <c r="J112" s="138">
        <v>433.6</v>
      </c>
      <c r="K112" s="138">
        <v>622.4</v>
      </c>
      <c r="M112" s="1087"/>
      <c r="N112" s="1087"/>
      <c r="O112" s="1087"/>
    </row>
    <row r="113" spans="3:15" ht="17.25" x14ac:dyDescent="0.25">
      <c r="C113" s="623">
        <v>40</v>
      </c>
      <c r="D113" s="623">
        <v>458.4</v>
      </c>
      <c r="E113" s="623">
        <v>115.6</v>
      </c>
      <c r="F113" s="624">
        <v>454.1</v>
      </c>
      <c r="G113" s="624">
        <v>190</v>
      </c>
      <c r="H113" s="624">
        <v>292.2</v>
      </c>
      <c r="I113" s="625">
        <v>531</v>
      </c>
      <c r="J113" s="625">
        <v>435.4</v>
      </c>
      <c r="K113" s="625">
        <v>624.4</v>
      </c>
      <c r="M113" s="1087"/>
      <c r="N113" s="1087"/>
      <c r="O113" s="1087"/>
    </row>
    <row r="114" spans="3:15" ht="17.25" x14ac:dyDescent="0.25">
      <c r="C114" s="136">
        <v>41</v>
      </c>
      <c r="D114" s="136">
        <v>464.5</v>
      </c>
      <c r="E114" s="136">
        <v>115.7</v>
      </c>
      <c r="F114" s="137">
        <v>461.3</v>
      </c>
      <c r="G114" s="137">
        <v>190.7</v>
      </c>
      <c r="H114" s="137">
        <v>293.39999999999998</v>
      </c>
      <c r="I114" s="138">
        <v>534.20000000000005</v>
      </c>
      <c r="J114" s="138">
        <v>436.8</v>
      </c>
      <c r="K114" s="138">
        <v>626.5</v>
      </c>
      <c r="M114" s="1087"/>
      <c r="N114" s="1087"/>
      <c r="O114" s="1087"/>
    </row>
    <row r="115" spans="3:15" ht="17.25" x14ac:dyDescent="0.25">
      <c r="C115" s="136">
        <v>42</v>
      </c>
      <c r="D115" s="136">
        <v>470.1</v>
      </c>
      <c r="E115" s="136">
        <v>115.8</v>
      </c>
      <c r="F115" s="137">
        <v>467.6</v>
      </c>
      <c r="G115" s="137">
        <v>191.4</v>
      </c>
      <c r="H115" s="137">
        <v>294.60000000000002</v>
      </c>
      <c r="I115" s="138">
        <v>537.5</v>
      </c>
      <c r="J115" s="138">
        <v>438.7</v>
      </c>
      <c r="K115" s="138">
        <v>628.6</v>
      </c>
      <c r="M115" s="1087"/>
      <c r="N115" s="1087"/>
      <c r="O115" s="1087"/>
    </row>
    <row r="116" spans="3:15" ht="17.25" x14ac:dyDescent="0.25">
      <c r="C116" s="136">
        <v>43</v>
      </c>
      <c r="D116" s="136">
        <v>475.9</v>
      </c>
      <c r="E116" s="136">
        <v>115.9</v>
      </c>
      <c r="F116" s="137">
        <v>472.5</v>
      </c>
      <c r="G116" s="137">
        <v>193.2</v>
      </c>
      <c r="H116" s="137">
        <v>295.8</v>
      </c>
      <c r="I116" s="138">
        <v>540.79999999999995</v>
      </c>
      <c r="J116" s="138">
        <v>440.4</v>
      </c>
      <c r="K116" s="138">
        <v>630.70000000000005</v>
      </c>
      <c r="M116" s="1087"/>
      <c r="N116" s="1087"/>
      <c r="O116" s="1087"/>
    </row>
    <row r="117" spans="3:15" ht="17.25" x14ac:dyDescent="0.25">
      <c r="C117" s="136">
        <v>44</v>
      </c>
      <c r="D117" s="136">
        <v>481.5</v>
      </c>
      <c r="E117" s="136">
        <v>116</v>
      </c>
      <c r="F117" s="137">
        <v>477.4</v>
      </c>
      <c r="G117" s="137">
        <v>194.8</v>
      </c>
      <c r="H117" s="137">
        <v>296.7</v>
      </c>
      <c r="I117" s="138">
        <v>544</v>
      </c>
      <c r="J117" s="138">
        <v>442.2</v>
      </c>
      <c r="K117" s="138">
        <v>632.79999999999995</v>
      </c>
      <c r="M117" s="1087"/>
      <c r="N117" s="1087"/>
      <c r="O117" s="1087"/>
    </row>
    <row r="118" spans="3:15" ht="17.25" x14ac:dyDescent="0.25">
      <c r="C118" s="136">
        <v>45</v>
      </c>
      <c r="D118" s="136">
        <v>487.3</v>
      </c>
      <c r="E118" s="136">
        <v>116.2</v>
      </c>
      <c r="F118" s="137">
        <v>482.7</v>
      </c>
      <c r="G118" s="137">
        <v>195.8</v>
      </c>
      <c r="H118" s="137">
        <v>297.7</v>
      </c>
      <c r="I118" s="138">
        <v>547.20000000000005</v>
      </c>
      <c r="J118" s="138">
        <v>443.7</v>
      </c>
      <c r="K118" s="138">
        <v>635</v>
      </c>
      <c r="M118" s="1087"/>
      <c r="N118" s="1087"/>
      <c r="O118" s="1087"/>
    </row>
    <row r="119" spans="3:15" ht="17.25" x14ac:dyDescent="0.25">
      <c r="C119" s="136">
        <v>46</v>
      </c>
      <c r="D119" s="136">
        <v>493.1</v>
      </c>
      <c r="E119" s="136">
        <v>117.5</v>
      </c>
      <c r="F119" s="137">
        <v>488.8</v>
      </c>
      <c r="G119" s="137">
        <v>197.2</v>
      </c>
      <c r="H119" s="137">
        <v>298.7</v>
      </c>
      <c r="I119" s="138">
        <v>550.4</v>
      </c>
      <c r="J119" s="138">
        <v>445.5</v>
      </c>
      <c r="K119" s="138">
        <v>637.29999999999995</v>
      </c>
      <c r="M119" s="1087"/>
      <c r="N119" s="1087"/>
      <c r="O119" s="1087"/>
    </row>
    <row r="120" spans="3:15" ht="17.25" x14ac:dyDescent="0.25">
      <c r="C120" s="136">
        <v>47</v>
      </c>
      <c r="D120" s="136">
        <v>498.6</v>
      </c>
      <c r="E120" s="136">
        <v>118.1</v>
      </c>
      <c r="F120" s="137">
        <v>495</v>
      </c>
      <c r="G120" s="137">
        <v>197.7</v>
      </c>
      <c r="H120" s="137">
        <v>299.7</v>
      </c>
      <c r="I120" s="138">
        <v>553.5</v>
      </c>
      <c r="J120" s="138">
        <v>447.3</v>
      </c>
      <c r="K120" s="138">
        <v>639.6</v>
      </c>
      <c r="M120" s="1087"/>
      <c r="N120" s="1087"/>
      <c r="O120" s="1087"/>
    </row>
    <row r="121" spans="3:15" ht="17.25" x14ac:dyDescent="0.25">
      <c r="C121" s="136">
        <v>48</v>
      </c>
      <c r="D121" s="136">
        <v>503.5</v>
      </c>
      <c r="E121" s="136">
        <v>118.5</v>
      </c>
      <c r="F121" s="137">
        <v>499.9</v>
      </c>
      <c r="G121" s="137">
        <v>198.1</v>
      </c>
      <c r="H121" s="137">
        <v>300.7</v>
      </c>
      <c r="I121" s="138">
        <v>556.5</v>
      </c>
      <c r="J121" s="138">
        <v>449.1</v>
      </c>
      <c r="K121" s="138">
        <v>642.1</v>
      </c>
      <c r="M121" s="1087"/>
      <c r="N121" s="1087"/>
      <c r="O121" s="1087"/>
    </row>
    <row r="122" spans="3:15" ht="17.25" x14ac:dyDescent="0.25">
      <c r="C122" s="136">
        <v>49</v>
      </c>
      <c r="D122" s="136">
        <v>508.4</v>
      </c>
      <c r="E122" s="136">
        <v>118.8</v>
      </c>
      <c r="F122" s="137">
        <v>504.4</v>
      </c>
      <c r="G122" s="137">
        <v>198.4</v>
      </c>
      <c r="H122" s="137">
        <v>301.8</v>
      </c>
      <c r="I122" s="138">
        <v>559.5</v>
      </c>
      <c r="J122" s="138">
        <v>451.7</v>
      </c>
      <c r="K122" s="138">
        <v>644.70000000000005</v>
      </c>
      <c r="M122" s="1087"/>
      <c r="N122" s="1087"/>
      <c r="O122" s="1087"/>
    </row>
    <row r="123" spans="3:15" ht="17.25" x14ac:dyDescent="0.25">
      <c r="C123" s="623">
        <v>50</v>
      </c>
      <c r="D123" s="623">
        <v>513.79999999999995</v>
      </c>
      <c r="E123" s="623">
        <v>119.3</v>
      </c>
      <c r="F123" s="624">
        <v>508.9</v>
      </c>
      <c r="G123" s="624">
        <v>198.7</v>
      </c>
      <c r="H123" s="624">
        <v>302.89999999999998</v>
      </c>
      <c r="I123" s="625">
        <v>562.29999999999995</v>
      </c>
      <c r="J123" s="625">
        <v>454.2</v>
      </c>
      <c r="K123" s="625">
        <v>647.29999999999995</v>
      </c>
      <c r="M123" s="1087"/>
      <c r="N123" s="1087"/>
      <c r="O123" s="1087"/>
    </row>
    <row r="124" spans="3:15" ht="17.25" x14ac:dyDescent="0.25">
      <c r="C124" s="136">
        <v>51</v>
      </c>
      <c r="D124" s="136">
        <v>519.20000000000005</v>
      </c>
      <c r="E124" s="136">
        <v>119.8</v>
      </c>
      <c r="F124" s="137">
        <v>514.4</v>
      </c>
      <c r="G124" s="137">
        <v>200.1</v>
      </c>
      <c r="H124" s="137">
        <v>303.7</v>
      </c>
      <c r="I124" s="138">
        <v>565.20000000000005</v>
      </c>
      <c r="J124" s="138">
        <v>456.8</v>
      </c>
      <c r="K124" s="138">
        <v>650</v>
      </c>
      <c r="M124" s="1087"/>
      <c r="N124" s="1087"/>
      <c r="O124" s="1087"/>
    </row>
    <row r="125" spans="3:15" ht="17.25" x14ac:dyDescent="0.25">
      <c r="C125" s="136">
        <v>52</v>
      </c>
      <c r="D125" s="136">
        <v>524.29999999999995</v>
      </c>
      <c r="E125" s="136">
        <v>120.2</v>
      </c>
      <c r="F125" s="137">
        <v>519.9</v>
      </c>
      <c r="G125" s="137">
        <v>201.7</v>
      </c>
      <c r="H125" s="137">
        <v>304.39999999999998</v>
      </c>
      <c r="I125" s="138">
        <v>567.9</v>
      </c>
      <c r="J125" s="138">
        <v>459.5</v>
      </c>
      <c r="K125" s="138">
        <v>652.70000000000005</v>
      </c>
      <c r="M125" s="1087"/>
      <c r="N125" s="1087"/>
      <c r="O125" s="1087"/>
    </row>
    <row r="126" spans="3:15" ht="17.25" x14ac:dyDescent="0.25">
      <c r="C126" s="136">
        <v>53</v>
      </c>
      <c r="D126" s="136">
        <v>529</v>
      </c>
      <c r="E126" s="136">
        <v>121.1</v>
      </c>
      <c r="F126" s="137">
        <v>524.79999999999995</v>
      </c>
      <c r="G126" s="137">
        <v>203</v>
      </c>
      <c r="H126" s="137">
        <v>305</v>
      </c>
      <c r="I126" s="138">
        <v>570.5</v>
      </c>
      <c r="J126" s="138">
        <v>462.1</v>
      </c>
      <c r="K126" s="138">
        <v>655.29999999999995</v>
      </c>
      <c r="M126" s="1087"/>
      <c r="N126" s="1087"/>
      <c r="O126" s="1087"/>
    </row>
    <row r="127" spans="3:15" ht="17.25" x14ac:dyDescent="0.25">
      <c r="C127" s="136">
        <v>54</v>
      </c>
      <c r="D127" s="136">
        <v>533.6</v>
      </c>
      <c r="E127" s="136">
        <v>123.1</v>
      </c>
      <c r="F127" s="137">
        <v>529.1</v>
      </c>
      <c r="G127" s="137">
        <v>203.8</v>
      </c>
      <c r="H127" s="137">
        <v>305.7</v>
      </c>
      <c r="I127" s="138">
        <v>573</v>
      </c>
      <c r="J127" s="138">
        <v>464.6</v>
      </c>
      <c r="K127" s="138">
        <v>658.1</v>
      </c>
      <c r="M127" s="1087"/>
      <c r="N127" s="1087"/>
      <c r="O127" s="1087"/>
    </row>
    <row r="128" spans="3:15" ht="17.25" x14ac:dyDescent="0.25">
      <c r="C128" s="136">
        <v>55</v>
      </c>
      <c r="D128" s="136">
        <v>538.1</v>
      </c>
      <c r="E128" s="136">
        <v>124.5</v>
      </c>
      <c r="F128" s="137">
        <v>533.5</v>
      </c>
      <c r="G128" s="137">
        <v>204.4</v>
      </c>
      <c r="H128" s="137">
        <v>306.60000000000002</v>
      </c>
      <c r="I128" s="138">
        <v>575.6</v>
      </c>
      <c r="J128" s="138">
        <v>466.8</v>
      </c>
      <c r="K128" s="138">
        <v>661.7</v>
      </c>
      <c r="M128" s="1087"/>
      <c r="N128" s="1087"/>
      <c r="O128" s="1087"/>
    </row>
    <row r="129" spans="3:15" ht="17.25" x14ac:dyDescent="0.25">
      <c r="C129" s="136">
        <v>56</v>
      </c>
      <c r="D129" s="136">
        <v>542.5</v>
      </c>
      <c r="E129" s="136">
        <v>126.7</v>
      </c>
      <c r="F129" s="137">
        <v>537.9</v>
      </c>
      <c r="G129" s="137">
        <v>205.3</v>
      </c>
      <c r="H129" s="137">
        <v>307.60000000000002</v>
      </c>
      <c r="I129" s="138">
        <v>578.29999999999995</v>
      </c>
      <c r="J129" s="138">
        <v>468.6</v>
      </c>
      <c r="K129" s="138">
        <v>665.6</v>
      </c>
      <c r="M129" s="1087"/>
      <c r="N129" s="1087"/>
      <c r="O129" s="1087"/>
    </row>
    <row r="130" spans="3:15" ht="17.25" x14ac:dyDescent="0.25">
      <c r="C130" s="136">
        <v>57</v>
      </c>
      <c r="D130" s="136">
        <v>546.9</v>
      </c>
      <c r="E130" s="136">
        <v>127.2</v>
      </c>
      <c r="F130" s="137">
        <v>542.29999999999995</v>
      </c>
      <c r="G130" s="137">
        <v>206</v>
      </c>
      <c r="H130" s="137">
        <v>308.7</v>
      </c>
      <c r="I130" s="138">
        <v>581.1</v>
      </c>
      <c r="J130" s="138">
        <v>470.4</v>
      </c>
      <c r="K130" s="138">
        <v>669.8</v>
      </c>
      <c r="M130" s="1087"/>
      <c r="N130" s="1087"/>
      <c r="O130" s="1087"/>
    </row>
    <row r="131" spans="3:15" ht="17.25" x14ac:dyDescent="0.25">
      <c r="C131" s="136">
        <v>58</v>
      </c>
      <c r="D131" s="136">
        <v>551.4</v>
      </c>
      <c r="E131" s="136">
        <v>127.6</v>
      </c>
      <c r="F131" s="137">
        <v>546.5</v>
      </c>
      <c r="G131" s="137">
        <v>206.9</v>
      </c>
      <c r="H131" s="137">
        <v>309.8</v>
      </c>
      <c r="I131" s="138">
        <v>583.79999999999995</v>
      </c>
      <c r="J131" s="138">
        <v>472.2</v>
      </c>
      <c r="K131" s="138">
        <v>673.6</v>
      </c>
      <c r="M131" s="1087"/>
      <c r="N131" s="1087"/>
      <c r="O131" s="1087"/>
    </row>
    <row r="132" spans="3:15" ht="17.25" x14ac:dyDescent="0.25">
      <c r="C132" s="136">
        <v>59</v>
      </c>
      <c r="D132" s="136">
        <v>555.70000000000005</v>
      </c>
      <c r="E132" s="136">
        <v>127.8</v>
      </c>
      <c r="F132" s="137">
        <v>550.79999999999995</v>
      </c>
      <c r="G132" s="137">
        <v>208</v>
      </c>
      <c r="H132" s="137">
        <v>310.7</v>
      </c>
      <c r="I132" s="138">
        <v>586.5</v>
      </c>
      <c r="J132" s="138">
        <v>474</v>
      </c>
      <c r="K132" s="138">
        <v>678.5</v>
      </c>
      <c r="M132" s="1087"/>
      <c r="N132" s="1087"/>
      <c r="O132" s="1087"/>
    </row>
    <row r="133" spans="3:15" ht="17.25" x14ac:dyDescent="0.25">
      <c r="C133" s="623">
        <v>60</v>
      </c>
      <c r="D133" s="623">
        <v>559.6</v>
      </c>
      <c r="E133" s="623">
        <v>128.1</v>
      </c>
      <c r="F133" s="624">
        <v>554.9</v>
      </c>
      <c r="G133" s="624">
        <v>209</v>
      </c>
      <c r="H133" s="624">
        <v>311.60000000000002</v>
      </c>
      <c r="I133" s="625">
        <v>589.20000000000005</v>
      </c>
      <c r="J133" s="625">
        <v>475.9</v>
      </c>
      <c r="K133" s="625">
        <v>683.9</v>
      </c>
      <c r="M133" s="1087"/>
      <c r="N133" s="1087"/>
      <c r="O133" s="1087"/>
    </row>
    <row r="134" spans="3:15" ht="17.25" x14ac:dyDescent="0.25">
      <c r="C134" s="136">
        <v>61</v>
      </c>
      <c r="D134" s="136">
        <v>563.5</v>
      </c>
      <c r="E134" s="136">
        <v>128.30000000000001</v>
      </c>
      <c r="F134" s="137">
        <v>558.9</v>
      </c>
      <c r="G134" s="137">
        <v>210.1</v>
      </c>
      <c r="H134" s="137">
        <v>312.60000000000002</v>
      </c>
      <c r="I134" s="138">
        <v>591.9</v>
      </c>
      <c r="J134" s="138">
        <v>477.7</v>
      </c>
      <c r="K134" s="138">
        <v>689.6</v>
      </c>
      <c r="M134" s="1087"/>
      <c r="N134" s="1087"/>
      <c r="O134" s="1087"/>
    </row>
    <row r="135" spans="3:15" ht="17.25" x14ac:dyDescent="0.25">
      <c r="C135" s="136">
        <v>62</v>
      </c>
      <c r="D135" s="136">
        <v>567.29999999999995</v>
      </c>
      <c r="E135" s="136">
        <v>128.4</v>
      </c>
      <c r="F135" s="137">
        <v>562.79999999999995</v>
      </c>
      <c r="G135" s="137">
        <v>211.4</v>
      </c>
      <c r="H135" s="137">
        <v>313.60000000000002</v>
      </c>
      <c r="I135" s="138">
        <v>594.6</v>
      </c>
      <c r="J135" s="138">
        <v>479.5</v>
      </c>
      <c r="K135" s="138">
        <v>696</v>
      </c>
      <c r="M135" s="1087"/>
      <c r="N135" s="1087"/>
      <c r="O135" s="1087"/>
    </row>
    <row r="136" spans="3:15" ht="17.25" x14ac:dyDescent="0.25">
      <c r="C136" s="136">
        <v>63</v>
      </c>
      <c r="D136" s="136">
        <v>570.9</v>
      </c>
      <c r="E136" s="136">
        <v>129.69999999999999</v>
      </c>
      <c r="F136" s="137">
        <v>566.5</v>
      </c>
      <c r="G136" s="137">
        <v>212.4</v>
      </c>
      <c r="H136" s="137">
        <v>314.7</v>
      </c>
      <c r="I136" s="138">
        <v>597.29999999999995</v>
      </c>
      <c r="J136" s="138">
        <v>481.4</v>
      </c>
      <c r="K136" s="138">
        <v>705.1</v>
      </c>
      <c r="M136" s="1087"/>
      <c r="N136" s="1087"/>
      <c r="O136" s="1087"/>
    </row>
    <row r="137" spans="3:15" ht="17.25" x14ac:dyDescent="0.25">
      <c r="C137" s="136">
        <v>64</v>
      </c>
      <c r="D137" s="136">
        <v>574.4</v>
      </c>
      <c r="E137" s="136">
        <v>133.1</v>
      </c>
      <c r="F137" s="137">
        <v>569.9</v>
      </c>
      <c r="G137" s="137">
        <v>213.7</v>
      </c>
      <c r="H137" s="137">
        <v>315.8</v>
      </c>
      <c r="I137" s="138">
        <v>600.1</v>
      </c>
      <c r="J137" s="138">
        <v>483.8</v>
      </c>
      <c r="K137" s="138" t="s">
        <v>17</v>
      </c>
      <c r="M137" s="1087"/>
      <c r="N137" s="1087"/>
      <c r="O137" s="1087"/>
    </row>
    <row r="138" spans="3:15" ht="17.25" x14ac:dyDescent="0.25">
      <c r="C138" s="136">
        <v>65</v>
      </c>
      <c r="D138" s="136">
        <v>578.1</v>
      </c>
      <c r="E138" s="136">
        <v>133.69999999999999</v>
      </c>
      <c r="F138" s="137">
        <v>573.4</v>
      </c>
      <c r="G138" s="137">
        <v>214.8</v>
      </c>
      <c r="H138" s="137">
        <v>317.10000000000002</v>
      </c>
      <c r="I138" s="138">
        <v>603</v>
      </c>
      <c r="J138" s="138">
        <v>486</v>
      </c>
      <c r="K138" s="138" t="s">
        <v>17</v>
      </c>
      <c r="M138" s="1087"/>
      <c r="N138" s="1087"/>
      <c r="O138" s="1087"/>
    </row>
    <row r="139" spans="3:15" ht="17.25" x14ac:dyDescent="0.25">
      <c r="C139" s="136">
        <v>66</v>
      </c>
      <c r="D139" s="136">
        <v>581.79999999999995</v>
      </c>
      <c r="E139" s="136">
        <v>134.30000000000001</v>
      </c>
      <c r="F139" s="137">
        <v>577</v>
      </c>
      <c r="G139" s="137">
        <v>216.4</v>
      </c>
      <c r="H139" s="137">
        <v>318</v>
      </c>
      <c r="I139" s="138">
        <v>606</v>
      </c>
      <c r="J139" s="138">
        <v>488.4</v>
      </c>
      <c r="K139" s="138" t="s">
        <v>17</v>
      </c>
      <c r="M139" s="1087"/>
      <c r="N139" s="1087"/>
      <c r="O139" s="1087"/>
    </row>
    <row r="140" spans="3:15" ht="17.25" x14ac:dyDescent="0.25">
      <c r="C140" s="136">
        <v>67</v>
      </c>
      <c r="D140" s="136">
        <v>585.5</v>
      </c>
      <c r="E140" s="136">
        <v>134.9</v>
      </c>
      <c r="F140" s="137">
        <v>580.70000000000005</v>
      </c>
      <c r="G140" s="137">
        <v>217.4</v>
      </c>
      <c r="H140" s="137">
        <v>318.8</v>
      </c>
      <c r="I140" s="138">
        <v>609</v>
      </c>
      <c r="J140" s="138">
        <v>490.7</v>
      </c>
      <c r="K140" s="138" t="s">
        <v>17</v>
      </c>
      <c r="M140" s="1087"/>
      <c r="N140" s="1087"/>
      <c r="O140" s="1087"/>
    </row>
    <row r="141" spans="3:15" ht="17.25" x14ac:dyDescent="0.25">
      <c r="C141" s="136">
        <v>68</v>
      </c>
      <c r="D141" s="136">
        <v>589.29999999999995</v>
      </c>
      <c r="E141" s="136">
        <v>136.19999999999999</v>
      </c>
      <c r="F141" s="137">
        <v>584.29999999999995</v>
      </c>
      <c r="G141" s="137">
        <v>217.9</v>
      </c>
      <c r="H141" s="137">
        <v>319.5</v>
      </c>
      <c r="I141" s="138">
        <v>612</v>
      </c>
      <c r="J141" s="138">
        <v>493.1</v>
      </c>
      <c r="K141" s="138" t="s">
        <v>17</v>
      </c>
      <c r="M141" s="1087"/>
      <c r="N141" s="1087"/>
      <c r="O141" s="1087"/>
    </row>
    <row r="142" spans="3:15" ht="17.25" x14ac:dyDescent="0.25">
      <c r="C142" s="136">
        <v>69</v>
      </c>
      <c r="D142" s="136">
        <v>593.1</v>
      </c>
      <c r="E142" s="136">
        <v>138.4</v>
      </c>
      <c r="F142" s="137">
        <v>587.9</v>
      </c>
      <c r="G142" s="137">
        <v>218.3</v>
      </c>
      <c r="H142" s="137">
        <v>320.5</v>
      </c>
      <c r="I142" s="138">
        <v>615.1</v>
      </c>
      <c r="J142" s="138">
        <v>495.4</v>
      </c>
      <c r="K142" s="138" t="s">
        <v>17</v>
      </c>
      <c r="M142" s="1087"/>
      <c r="N142" s="1087"/>
      <c r="O142" s="1087"/>
    </row>
    <row r="143" spans="3:15" ht="17.25" x14ac:dyDescent="0.25">
      <c r="C143" s="623">
        <v>70</v>
      </c>
      <c r="D143" s="623">
        <v>596.79999999999995</v>
      </c>
      <c r="E143" s="623">
        <v>139</v>
      </c>
      <c r="F143" s="624">
        <v>591.6</v>
      </c>
      <c r="G143" s="624">
        <v>219.2</v>
      </c>
      <c r="H143" s="624">
        <v>321.7</v>
      </c>
      <c r="I143" s="625">
        <v>618.29999999999995</v>
      </c>
      <c r="J143" s="625">
        <v>497.4</v>
      </c>
      <c r="K143" s="625" t="s">
        <v>17</v>
      </c>
      <c r="M143" s="1087"/>
      <c r="N143" s="1087"/>
      <c r="O143" s="1087"/>
    </row>
    <row r="144" spans="3:15" ht="17.25" x14ac:dyDescent="0.25">
      <c r="C144" s="136">
        <v>71</v>
      </c>
      <c r="D144" s="136">
        <v>600.70000000000005</v>
      </c>
      <c r="E144" s="136">
        <v>140.69999999999999</v>
      </c>
      <c r="F144" s="137">
        <v>595.29999999999995</v>
      </c>
      <c r="G144" s="137">
        <v>220.4</v>
      </c>
      <c r="H144" s="137">
        <v>323</v>
      </c>
      <c r="I144" s="138">
        <v>621.70000000000005</v>
      </c>
      <c r="J144" s="138">
        <v>499.2</v>
      </c>
      <c r="K144" s="138" t="s">
        <v>17</v>
      </c>
      <c r="M144" s="1087"/>
      <c r="N144" s="1087"/>
      <c r="O144" s="1087"/>
    </row>
    <row r="145" spans="3:15" ht="17.25" x14ac:dyDescent="0.25">
      <c r="C145" s="136">
        <v>72</v>
      </c>
      <c r="D145" s="136">
        <v>604.79999999999995</v>
      </c>
      <c r="E145" s="136">
        <v>141.19999999999999</v>
      </c>
      <c r="F145" s="137">
        <v>599</v>
      </c>
      <c r="G145" s="137">
        <v>221.3</v>
      </c>
      <c r="H145" s="137">
        <v>324.2</v>
      </c>
      <c r="I145" s="138">
        <v>625</v>
      </c>
      <c r="J145" s="138">
        <v>500.9</v>
      </c>
      <c r="K145" s="138" t="s">
        <v>17</v>
      </c>
      <c r="M145" s="1087"/>
      <c r="N145" s="1087"/>
      <c r="O145" s="1087"/>
    </row>
    <row r="146" spans="3:15" ht="17.25" x14ac:dyDescent="0.25">
      <c r="C146" s="136">
        <v>73</v>
      </c>
      <c r="D146" s="136">
        <v>608.9</v>
      </c>
      <c r="E146" s="136">
        <v>141.6</v>
      </c>
      <c r="F146" s="137">
        <v>602.9</v>
      </c>
      <c r="G146" s="137">
        <v>222.8</v>
      </c>
      <c r="H146" s="137">
        <v>325.5</v>
      </c>
      <c r="I146" s="138">
        <v>628.5</v>
      </c>
      <c r="J146" s="138">
        <v>502.7</v>
      </c>
      <c r="K146" s="138" t="s">
        <v>17</v>
      </c>
      <c r="M146" s="1087"/>
      <c r="N146" s="1087"/>
      <c r="O146" s="1087"/>
    </row>
    <row r="147" spans="3:15" ht="17.25" x14ac:dyDescent="0.3">
      <c r="C147" s="139">
        <v>74</v>
      </c>
      <c r="D147" s="139">
        <v>613.1</v>
      </c>
      <c r="E147" s="139">
        <v>143</v>
      </c>
      <c r="F147" s="140">
        <v>607</v>
      </c>
      <c r="G147" s="140">
        <v>224.3</v>
      </c>
      <c r="H147" s="140">
        <v>326.7</v>
      </c>
      <c r="I147" s="123">
        <v>631.9</v>
      </c>
      <c r="J147" s="123">
        <v>504.5</v>
      </c>
      <c r="K147" s="123" t="s">
        <v>17</v>
      </c>
      <c r="M147" s="1087"/>
      <c r="N147" s="1087"/>
      <c r="O147" s="1087"/>
    </row>
    <row r="148" spans="3:15" ht="17.25" x14ac:dyDescent="0.3">
      <c r="C148" s="136">
        <v>75</v>
      </c>
      <c r="D148" s="136">
        <v>617.6</v>
      </c>
      <c r="E148" s="136">
        <v>143.80000000000001</v>
      </c>
      <c r="F148" s="141">
        <v>611.1</v>
      </c>
      <c r="G148" s="141">
        <v>225.9</v>
      </c>
      <c r="H148" s="141">
        <v>328</v>
      </c>
      <c r="I148" s="121">
        <v>635.5</v>
      </c>
      <c r="J148" s="121">
        <v>506.3</v>
      </c>
      <c r="K148" s="121" t="s">
        <v>17</v>
      </c>
      <c r="M148" s="1087"/>
      <c r="N148" s="1087"/>
      <c r="O148" s="1087"/>
    </row>
    <row r="149" spans="3:15" ht="17.25" x14ac:dyDescent="0.3">
      <c r="C149" s="136">
        <v>76</v>
      </c>
      <c r="D149" s="136">
        <v>622.29999999999995</v>
      </c>
      <c r="E149" s="136">
        <v>144.5</v>
      </c>
      <c r="F149" s="141">
        <v>615.29999999999995</v>
      </c>
      <c r="G149" s="141">
        <v>227.2</v>
      </c>
      <c r="H149" s="141">
        <v>329.4</v>
      </c>
      <c r="I149" s="121">
        <v>639.29999999999995</v>
      </c>
      <c r="J149" s="121">
        <v>508.1</v>
      </c>
      <c r="K149" s="121" t="s">
        <v>17</v>
      </c>
      <c r="M149" s="1087"/>
      <c r="N149" s="1087"/>
      <c r="O149" s="1087"/>
    </row>
    <row r="150" spans="3:15" ht="17.25" x14ac:dyDescent="0.3">
      <c r="C150" s="136">
        <v>77</v>
      </c>
      <c r="D150" s="136">
        <v>627</v>
      </c>
      <c r="E150" s="136">
        <v>145.5</v>
      </c>
      <c r="F150" s="141">
        <v>619.79999999999995</v>
      </c>
      <c r="G150" s="141">
        <v>228.6</v>
      </c>
      <c r="H150" s="141">
        <v>331</v>
      </c>
      <c r="I150" s="121">
        <v>643.29999999999995</v>
      </c>
      <c r="J150" s="121">
        <v>510.2</v>
      </c>
      <c r="K150" s="121" t="s">
        <v>17</v>
      </c>
      <c r="M150" s="1087"/>
      <c r="N150" s="1087"/>
      <c r="O150" s="1087"/>
    </row>
    <row r="151" spans="3:15" ht="17.25" x14ac:dyDescent="0.3">
      <c r="C151" s="136">
        <v>78</v>
      </c>
      <c r="D151" s="136">
        <v>631.79999999999995</v>
      </c>
      <c r="E151" s="136">
        <v>146.1</v>
      </c>
      <c r="F151" s="141">
        <v>624.29999999999995</v>
      </c>
      <c r="G151" s="141">
        <v>229.8</v>
      </c>
      <c r="H151" s="141">
        <v>332.1</v>
      </c>
      <c r="I151" s="121">
        <v>647.6</v>
      </c>
      <c r="J151" s="121">
        <v>512.5</v>
      </c>
      <c r="K151" s="121" t="s">
        <v>17</v>
      </c>
      <c r="M151" s="1087"/>
      <c r="N151" s="1087"/>
      <c r="O151" s="1087"/>
    </row>
    <row r="152" spans="3:15" ht="17.25" x14ac:dyDescent="0.3">
      <c r="C152" s="136">
        <v>79</v>
      </c>
      <c r="D152" s="136">
        <v>636.79999999999995</v>
      </c>
      <c r="E152" s="136">
        <v>146.80000000000001</v>
      </c>
      <c r="F152" s="141">
        <v>629.1</v>
      </c>
      <c r="G152" s="141">
        <v>231.1</v>
      </c>
      <c r="H152" s="141">
        <v>333</v>
      </c>
      <c r="I152" s="121">
        <v>651.9</v>
      </c>
      <c r="J152" s="121">
        <v>514.79999999999995</v>
      </c>
      <c r="K152" s="121" t="s">
        <v>17</v>
      </c>
      <c r="M152" s="1087"/>
      <c r="N152" s="1087"/>
      <c r="O152" s="1087"/>
    </row>
    <row r="153" spans="3:15" ht="17.25" x14ac:dyDescent="0.3">
      <c r="C153" s="623">
        <v>80</v>
      </c>
      <c r="D153" s="623">
        <v>642.29999999999995</v>
      </c>
      <c r="E153" s="623">
        <v>147.69999999999999</v>
      </c>
      <c r="F153" s="626">
        <v>633.9</v>
      </c>
      <c r="G153" s="626">
        <v>232.3</v>
      </c>
      <c r="H153" s="626">
        <v>334.4</v>
      </c>
      <c r="I153" s="627">
        <v>656.1</v>
      </c>
      <c r="J153" s="627">
        <v>517.20000000000005</v>
      </c>
      <c r="K153" s="627" t="s">
        <v>17</v>
      </c>
      <c r="M153" s="1087"/>
      <c r="N153" s="1087"/>
      <c r="O153" s="1087"/>
    </row>
    <row r="154" spans="3:15" ht="17.25" x14ac:dyDescent="0.3">
      <c r="C154" s="136">
        <v>81</v>
      </c>
      <c r="D154" s="136">
        <v>648.20000000000005</v>
      </c>
      <c r="E154" s="136">
        <v>151.19999999999999</v>
      </c>
      <c r="F154" s="141">
        <v>639</v>
      </c>
      <c r="G154" s="141">
        <v>234.5</v>
      </c>
      <c r="H154" s="141">
        <v>336.1</v>
      </c>
      <c r="I154" s="121">
        <v>661.3</v>
      </c>
      <c r="J154" s="121">
        <v>519.6</v>
      </c>
      <c r="K154" s="121" t="s">
        <v>17</v>
      </c>
      <c r="M154" s="1087"/>
      <c r="N154" s="1087"/>
      <c r="O154" s="1087"/>
    </row>
    <row r="155" spans="3:15" ht="17.25" x14ac:dyDescent="0.3">
      <c r="C155" s="136">
        <v>82</v>
      </c>
      <c r="D155" s="136">
        <v>654.20000000000005</v>
      </c>
      <c r="E155" s="136">
        <v>152.1</v>
      </c>
      <c r="F155" s="141">
        <v>644.6</v>
      </c>
      <c r="G155" s="141">
        <v>236.3</v>
      </c>
      <c r="H155" s="141">
        <v>337.9</v>
      </c>
      <c r="I155" s="121">
        <v>667.2</v>
      </c>
      <c r="J155" s="121">
        <v>522</v>
      </c>
      <c r="K155" s="121" t="s">
        <v>17</v>
      </c>
      <c r="M155" s="1087"/>
      <c r="N155" s="1087"/>
      <c r="O155" s="1087"/>
    </row>
    <row r="156" spans="3:15" ht="17.25" x14ac:dyDescent="0.3">
      <c r="C156" s="136">
        <v>83</v>
      </c>
      <c r="D156" s="136">
        <v>660.8</v>
      </c>
      <c r="E156" s="136">
        <v>152.5</v>
      </c>
      <c r="F156" s="141">
        <v>650.4</v>
      </c>
      <c r="G156" s="141">
        <v>236.9</v>
      </c>
      <c r="H156" s="141">
        <v>339.7</v>
      </c>
      <c r="I156" s="121">
        <v>673.1</v>
      </c>
      <c r="J156" s="121">
        <v>524.1</v>
      </c>
      <c r="K156" s="121" t="s">
        <v>17</v>
      </c>
      <c r="M156" s="1087"/>
      <c r="N156" s="1087"/>
      <c r="O156" s="1087"/>
    </row>
    <row r="157" spans="3:15" ht="17.25" x14ac:dyDescent="0.3">
      <c r="C157" s="136">
        <v>84</v>
      </c>
      <c r="D157" s="136">
        <v>669.3</v>
      </c>
      <c r="E157" s="136">
        <v>152.80000000000001</v>
      </c>
      <c r="F157" s="141">
        <v>656.3</v>
      </c>
      <c r="G157" s="141">
        <v>237.6</v>
      </c>
      <c r="H157" s="141">
        <v>341.5</v>
      </c>
      <c r="I157" s="121">
        <v>680</v>
      </c>
      <c r="J157" s="121">
        <v>526.29999999999995</v>
      </c>
      <c r="K157" s="121" t="s">
        <v>17</v>
      </c>
      <c r="M157" s="1087"/>
      <c r="N157" s="1087"/>
      <c r="O157" s="1087"/>
    </row>
    <row r="158" spans="3:15" ht="17.25" x14ac:dyDescent="0.3">
      <c r="C158" s="136">
        <v>85</v>
      </c>
      <c r="D158" s="136">
        <v>677.8</v>
      </c>
      <c r="E158" s="136">
        <v>153.1</v>
      </c>
      <c r="F158" s="141">
        <v>663.5</v>
      </c>
      <c r="G158" s="141">
        <v>239.7</v>
      </c>
      <c r="H158" s="141">
        <v>343.6</v>
      </c>
      <c r="I158" s="121">
        <v>687</v>
      </c>
      <c r="J158" s="121">
        <v>528.4</v>
      </c>
      <c r="K158" s="121" t="s">
        <v>17</v>
      </c>
      <c r="M158" s="1087"/>
      <c r="N158" s="1087"/>
      <c r="O158" s="1087"/>
    </row>
    <row r="159" spans="3:15" ht="17.25" x14ac:dyDescent="0.3">
      <c r="C159" s="136">
        <v>86</v>
      </c>
      <c r="D159" s="136">
        <v>687.8</v>
      </c>
      <c r="E159" s="136">
        <v>154.30000000000001</v>
      </c>
      <c r="F159" s="141">
        <v>671.7</v>
      </c>
      <c r="G159" s="141">
        <v>241.9</v>
      </c>
      <c r="H159" s="141">
        <v>345.3</v>
      </c>
      <c r="I159" s="121">
        <v>694</v>
      </c>
      <c r="J159" s="121">
        <v>530.70000000000005</v>
      </c>
      <c r="K159" s="121" t="s">
        <v>17</v>
      </c>
      <c r="M159" s="1087"/>
      <c r="N159" s="1087"/>
      <c r="O159" s="1087"/>
    </row>
    <row r="160" spans="3:15" ht="17.25" x14ac:dyDescent="0.3">
      <c r="C160" s="136">
        <v>87</v>
      </c>
      <c r="D160" s="136">
        <v>698.4</v>
      </c>
      <c r="E160" s="136">
        <v>157.19999999999999</v>
      </c>
      <c r="F160" s="141">
        <v>680.9</v>
      </c>
      <c r="G160" s="141">
        <v>244.6</v>
      </c>
      <c r="H160" s="141">
        <v>346.6</v>
      </c>
      <c r="I160" s="121">
        <v>702</v>
      </c>
      <c r="J160" s="121">
        <v>532.9</v>
      </c>
      <c r="K160" s="121" t="s">
        <v>17</v>
      </c>
      <c r="M160" s="1087"/>
      <c r="N160" s="1087"/>
      <c r="O160" s="1087"/>
    </row>
    <row r="161" spans="3:15" ht="17.25" x14ac:dyDescent="0.3">
      <c r="C161" s="136">
        <v>88</v>
      </c>
      <c r="D161" s="136">
        <v>712.3</v>
      </c>
      <c r="E161" s="136">
        <v>159.6</v>
      </c>
      <c r="F161" s="141">
        <v>690.3</v>
      </c>
      <c r="G161" s="141">
        <v>247.1</v>
      </c>
      <c r="H161" s="141">
        <v>348.7</v>
      </c>
      <c r="I161" s="121">
        <v>709.9</v>
      </c>
      <c r="J161" s="121">
        <v>535.4</v>
      </c>
      <c r="K161" s="121" t="s">
        <v>17</v>
      </c>
      <c r="M161" s="1087"/>
      <c r="N161" s="1087"/>
      <c r="O161" s="1087"/>
    </row>
    <row r="162" spans="3:15" ht="17.25" x14ac:dyDescent="0.3">
      <c r="C162" s="136">
        <v>89</v>
      </c>
      <c r="D162" s="136" t="s">
        <v>17</v>
      </c>
      <c r="E162" s="136">
        <v>161.19999999999999</v>
      </c>
      <c r="F162" s="141">
        <v>700.3</v>
      </c>
      <c r="G162" s="141">
        <v>249.6</v>
      </c>
      <c r="H162" s="141">
        <v>351.1</v>
      </c>
      <c r="I162" s="121">
        <v>719.5</v>
      </c>
      <c r="J162" s="121">
        <v>538</v>
      </c>
      <c r="K162" s="121" t="s">
        <v>17</v>
      </c>
      <c r="M162" s="1087"/>
      <c r="N162" s="1087"/>
      <c r="O162" s="1087"/>
    </row>
    <row r="163" spans="3:15" ht="17.25" x14ac:dyDescent="0.3">
      <c r="C163" s="623">
        <v>90</v>
      </c>
      <c r="D163" s="623" t="s">
        <v>17</v>
      </c>
      <c r="E163" s="623">
        <v>163</v>
      </c>
      <c r="F163" s="626">
        <v>710.2</v>
      </c>
      <c r="G163" s="626">
        <v>252.3</v>
      </c>
      <c r="H163" s="626">
        <v>353.6</v>
      </c>
      <c r="I163" s="627" t="s">
        <v>17</v>
      </c>
      <c r="J163" s="627">
        <v>540.70000000000005</v>
      </c>
      <c r="K163" s="627" t="s">
        <v>17</v>
      </c>
      <c r="M163" s="1087"/>
      <c r="N163" s="1087"/>
      <c r="O163" s="1087"/>
    </row>
    <row r="164" spans="3:15" ht="17.25" x14ac:dyDescent="0.3">
      <c r="C164" s="136">
        <v>91</v>
      </c>
      <c r="D164" s="136" t="s">
        <v>17</v>
      </c>
      <c r="E164" s="136">
        <v>164.2</v>
      </c>
      <c r="F164" s="121" t="s">
        <v>17</v>
      </c>
      <c r="G164" s="121">
        <v>255</v>
      </c>
      <c r="H164" s="121">
        <v>356.3</v>
      </c>
      <c r="I164" s="121" t="s">
        <v>17</v>
      </c>
      <c r="J164" s="121">
        <v>543.6</v>
      </c>
      <c r="K164" s="121" t="s">
        <v>17</v>
      </c>
      <c r="M164" s="1087"/>
      <c r="N164" s="1087"/>
      <c r="O164" s="1087"/>
    </row>
    <row r="165" spans="3:15" ht="17.25" x14ac:dyDescent="0.3">
      <c r="C165" s="136">
        <v>92</v>
      </c>
      <c r="D165" s="136" t="s">
        <v>17</v>
      </c>
      <c r="E165" s="136">
        <v>166.5</v>
      </c>
      <c r="F165" s="121" t="s">
        <v>17</v>
      </c>
      <c r="G165" s="121">
        <v>256.2</v>
      </c>
      <c r="H165" s="121">
        <v>358.4</v>
      </c>
      <c r="I165" s="121" t="s">
        <v>17</v>
      </c>
      <c r="J165" s="121">
        <v>546.6</v>
      </c>
      <c r="K165" s="121" t="s">
        <v>17</v>
      </c>
      <c r="M165" s="1087"/>
      <c r="N165" s="1087"/>
      <c r="O165" s="1087"/>
    </row>
    <row r="166" spans="3:15" ht="17.25" x14ac:dyDescent="0.3">
      <c r="C166" s="136">
        <v>93</v>
      </c>
      <c r="D166" s="136" t="s">
        <v>17</v>
      </c>
      <c r="E166" s="136">
        <v>167.3</v>
      </c>
      <c r="F166" s="121" t="s">
        <v>17</v>
      </c>
      <c r="G166" s="121">
        <v>259.89999999999998</v>
      </c>
      <c r="H166" s="121">
        <v>361.8</v>
      </c>
      <c r="I166" s="121" t="s">
        <v>17</v>
      </c>
      <c r="J166" s="121">
        <v>549.9</v>
      </c>
      <c r="K166" s="121" t="s">
        <v>17</v>
      </c>
      <c r="M166" s="1087"/>
      <c r="N166" s="1087"/>
      <c r="O166" s="1087"/>
    </row>
    <row r="167" spans="3:15" ht="17.25" x14ac:dyDescent="0.3">
      <c r="C167" s="136">
        <v>94</v>
      </c>
      <c r="D167" s="136" t="s">
        <v>17</v>
      </c>
      <c r="E167" s="136">
        <v>170.1</v>
      </c>
      <c r="F167" s="121" t="s">
        <v>17</v>
      </c>
      <c r="G167" s="121">
        <v>264.2</v>
      </c>
      <c r="H167" s="121">
        <v>365.4</v>
      </c>
      <c r="I167" s="121" t="s">
        <v>17</v>
      </c>
      <c r="J167" s="121">
        <v>553.6</v>
      </c>
      <c r="K167" s="121" t="s">
        <v>17</v>
      </c>
      <c r="M167" s="1087"/>
      <c r="N167" s="1087"/>
      <c r="O167" s="1087"/>
    </row>
    <row r="168" spans="3:15" ht="17.25" x14ac:dyDescent="0.3">
      <c r="C168" s="623">
        <v>95</v>
      </c>
      <c r="D168" s="623" t="s">
        <v>17</v>
      </c>
      <c r="E168" s="623">
        <v>174.5</v>
      </c>
      <c r="F168" s="627" t="s">
        <v>17</v>
      </c>
      <c r="G168" s="627">
        <v>268.10000000000002</v>
      </c>
      <c r="H168" s="627">
        <v>369.1</v>
      </c>
      <c r="I168" s="627" t="s">
        <v>17</v>
      </c>
      <c r="J168" s="627">
        <v>557.5</v>
      </c>
      <c r="K168" s="627" t="s">
        <v>17</v>
      </c>
      <c r="M168" s="1087"/>
      <c r="N168" s="1087"/>
      <c r="O168" s="1087"/>
    </row>
    <row r="169" spans="3:15" ht="17.25" x14ac:dyDescent="0.3">
      <c r="C169" s="136">
        <v>96</v>
      </c>
      <c r="D169" s="136" t="s">
        <v>17</v>
      </c>
      <c r="E169" s="136">
        <v>176.1</v>
      </c>
      <c r="F169" s="121" t="s">
        <v>17</v>
      </c>
      <c r="G169" s="121">
        <v>272.2</v>
      </c>
      <c r="H169" s="121">
        <v>373.7</v>
      </c>
      <c r="I169" s="121" t="s">
        <v>17</v>
      </c>
      <c r="J169" s="121">
        <v>561.9</v>
      </c>
      <c r="K169" s="121" t="s">
        <v>17</v>
      </c>
      <c r="M169" s="1087"/>
      <c r="N169" s="1087"/>
      <c r="O169" s="1087"/>
    </row>
    <row r="170" spans="3:15" ht="17.25" x14ac:dyDescent="0.3">
      <c r="C170" s="136">
        <v>97</v>
      </c>
      <c r="D170" s="136" t="s">
        <v>17</v>
      </c>
      <c r="E170" s="136">
        <v>182.4</v>
      </c>
      <c r="F170" s="121" t="s">
        <v>17</v>
      </c>
      <c r="G170" s="121">
        <v>279</v>
      </c>
      <c r="H170" s="121">
        <v>379.7</v>
      </c>
      <c r="I170" s="121" t="s">
        <v>17</v>
      </c>
      <c r="J170" s="121">
        <v>567.1</v>
      </c>
      <c r="K170" s="121" t="s">
        <v>17</v>
      </c>
      <c r="M170" s="1087"/>
      <c r="N170" s="1087"/>
      <c r="O170" s="1087"/>
    </row>
    <row r="171" spans="3:15" ht="17.25" x14ac:dyDescent="0.3">
      <c r="C171" s="136">
        <v>98</v>
      </c>
      <c r="D171" s="136" t="s">
        <v>17</v>
      </c>
      <c r="E171" s="136">
        <v>190</v>
      </c>
      <c r="F171" s="121" t="s">
        <v>17</v>
      </c>
      <c r="G171" s="121">
        <v>287.39999999999998</v>
      </c>
      <c r="H171" s="121">
        <v>387.3</v>
      </c>
      <c r="I171" s="121" t="s">
        <v>17</v>
      </c>
      <c r="J171" s="121">
        <v>573.6</v>
      </c>
      <c r="K171" s="121" t="s">
        <v>17</v>
      </c>
      <c r="M171" s="1087"/>
      <c r="N171" s="1087"/>
      <c r="O171" s="1087"/>
    </row>
    <row r="172" spans="3:15" ht="17.25" x14ac:dyDescent="0.3">
      <c r="C172" s="136">
        <v>99</v>
      </c>
      <c r="D172" s="136" t="s">
        <v>17</v>
      </c>
      <c r="E172" s="136">
        <v>206.1</v>
      </c>
      <c r="F172" s="121" t="s">
        <v>17</v>
      </c>
      <c r="G172" s="121">
        <v>299.5</v>
      </c>
      <c r="H172" s="121">
        <v>399.4</v>
      </c>
      <c r="I172" s="121" t="s">
        <v>17</v>
      </c>
      <c r="J172" s="121">
        <v>585.1</v>
      </c>
      <c r="K172" s="121" t="s">
        <v>17</v>
      </c>
      <c r="M172" s="1087"/>
      <c r="N172" s="1087"/>
      <c r="O172" s="1087"/>
    </row>
    <row r="173" spans="3:15" ht="17.25" x14ac:dyDescent="0.3">
      <c r="C173" s="623">
        <v>100</v>
      </c>
      <c r="D173" s="623" t="s">
        <v>17</v>
      </c>
      <c r="E173" s="623">
        <v>222.5</v>
      </c>
      <c r="F173" s="627" t="s">
        <v>17</v>
      </c>
      <c r="G173" s="627">
        <v>309.2</v>
      </c>
      <c r="H173" s="627">
        <v>409.8</v>
      </c>
      <c r="I173" s="627" t="s">
        <v>17</v>
      </c>
      <c r="J173" s="627">
        <v>598</v>
      </c>
      <c r="K173" s="627" t="s">
        <v>17</v>
      </c>
      <c r="M173" s="1087"/>
      <c r="N173" s="1087"/>
      <c r="O173" s="1087"/>
    </row>
    <row r="174" spans="3:15" x14ac:dyDescent="0.25">
      <c r="M174" s="1087"/>
      <c r="N174" s="1087"/>
      <c r="O174" s="1087"/>
    </row>
    <row r="175" spans="3:15" x14ac:dyDescent="0.25">
      <c r="M175" s="1087"/>
      <c r="N175" s="1087"/>
      <c r="O175" s="1087"/>
    </row>
  </sheetData>
  <mergeCells count="22">
    <mergeCell ref="B48:B49"/>
    <mergeCell ref="C48:C49"/>
    <mergeCell ref="B29:B31"/>
    <mergeCell ref="B55:B58"/>
    <mergeCell ref="B44:B47"/>
    <mergeCell ref="C44:C47"/>
    <mergeCell ref="B33:B35"/>
    <mergeCell ref="C33:C35"/>
    <mergeCell ref="B39:B43"/>
    <mergeCell ref="C39:C43"/>
    <mergeCell ref="A18:A20"/>
    <mergeCell ref="M21:N21"/>
    <mergeCell ref="A23:A24"/>
    <mergeCell ref="A25:A26"/>
    <mergeCell ref="C25:C26"/>
    <mergeCell ref="B18:B19"/>
    <mergeCell ref="A1:M1"/>
    <mergeCell ref="M5:N5"/>
    <mergeCell ref="M6:N6"/>
    <mergeCell ref="A9:A10"/>
    <mergeCell ref="B13:B17"/>
    <mergeCell ref="C13:C17"/>
  </mergeCells>
  <pageMargins left="0.25" right="0.25" top="0.75" bottom="0.75" header="0.3" footer="0.3"/>
  <pageSetup paperSize="9" scale="38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A771-31BB-49D4-8631-DE3A09FE1BF0}">
  <sheetPr>
    <tabColor rgb="FF3333FF"/>
    <pageSetUpPr fitToPage="1"/>
  </sheetPr>
  <dimension ref="A1:Y174"/>
  <sheetViews>
    <sheetView showGridLines="0" zoomScale="76" zoomScaleNormal="70" zoomScaleSheetLayoutView="55" workbookViewId="0">
      <pane xSplit="3" ySplit="6" topLeftCell="I86" activePane="bottomRight" state="frozen"/>
      <selection pane="topRight" activeCell="D1" sqref="D1"/>
      <selection pane="bottomLeft" activeCell="A7" sqref="A7"/>
      <selection pane="bottomRight" activeCell="K2" sqref="K2"/>
    </sheetView>
  </sheetViews>
  <sheetFormatPr defaultColWidth="8.85546875" defaultRowHeight="15.75" x14ac:dyDescent="0.25"/>
  <cols>
    <col min="1" max="1" width="28.140625" style="1088" bestFit="1" customWidth="1"/>
    <col min="2" max="2" width="26.85546875" style="1088" customWidth="1"/>
    <col min="3" max="3" width="14.5703125" style="1088" customWidth="1"/>
    <col min="4" max="10" width="13.85546875" style="1088" customWidth="1"/>
    <col min="11" max="11" width="13.85546875" style="1211" customWidth="1"/>
    <col min="12" max="12" width="23.85546875" style="1089" customWidth="1"/>
    <col min="13" max="13" width="24.85546875" style="1089" bestFit="1" customWidth="1"/>
    <col min="14" max="14" width="10.140625" style="1089" customWidth="1"/>
    <col min="15" max="15" width="2.5703125" style="1086" hidden="1" customWidth="1"/>
    <col min="16" max="16" width="0" style="1087" hidden="1" customWidth="1"/>
    <col min="17" max="17" width="2.5703125" style="1087" hidden="1" customWidth="1"/>
    <col min="18" max="21" width="0" style="1087" hidden="1" customWidth="1"/>
    <col min="22" max="16384" width="8.85546875" style="1087"/>
  </cols>
  <sheetData>
    <row r="1" spans="1:17" ht="28.5" x14ac:dyDescent="0.45">
      <c r="A1" s="1601" t="s">
        <v>655</v>
      </c>
      <c r="B1" s="1601"/>
      <c r="C1" s="1601"/>
      <c r="D1" s="1601"/>
      <c r="E1" s="1601"/>
      <c r="F1" s="1601"/>
      <c r="G1" s="1601"/>
      <c r="H1" s="1601"/>
      <c r="I1" s="1601"/>
      <c r="J1" s="1601"/>
      <c r="K1" s="1601"/>
      <c r="L1" s="1601"/>
      <c r="M1" s="1601"/>
      <c r="N1" s="1208"/>
    </row>
    <row r="2" spans="1:17" x14ac:dyDescent="0.25">
      <c r="A2" s="1209"/>
      <c r="B2" s="1210"/>
      <c r="C2" s="1089"/>
      <c r="D2" s="1089"/>
      <c r="E2" s="1209"/>
      <c r="F2" s="1209"/>
      <c r="G2" s="1209"/>
      <c r="H2" s="1089"/>
      <c r="I2" s="1089"/>
      <c r="J2" s="1089"/>
      <c r="L2" s="1212" t="s">
        <v>656</v>
      </c>
      <c r="M2" s="1213" t="s">
        <v>657</v>
      </c>
      <c r="N2" s="1213"/>
    </row>
    <row r="3" spans="1:17" x14ac:dyDescent="0.25">
      <c r="A3" s="1209"/>
      <c r="B3" s="1214"/>
      <c r="C3" s="1089"/>
      <c r="D3" s="1089"/>
      <c r="E3" s="1209"/>
      <c r="F3" s="1209"/>
      <c r="G3" s="1209"/>
      <c r="H3" s="1089"/>
      <c r="I3" s="1089"/>
      <c r="J3" s="1089"/>
      <c r="L3" s="1212" t="s">
        <v>658</v>
      </c>
      <c r="M3" s="1215">
        <v>45684</v>
      </c>
      <c r="N3" s="1215"/>
    </row>
    <row r="4" spans="1:17" ht="16.5" thickBot="1" x14ac:dyDescent="0.3">
      <c r="A4" s="1209"/>
      <c r="B4" s="1214"/>
      <c r="C4" s="1089"/>
      <c r="D4" s="1089"/>
      <c r="E4" s="1209"/>
      <c r="F4" s="1209"/>
      <c r="G4" s="1209"/>
      <c r="H4" s="1089"/>
      <c r="I4" s="1089"/>
      <c r="J4" s="1089"/>
      <c r="L4" s="1212"/>
      <c r="M4" s="1216"/>
      <c r="N4" s="1216"/>
    </row>
    <row r="5" spans="1:17" ht="18" x14ac:dyDescent="0.25">
      <c r="A5" s="1116" t="s">
        <v>11</v>
      </c>
      <c r="B5" s="1117" t="s">
        <v>12</v>
      </c>
      <c r="C5" s="1117" t="s">
        <v>13</v>
      </c>
      <c r="D5" s="1117" t="s">
        <v>828</v>
      </c>
      <c r="E5" s="1117" t="s">
        <v>829</v>
      </c>
      <c r="F5" s="1117" t="s">
        <v>833</v>
      </c>
      <c r="G5" s="1117" t="s">
        <v>663</v>
      </c>
      <c r="H5" s="1117" t="s">
        <v>665</v>
      </c>
      <c r="I5" s="1117" t="s">
        <v>666</v>
      </c>
      <c r="J5" s="1117" t="s">
        <v>831</v>
      </c>
      <c r="K5" s="1118" t="s">
        <v>835</v>
      </c>
      <c r="M5" s="1602" t="s">
        <v>670</v>
      </c>
      <c r="N5" s="1603"/>
      <c r="O5" s="1219"/>
      <c r="P5" s="1086"/>
    </row>
    <row r="6" spans="1:17" ht="16.5" thickBot="1" x14ac:dyDescent="0.3">
      <c r="A6" s="1119" t="s">
        <v>671</v>
      </c>
      <c r="B6" s="1120"/>
      <c r="C6" s="1120"/>
      <c r="D6" s="1120"/>
      <c r="E6" s="1120" t="s">
        <v>830</v>
      </c>
      <c r="F6" s="1120" t="s">
        <v>834</v>
      </c>
      <c r="G6" s="1120" t="s">
        <v>103</v>
      </c>
      <c r="H6" s="1120" t="s">
        <v>104</v>
      </c>
      <c r="I6" s="1120" t="s">
        <v>679</v>
      </c>
      <c r="J6" s="1120" t="s">
        <v>237</v>
      </c>
      <c r="K6" s="1245" t="s">
        <v>160</v>
      </c>
      <c r="L6" s="1211"/>
      <c r="M6" s="1604" t="s">
        <v>683</v>
      </c>
      <c r="N6" s="1605"/>
      <c r="O6" s="1092"/>
      <c r="P6" s="1086"/>
      <c r="Q6" s="1090" t="s">
        <v>684</v>
      </c>
    </row>
    <row r="7" spans="1:17" x14ac:dyDescent="0.25">
      <c r="A7" s="1166" t="s">
        <v>685</v>
      </c>
      <c r="B7" s="1174" t="s">
        <v>686</v>
      </c>
      <c r="C7" s="1174" t="s">
        <v>18</v>
      </c>
      <c r="D7" s="1157"/>
      <c r="E7" s="1193">
        <v>3.0579999999999998</v>
      </c>
      <c r="F7" s="1224"/>
      <c r="G7" s="1193">
        <v>10.154999999999999</v>
      </c>
      <c r="H7" s="1193">
        <v>15.763999999999999</v>
      </c>
      <c r="I7" s="1157"/>
      <c r="J7" s="1193">
        <v>32.634</v>
      </c>
      <c r="K7" s="1194">
        <v>38.38900000000001</v>
      </c>
      <c r="L7" s="1092"/>
      <c r="M7" s="1093" t="s">
        <v>688</v>
      </c>
      <c r="N7" s="1202" t="s">
        <v>687</v>
      </c>
      <c r="O7" s="1092"/>
      <c r="P7" s="1086"/>
      <c r="Q7" s="1094">
        <v>98.4</v>
      </c>
    </row>
    <row r="8" spans="1:17" ht="16.5" thickBot="1" x14ac:dyDescent="0.3">
      <c r="A8" s="1167" t="s">
        <v>689</v>
      </c>
      <c r="B8" s="1175" t="s">
        <v>690</v>
      </c>
      <c r="C8" s="1175" t="s">
        <v>18</v>
      </c>
      <c r="D8" s="1111"/>
      <c r="E8" s="1249"/>
      <c r="F8" s="1225"/>
      <c r="G8" s="1249"/>
      <c r="H8" s="1249"/>
      <c r="I8" s="1111"/>
      <c r="J8" s="1249"/>
      <c r="K8" s="1250"/>
      <c r="L8" s="1092"/>
      <c r="M8" s="1095" t="s">
        <v>691</v>
      </c>
      <c r="N8" s="1203" t="s">
        <v>687</v>
      </c>
      <c r="O8" s="1092"/>
      <c r="P8" s="1086"/>
      <c r="Q8" s="1094">
        <v>125.1</v>
      </c>
    </row>
    <row r="9" spans="1:17" x14ac:dyDescent="0.25">
      <c r="A9" s="1594" t="s">
        <v>21</v>
      </c>
      <c r="B9" s="1174" t="s">
        <v>692</v>
      </c>
      <c r="C9" s="1174" t="s">
        <v>693</v>
      </c>
      <c r="D9" s="1126"/>
      <c r="E9" s="1253">
        <v>0.74460000000000004</v>
      </c>
      <c r="F9" s="1226"/>
      <c r="G9" s="1252">
        <v>0.80469999999999997</v>
      </c>
      <c r="H9" s="1253">
        <v>0.87060000000000004</v>
      </c>
      <c r="I9" s="1226"/>
      <c r="J9" s="1192">
        <v>0.93910000000000005</v>
      </c>
      <c r="K9" s="1114"/>
      <c r="M9" s="1095" t="s">
        <v>694</v>
      </c>
      <c r="N9" s="1203" t="s">
        <v>687</v>
      </c>
      <c r="O9" s="1092"/>
      <c r="P9" s="1086"/>
      <c r="Q9" s="1094">
        <v>150.80000000000001</v>
      </c>
    </row>
    <row r="10" spans="1:17" x14ac:dyDescent="0.25">
      <c r="A10" s="1595"/>
      <c r="B10" s="1176" t="s">
        <v>839</v>
      </c>
      <c r="C10" s="1176" t="s">
        <v>436</v>
      </c>
      <c r="D10" s="1112"/>
      <c r="E10" s="1184">
        <v>58.3</v>
      </c>
      <c r="F10" s="1113"/>
      <c r="G10" s="1184">
        <v>44.2</v>
      </c>
      <c r="H10" s="1255">
        <v>30.9</v>
      </c>
      <c r="I10" s="1113"/>
      <c r="J10" s="1183">
        <v>19</v>
      </c>
      <c r="K10" s="1115"/>
      <c r="M10" s="1095" t="s">
        <v>696</v>
      </c>
      <c r="N10" s="1203" t="s">
        <v>687</v>
      </c>
      <c r="O10" s="1092"/>
      <c r="P10" s="1086"/>
      <c r="Q10" s="1094">
        <v>174.1</v>
      </c>
    </row>
    <row r="11" spans="1:17" ht="18.75" thickBot="1" x14ac:dyDescent="0.3">
      <c r="A11" s="1168" t="s">
        <v>697</v>
      </c>
      <c r="B11" s="1138" t="s">
        <v>698</v>
      </c>
      <c r="C11" s="1175"/>
      <c r="D11" s="1111"/>
      <c r="E11" s="1111"/>
      <c r="F11" s="1111"/>
      <c r="G11" s="1111"/>
      <c r="H11" s="1111"/>
      <c r="I11" s="1111"/>
      <c r="J11" s="1111"/>
      <c r="K11" s="1154"/>
      <c r="M11" s="1096" t="s">
        <v>699</v>
      </c>
      <c r="N11" s="1203" t="s">
        <v>687</v>
      </c>
      <c r="O11" s="1092"/>
      <c r="P11" s="1086"/>
      <c r="Q11" s="1094">
        <v>195.9</v>
      </c>
    </row>
    <row r="12" spans="1:17" ht="16.5" thickBot="1" x14ac:dyDescent="0.3">
      <c r="A12" s="1169" t="s">
        <v>700</v>
      </c>
      <c r="B12" s="1142" t="s">
        <v>701</v>
      </c>
      <c r="C12" s="1177" t="s">
        <v>702</v>
      </c>
      <c r="D12" s="1146"/>
      <c r="E12" s="1124"/>
      <c r="F12" s="1124"/>
      <c r="G12" s="1124"/>
      <c r="H12" s="1124"/>
      <c r="I12" s="1124"/>
      <c r="J12" s="1124"/>
      <c r="K12" s="1125"/>
      <c r="L12" s="1097"/>
      <c r="M12" s="1096" t="s">
        <v>703</v>
      </c>
      <c r="N12" s="1203" t="s">
        <v>687</v>
      </c>
      <c r="O12" s="1092"/>
      <c r="P12" s="1086"/>
      <c r="Q12" s="1094">
        <v>216.3</v>
      </c>
    </row>
    <row r="13" spans="1:17" ht="18" x14ac:dyDescent="0.25">
      <c r="A13" s="1166" t="s">
        <v>704</v>
      </c>
      <c r="B13" s="1584" t="s">
        <v>705</v>
      </c>
      <c r="C13" s="1584" t="s">
        <v>28</v>
      </c>
      <c r="D13" s="1126"/>
      <c r="E13" s="1126"/>
      <c r="F13" s="1126"/>
      <c r="G13" s="1147"/>
      <c r="H13" s="1126"/>
      <c r="I13" s="1126"/>
      <c r="J13" s="1126"/>
      <c r="K13" s="1114"/>
      <c r="L13" s="1097"/>
      <c r="M13" s="1096" t="s">
        <v>706</v>
      </c>
      <c r="N13" s="1203" t="s">
        <v>687</v>
      </c>
      <c r="O13" s="1092"/>
      <c r="P13" s="1086"/>
      <c r="Q13" s="1094">
        <v>234.8</v>
      </c>
    </row>
    <row r="14" spans="1:17" ht="18" x14ac:dyDescent="0.25">
      <c r="A14" s="1170" t="s">
        <v>707</v>
      </c>
      <c r="B14" s="1580"/>
      <c r="C14" s="1580"/>
      <c r="D14" s="1183"/>
      <c r="E14" s="1113"/>
      <c r="F14" s="1113"/>
      <c r="G14" s="1113"/>
      <c r="H14" s="1183"/>
      <c r="I14" s="1113"/>
      <c r="J14" s="1113"/>
      <c r="K14" s="1115"/>
      <c r="L14" s="1097"/>
      <c r="M14" s="1098" t="s">
        <v>708</v>
      </c>
      <c r="N14" s="1203" t="s">
        <v>687</v>
      </c>
      <c r="O14" s="1092"/>
      <c r="P14" s="1086"/>
      <c r="Q14" s="1094">
        <v>252</v>
      </c>
    </row>
    <row r="15" spans="1:17" ht="18" x14ac:dyDescent="0.25">
      <c r="A15" s="1170" t="s">
        <v>709</v>
      </c>
      <c r="B15" s="1580"/>
      <c r="C15" s="1580"/>
      <c r="D15" s="1113"/>
      <c r="E15" s="1113"/>
      <c r="F15" s="1113"/>
      <c r="G15" s="1113"/>
      <c r="H15" s="1113"/>
      <c r="I15" s="1113"/>
      <c r="J15" s="1113"/>
      <c r="K15" s="1115"/>
      <c r="L15" s="1099"/>
      <c r="M15" s="1096" t="s">
        <v>710</v>
      </c>
      <c r="N15" s="1203" t="s">
        <v>687</v>
      </c>
      <c r="O15" s="1092"/>
      <c r="P15" s="1086"/>
      <c r="Q15" s="1094">
        <v>267</v>
      </c>
    </row>
    <row r="16" spans="1:17" ht="18" x14ac:dyDescent="0.25">
      <c r="A16" s="1170" t="s">
        <v>711</v>
      </c>
      <c r="B16" s="1580"/>
      <c r="C16" s="1580"/>
      <c r="D16" s="1113"/>
      <c r="E16" s="1113"/>
      <c r="F16" s="1113"/>
      <c r="G16" s="1113"/>
      <c r="H16" s="1113"/>
      <c r="I16" s="1113"/>
      <c r="J16" s="1183"/>
      <c r="K16" s="1235"/>
      <c r="L16" s="1099"/>
      <c r="M16" s="1100" t="s">
        <v>712</v>
      </c>
      <c r="N16" s="1203" t="s">
        <v>687</v>
      </c>
      <c r="O16" s="1092"/>
      <c r="P16" s="1086"/>
      <c r="Q16" s="1094">
        <v>287</v>
      </c>
    </row>
    <row r="17" spans="1:17" ht="18.75" thickBot="1" x14ac:dyDescent="0.3">
      <c r="A17" s="1170" t="s">
        <v>836</v>
      </c>
      <c r="B17" s="1580"/>
      <c r="C17" s="1580"/>
      <c r="D17" s="1113"/>
      <c r="E17" s="1113"/>
      <c r="F17" s="1113"/>
      <c r="G17" s="1113"/>
      <c r="H17" s="1113"/>
      <c r="I17" s="1113"/>
      <c r="J17" s="1113"/>
      <c r="K17" s="1247"/>
      <c r="L17" s="1097"/>
      <c r="M17" s="1096" t="s">
        <v>714</v>
      </c>
      <c r="N17" s="1203" t="s">
        <v>687</v>
      </c>
      <c r="O17" s="1092"/>
      <c r="P17" s="1086"/>
    </row>
    <row r="18" spans="1:17" ht="16.5" thickBot="1" x14ac:dyDescent="0.3">
      <c r="A18" s="1594" t="s">
        <v>34</v>
      </c>
      <c r="B18" s="1585" t="s">
        <v>715</v>
      </c>
      <c r="C18" s="1174" t="s">
        <v>36</v>
      </c>
      <c r="D18" s="1188"/>
      <c r="E18" s="1126"/>
      <c r="F18" s="1126"/>
      <c r="G18" s="1126"/>
      <c r="H18" s="1126"/>
      <c r="I18" s="1126"/>
      <c r="J18" s="1252">
        <v>0.91</v>
      </c>
      <c r="K18" s="1199">
        <v>5.6059999999999999</v>
      </c>
      <c r="L18" s="1097"/>
      <c r="M18" s="1101" t="s">
        <v>716</v>
      </c>
      <c r="N18" s="1204" t="s">
        <v>687</v>
      </c>
      <c r="O18" s="1097"/>
      <c r="P18" s="1086"/>
    </row>
    <row r="19" spans="1:17" x14ac:dyDescent="0.25">
      <c r="A19" s="1595"/>
      <c r="B19" s="1579"/>
      <c r="C19" s="1176" t="s">
        <v>718</v>
      </c>
      <c r="D19" s="1184"/>
      <c r="E19" s="1183">
        <v>247.83500000000001</v>
      </c>
      <c r="F19" s="1113"/>
      <c r="G19" s="1183">
        <v>336.9</v>
      </c>
      <c r="H19" s="1183">
        <v>2750</v>
      </c>
      <c r="I19" s="1113"/>
      <c r="J19" s="1184">
        <v>9100</v>
      </c>
      <c r="K19" s="1247">
        <f>K18*10000</f>
        <v>56060</v>
      </c>
      <c r="L19" s="1097"/>
      <c r="M19" s="1102"/>
      <c r="N19" s="1097"/>
      <c r="O19" s="1220"/>
      <c r="P19" s="1086"/>
    </row>
    <row r="20" spans="1:17" ht="16.5" thickBot="1" x14ac:dyDescent="0.3">
      <c r="A20" s="1596"/>
      <c r="B20" s="1248" t="s">
        <v>717</v>
      </c>
      <c r="C20" s="1175" t="s">
        <v>718</v>
      </c>
      <c r="D20" s="1111"/>
      <c r="E20" s="1111"/>
      <c r="F20" s="1111"/>
      <c r="G20" s="1111"/>
      <c r="H20" s="1111"/>
      <c r="I20" s="1111"/>
      <c r="J20" s="1111"/>
      <c r="K20" s="1127"/>
      <c r="L20" s="1097"/>
      <c r="M20" s="1102"/>
      <c r="N20" s="1097"/>
      <c r="O20" s="1220"/>
      <c r="P20" s="1086"/>
    </row>
    <row r="21" spans="1:17" ht="16.5" thickBot="1" x14ac:dyDescent="0.3">
      <c r="A21" s="1169" t="s">
        <v>719</v>
      </c>
      <c r="B21" s="1151" t="s">
        <v>720</v>
      </c>
      <c r="C21" s="1177" t="s">
        <v>718</v>
      </c>
      <c r="D21" s="1152"/>
      <c r="E21" s="1124"/>
      <c r="F21" s="1124"/>
      <c r="G21" s="1152"/>
      <c r="H21" s="1152"/>
      <c r="I21" s="1124"/>
      <c r="J21" s="1124"/>
      <c r="K21" s="1125"/>
      <c r="L21" s="1097"/>
      <c r="M21" s="1597" t="s">
        <v>721</v>
      </c>
      <c r="N21" s="1598"/>
      <c r="O21" s="1097"/>
      <c r="P21" s="1086"/>
    </row>
    <row r="22" spans="1:17" ht="16.5" thickBot="1" x14ac:dyDescent="0.3">
      <c r="A22" s="1169" t="s">
        <v>722</v>
      </c>
      <c r="B22" s="1142" t="s">
        <v>723</v>
      </c>
      <c r="C22" s="1178" t="s">
        <v>724</v>
      </c>
      <c r="D22" s="1124"/>
      <c r="E22" s="1124"/>
      <c r="F22" s="1124"/>
      <c r="G22" s="1146"/>
      <c r="H22" s="1146"/>
      <c r="I22" s="1124"/>
      <c r="J22" s="1124"/>
      <c r="K22" s="1125"/>
      <c r="L22" s="1097"/>
      <c r="M22" s="1155" t="s">
        <v>827</v>
      </c>
      <c r="N22" s="1165" t="s">
        <v>725</v>
      </c>
      <c r="O22" s="1097"/>
      <c r="P22" s="1086"/>
      <c r="Q22" s="1103" t="s">
        <v>726</v>
      </c>
    </row>
    <row r="23" spans="1:17" x14ac:dyDescent="0.25">
      <c r="A23" s="1599" t="s">
        <v>727</v>
      </c>
      <c r="B23" s="1145" t="s">
        <v>728</v>
      </c>
      <c r="C23" s="1179" t="s">
        <v>724</v>
      </c>
      <c r="D23" s="1126"/>
      <c r="E23" s="1126"/>
      <c r="F23" s="1126"/>
      <c r="G23" s="1126"/>
      <c r="H23" s="1126"/>
      <c r="I23" s="1126"/>
      <c r="J23" s="1126"/>
      <c r="K23" s="1114"/>
      <c r="L23" s="1097"/>
      <c r="M23" s="1200" t="s">
        <v>729</v>
      </c>
      <c r="N23" s="1205" t="s">
        <v>687</v>
      </c>
      <c r="O23" s="1097"/>
      <c r="P23" s="1086"/>
      <c r="Q23" s="1103" t="s">
        <v>730</v>
      </c>
    </row>
    <row r="24" spans="1:17" ht="16.5" thickBot="1" x14ac:dyDescent="0.3">
      <c r="A24" s="1600"/>
      <c r="B24" s="1138" t="s">
        <v>731</v>
      </c>
      <c r="C24" s="1180" t="s">
        <v>724</v>
      </c>
      <c r="D24" s="1111"/>
      <c r="E24" s="1111"/>
      <c r="F24" s="1111"/>
      <c r="G24" s="1148"/>
      <c r="H24" s="1148"/>
      <c r="I24" s="1111"/>
      <c r="J24" s="1111"/>
      <c r="K24" s="1127"/>
      <c r="L24" s="1097"/>
      <c r="M24" s="1104" t="s">
        <v>732</v>
      </c>
      <c r="N24" s="1206" t="s">
        <v>687</v>
      </c>
      <c r="O24" s="1097"/>
      <c r="P24" s="1086"/>
      <c r="Q24" s="1103" t="s">
        <v>733</v>
      </c>
    </row>
    <row r="25" spans="1:17" x14ac:dyDescent="0.25">
      <c r="A25" s="1594" t="s">
        <v>734</v>
      </c>
      <c r="B25" s="1143" t="s">
        <v>735</v>
      </c>
      <c r="C25" s="1584" t="s">
        <v>736</v>
      </c>
      <c r="D25" s="1126"/>
      <c r="E25" s="1126"/>
      <c r="F25" s="1126"/>
      <c r="G25" s="1132"/>
      <c r="H25" s="1132"/>
      <c r="I25" s="1126"/>
      <c r="J25" s="1126"/>
      <c r="K25" s="1114"/>
      <c r="L25" s="1105"/>
      <c r="M25" s="1104" t="s">
        <v>737</v>
      </c>
      <c r="N25" s="1206" t="s">
        <v>687</v>
      </c>
      <c r="O25" s="1097"/>
      <c r="P25" s="1086"/>
      <c r="Q25" s="1103" t="s">
        <v>738</v>
      </c>
    </row>
    <row r="26" spans="1:17" ht="16.5" thickBot="1" x14ac:dyDescent="0.3">
      <c r="A26" s="1596"/>
      <c r="B26" s="1144" t="s">
        <v>739</v>
      </c>
      <c r="C26" s="1582"/>
      <c r="D26" s="1149"/>
      <c r="E26" s="1128"/>
      <c r="F26" s="1128"/>
      <c r="G26" s="1128"/>
      <c r="H26" s="1128"/>
      <c r="I26" s="1149"/>
      <c r="J26" s="1149"/>
      <c r="K26" s="1150"/>
      <c r="L26" s="1097"/>
      <c r="M26" s="1104" t="s">
        <v>740</v>
      </c>
      <c r="N26" s="1206" t="s">
        <v>687</v>
      </c>
      <c r="O26" s="1097"/>
      <c r="P26" s="1086"/>
      <c r="Q26" s="1103" t="s">
        <v>741</v>
      </c>
    </row>
    <row r="27" spans="1:17" x14ac:dyDescent="0.25">
      <c r="A27" s="1166" t="s">
        <v>39</v>
      </c>
      <c r="B27" s="1174" t="s">
        <v>41</v>
      </c>
      <c r="C27" s="1174" t="s">
        <v>718</v>
      </c>
      <c r="D27" s="1188"/>
      <c r="E27" s="1188">
        <v>130.12</v>
      </c>
      <c r="F27" s="1226"/>
      <c r="G27" s="1188">
        <v>964.55</v>
      </c>
      <c r="H27" s="1192">
        <v>1926</v>
      </c>
      <c r="I27" s="1126"/>
      <c r="J27" s="1188">
        <v>5243</v>
      </c>
      <c r="K27" s="1254">
        <v>9436</v>
      </c>
      <c r="L27" s="1097"/>
      <c r="M27" s="1104" t="s">
        <v>743</v>
      </c>
      <c r="N27" s="1206" t="s">
        <v>687</v>
      </c>
      <c r="O27" s="1097"/>
      <c r="P27" s="1086"/>
      <c r="Q27" s="1103" t="s">
        <v>744</v>
      </c>
    </row>
    <row r="28" spans="1:17" ht="16.5" thickBot="1" x14ac:dyDescent="0.3">
      <c r="A28" s="1167" t="s">
        <v>745</v>
      </c>
      <c r="B28" s="1144" t="s">
        <v>746</v>
      </c>
      <c r="C28" s="1175" t="s">
        <v>718</v>
      </c>
      <c r="D28" s="1149"/>
      <c r="E28" s="1129"/>
      <c r="F28" s="1129"/>
      <c r="G28" s="1129"/>
      <c r="H28" s="1129"/>
      <c r="I28" s="1129"/>
      <c r="J28" s="1149"/>
      <c r="K28" s="1127"/>
      <c r="L28" s="1097"/>
      <c r="M28" s="1104" t="s">
        <v>747</v>
      </c>
      <c r="N28" s="1206" t="s">
        <v>687</v>
      </c>
      <c r="O28" s="1097"/>
      <c r="P28" s="1086"/>
      <c r="Q28" s="1103" t="s">
        <v>748</v>
      </c>
    </row>
    <row r="29" spans="1:17" x14ac:dyDescent="0.25">
      <c r="A29" s="1236" t="s">
        <v>106</v>
      </c>
      <c r="B29" s="1588" t="s">
        <v>43</v>
      </c>
      <c r="C29" s="1237" t="s">
        <v>36</v>
      </c>
      <c r="D29" s="1238"/>
      <c r="E29" s="1233"/>
      <c r="F29" s="1233"/>
      <c r="G29" s="1233"/>
      <c r="H29" s="1233"/>
      <c r="I29" s="1233"/>
      <c r="J29" s="1485">
        <v>86.8</v>
      </c>
      <c r="K29" s="1484">
        <v>88.26</v>
      </c>
      <c r="L29" s="1097"/>
      <c r="M29" s="1104" t="s">
        <v>751</v>
      </c>
      <c r="N29" s="1206" t="s">
        <v>687</v>
      </c>
      <c r="O29" s="1097"/>
      <c r="P29" s="1086"/>
      <c r="Q29" s="1103" t="s">
        <v>752</v>
      </c>
    </row>
    <row r="30" spans="1:17" x14ac:dyDescent="0.25">
      <c r="A30" s="1230" t="s">
        <v>107</v>
      </c>
      <c r="B30" s="1589"/>
      <c r="C30" s="1231" t="s">
        <v>36</v>
      </c>
      <c r="D30" s="1239"/>
      <c r="E30" s="1234"/>
      <c r="F30" s="1234"/>
      <c r="G30" s="1234"/>
      <c r="H30" s="1234"/>
      <c r="I30" s="1234"/>
      <c r="J30" s="1183">
        <v>11.43</v>
      </c>
      <c r="K30" s="1247">
        <v>9.82</v>
      </c>
      <c r="L30" s="1097"/>
      <c r="M30" s="1104" t="s">
        <v>755</v>
      </c>
      <c r="N30" s="1206" t="s">
        <v>687</v>
      </c>
      <c r="O30" s="1097"/>
      <c r="P30" s="1086"/>
      <c r="Q30" s="1103"/>
    </row>
    <row r="31" spans="1:17" ht="32.25" thickBot="1" x14ac:dyDescent="0.3">
      <c r="A31" s="1240" t="s">
        <v>156</v>
      </c>
      <c r="B31" s="1590"/>
      <c r="C31" s="1241" t="s">
        <v>36</v>
      </c>
      <c r="D31" s="1242"/>
      <c r="E31" s="1232"/>
      <c r="F31" s="1232"/>
      <c r="G31" s="1232"/>
      <c r="H31" s="1232"/>
      <c r="I31" s="1232"/>
      <c r="J31" s="1487">
        <v>13.6</v>
      </c>
      <c r="K31" s="1489">
        <v>18.68</v>
      </c>
      <c r="L31" s="1488" t="s">
        <v>869</v>
      </c>
      <c r="M31" s="1104" t="s">
        <v>757</v>
      </c>
      <c r="N31" s="1206" t="s">
        <v>687</v>
      </c>
      <c r="O31" s="1097"/>
      <c r="P31" s="1086"/>
      <c r="Q31" s="1103"/>
    </row>
    <row r="32" spans="1:17" ht="16.5" thickBot="1" x14ac:dyDescent="0.3">
      <c r="A32" s="1169" t="s">
        <v>749</v>
      </c>
      <c r="B32" s="1142" t="s">
        <v>750</v>
      </c>
      <c r="C32" s="1178" t="s">
        <v>724</v>
      </c>
      <c r="D32" s="1146"/>
      <c r="E32" s="1124"/>
      <c r="F32" s="1124"/>
      <c r="G32" s="1124"/>
      <c r="H32" s="1124"/>
      <c r="I32" s="1124"/>
      <c r="J32" s="1124"/>
      <c r="K32" s="1125"/>
      <c r="L32" s="1097"/>
      <c r="M32" s="1104" t="s">
        <v>759</v>
      </c>
      <c r="N32" s="1206" t="s">
        <v>687</v>
      </c>
      <c r="O32" s="1097"/>
      <c r="P32" s="1086"/>
      <c r="Q32" s="1103"/>
    </row>
    <row r="33" spans="1:17" x14ac:dyDescent="0.25">
      <c r="A33" s="1166" t="s">
        <v>753</v>
      </c>
      <c r="B33" s="1584" t="s">
        <v>760</v>
      </c>
      <c r="C33" s="1584" t="s">
        <v>718</v>
      </c>
      <c r="D33" s="1126"/>
      <c r="E33" s="1126"/>
      <c r="F33" s="1126"/>
      <c r="G33" s="1126"/>
      <c r="H33" s="1192"/>
      <c r="I33" s="1126"/>
      <c r="J33" s="1188">
        <v>0.2</v>
      </c>
      <c r="K33" s="1254">
        <v>52.5</v>
      </c>
      <c r="L33" s="1097"/>
      <c r="M33" s="1104" t="s">
        <v>761</v>
      </c>
      <c r="N33" s="1206" t="s">
        <v>687</v>
      </c>
      <c r="O33" s="1097"/>
      <c r="P33" s="1086"/>
      <c r="Q33" s="1103" t="s">
        <v>762</v>
      </c>
    </row>
    <row r="34" spans="1:17" x14ac:dyDescent="0.25">
      <c r="A34" s="1170" t="s">
        <v>756</v>
      </c>
      <c r="B34" s="1580"/>
      <c r="C34" s="1580"/>
      <c r="D34" s="1113"/>
      <c r="E34" s="1113"/>
      <c r="F34" s="1113"/>
      <c r="G34" s="1113"/>
      <c r="H34" s="1184"/>
      <c r="I34" s="1113"/>
      <c r="J34" s="1183">
        <v>0</v>
      </c>
      <c r="K34" s="1247">
        <v>48.6</v>
      </c>
      <c r="L34" s="1097"/>
      <c r="M34" s="1104" t="s">
        <v>763</v>
      </c>
      <c r="N34" s="1206" t="s">
        <v>687</v>
      </c>
      <c r="O34" s="1097"/>
      <c r="P34" s="1086"/>
      <c r="Q34" s="1103" t="s">
        <v>764</v>
      </c>
    </row>
    <row r="35" spans="1:17" x14ac:dyDescent="0.25">
      <c r="A35" s="1171" t="s">
        <v>758</v>
      </c>
      <c r="B35" s="1581"/>
      <c r="C35" s="1581"/>
      <c r="D35" s="1130"/>
      <c r="E35" s="1130"/>
      <c r="F35" s="1130"/>
      <c r="G35" s="1130"/>
      <c r="H35" s="1130"/>
      <c r="I35" s="1130"/>
      <c r="J35" s="1189">
        <v>42.2</v>
      </c>
      <c r="K35" s="1473">
        <v>24</v>
      </c>
      <c r="L35" s="1097"/>
      <c r="M35" s="1104" t="s">
        <v>765</v>
      </c>
      <c r="N35" s="1206" t="s">
        <v>687</v>
      </c>
      <c r="O35" s="1097"/>
      <c r="P35" s="1086"/>
      <c r="Q35" s="1103" t="s">
        <v>766</v>
      </c>
    </row>
    <row r="36" spans="1:17" x14ac:dyDescent="0.25">
      <c r="A36" s="1171" t="s">
        <v>857</v>
      </c>
      <c r="B36" s="1181"/>
      <c r="C36" s="1181"/>
      <c r="D36" s="1130"/>
      <c r="E36" s="1130"/>
      <c r="F36" s="1130"/>
      <c r="G36" s="1130"/>
      <c r="H36" s="1130"/>
      <c r="I36" s="1130"/>
      <c r="J36" s="1189">
        <v>13.8</v>
      </c>
      <c r="K36" s="1473">
        <v>3.5</v>
      </c>
      <c r="L36" s="1097"/>
      <c r="M36" s="1104" t="s">
        <v>770</v>
      </c>
      <c r="N36" s="1206" t="s">
        <v>687</v>
      </c>
      <c r="O36" s="1097"/>
      <c r="P36" s="1086"/>
      <c r="Q36" s="1103"/>
    </row>
    <row r="37" spans="1:17" x14ac:dyDescent="0.25">
      <c r="A37" s="1171" t="s">
        <v>858</v>
      </c>
      <c r="B37" s="1181"/>
      <c r="C37" s="1181"/>
      <c r="D37" s="1130"/>
      <c r="E37" s="1130"/>
      <c r="F37" s="1130"/>
      <c r="G37" s="1130"/>
      <c r="H37" s="1130"/>
      <c r="I37" s="1130"/>
      <c r="J37" s="1189">
        <v>10.9</v>
      </c>
      <c r="K37" s="1473">
        <v>6.5</v>
      </c>
      <c r="L37" s="1097"/>
      <c r="M37" s="1104" t="s">
        <v>773</v>
      </c>
      <c r="N37" s="1206" t="s">
        <v>687</v>
      </c>
      <c r="O37" s="1097"/>
      <c r="P37" s="1086"/>
      <c r="Q37" s="1103" t="s">
        <v>771</v>
      </c>
    </row>
    <row r="38" spans="1:17" ht="16.5" thickBot="1" x14ac:dyDescent="0.3">
      <c r="A38" s="1171" t="s">
        <v>767</v>
      </c>
      <c r="B38" s="1181"/>
      <c r="C38" s="1181"/>
      <c r="D38" s="1130"/>
      <c r="E38" s="1130"/>
      <c r="F38" s="1130"/>
      <c r="G38" s="1130"/>
      <c r="H38" s="1191"/>
      <c r="I38" s="1130"/>
      <c r="J38" s="1133"/>
      <c r="K38" s="1135"/>
      <c r="L38" s="1097"/>
      <c r="M38" s="1104" t="s">
        <v>776</v>
      </c>
      <c r="N38" s="1206" t="s">
        <v>687</v>
      </c>
      <c r="O38" s="1097"/>
      <c r="P38" s="1086"/>
      <c r="Q38" s="1103" t="s">
        <v>774</v>
      </c>
    </row>
    <row r="39" spans="1:17" x14ac:dyDescent="0.25">
      <c r="A39" s="1166" t="s">
        <v>768</v>
      </c>
      <c r="B39" s="1591" t="s">
        <v>769</v>
      </c>
      <c r="C39" s="1585" t="s">
        <v>36</v>
      </c>
      <c r="D39" s="1126"/>
      <c r="E39" s="1221"/>
      <c r="F39" s="1227"/>
      <c r="G39" s="1126"/>
      <c r="H39" s="1126"/>
      <c r="I39" s="1126"/>
      <c r="J39" s="1126"/>
      <c r="K39" s="1114"/>
      <c r="L39" s="1097"/>
      <c r="M39" s="1104" t="s">
        <v>779</v>
      </c>
      <c r="N39" s="1206" t="s">
        <v>687</v>
      </c>
      <c r="O39" s="1097"/>
      <c r="P39" s="1086"/>
      <c r="Q39" s="1103" t="s">
        <v>777</v>
      </c>
    </row>
    <row r="40" spans="1:17" x14ac:dyDescent="0.25">
      <c r="A40" s="1170" t="s">
        <v>772</v>
      </c>
      <c r="B40" s="1592"/>
      <c r="C40" s="1586"/>
      <c r="D40" s="1113"/>
      <c r="E40" s="1222"/>
      <c r="F40" s="1228"/>
      <c r="G40" s="1113"/>
      <c r="H40" s="1113"/>
      <c r="I40" s="1113"/>
      <c r="J40" s="1113"/>
      <c r="K40" s="1115"/>
      <c r="L40" s="1097"/>
      <c r="M40" s="1104" t="s">
        <v>782</v>
      </c>
      <c r="N40" s="1206" t="s">
        <v>687</v>
      </c>
      <c r="O40" s="1097"/>
      <c r="P40" s="1086"/>
      <c r="Q40" s="1103" t="s">
        <v>780</v>
      </c>
    </row>
    <row r="41" spans="1:17" x14ac:dyDescent="0.25">
      <c r="A41" s="1170" t="s">
        <v>775</v>
      </c>
      <c r="B41" s="1592"/>
      <c r="C41" s="1586"/>
      <c r="D41" s="1113"/>
      <c r="E41" s="1222"/>
      <c r="F41" s="1228"/>
      <c r="G41" s="1113"/>
      <c r="H41" s="1113"/>
      <c r="I41" s="1113"/>
      <c r="J41" s="1113"/>
      <c r="K41" s="1115"/>
      <c r="L41" s="1097"/>
      <c r="M41" s="1106" t="s">
        <v>786</v>
      </c>
      <c r="N41" s="1206" t="s">
        <v>687</v>
      </c>
      <c r="O41" s="1097"/>
      <c r="P41" s="1086"/>
      <c r="Q41" s="1103" t="s">
        <v>783</v>
      </c>
    </row>
    <row r="42" spans="1:17" x14ac:dyDescent="0.25">
      <c r="A42" s="1170" t="s">
        <v>778</v>
      </c>
      <c r="B42" s="1592"/>
      <c r="C42" s="1586"/>
      <c r="D42" s="1113"/>
      <c r="E42" s="1222"/>
      <c r="F42" s="1228"/>
      <c r="G42" s="1113"/>
      <c r="H42" s="1113"/>
      <c r="I42" s="1113"/>
      <c r="J42" s="1113"/>
      <c r="K42" s="1115"/>
      <c r="L42" s="1097"/>
      <c r="M42" s="1107" t="s">
        <v>788</v>
      </c>
      <c r="N42" s="1206" t="s">
        <v>687</v>
      </c>
      <c r="O42" s="1097"/>
      <c r="P42" s="1086"/>
      <c r="Q42" s="1103" t="s">
        <v>774</v>
      </c>
    </row>
    <row r="43" spans="1:17" ht="16.5" thickBot="1" x14ac:dyDescent="0.3">
      <c r="A43" s="1167" t="s">
        <v>781</v>
      </c>
      <c r="B43" s="1593"/>
      <c r="C43" s="1587"/>
      <c r="D43" s="1111"/>
      <c r="E43" s="1223"/>
      <c r="F43" s="1229"/>
      <c r="G43" s="1111"/>
      <c r="H43" s="1111"/>
      <c r="I43" s="1111"/>
      <c r="J43" s="1111"/>
      <c r="K43" s="1127"/>
      <c r="L43" s="1097"/>
      <c r="M43" s="1107" t="s">
        <v>792</v>
      </c>
      <c r="N43" s="1206" t="s">
        <v>687</v>
      </c>
      <c r="O43" s="1097"/>
      <c r="P43" s="1086"/>
      <c r="Q43" s="1103" t="s">
        <v>789</v>
      </c>
    </row>
    <row r="44" spans="1:17" ht="16.5" thickBot="1" x14ac:dyDescent="0.3">
      <c r="A44" s="1172" t="s">
        <v>784</v>
      </c>
      <c r="B44" s="1575" t="s">
        <v>785</v>
      </c>
      <c r="C44" s="1579" t="s">
        <v>36</v>
      </c>
      <c r="D44" s="1131"/>
      <c r="E44" s="1131"/>
      <c r="F44" s="1131"/>
      <c r="G44" s="1156"/>
      <c r="H44" s="1156"/>
      <c r="I44" s="1131"/>
      <c r="J44" s="1131"/>
      <c r="K44" s="1134"/>
      <c r="L44" s="1097"/>
      <c r="M44" s="1201" t="s">
        <v>796</v>
      </c>
      <c r="N44" s="1138" t="s">
        <v>687</v>
      </c>
      <c r="O44" s="1097"/>
      <c r="P44" s="1086"/>
      <c r="Q44" s="1103"/>
    </row>
    <row r="45" spans="1:17" x14ac:dyDescent="0.25">
      <c r="A45" s="1170" t="s">
        <v>787</v>
      </c>
      <c r="B45" s="1576"/>
      <c r="C45" s="1580"/>
      <c r="D45" s="1113"/>
      <c r="E45" s="1113"/>
      <c r="F45" s="1113"/>
      <c r="G45" s="1140"/>
      <c r="H45" s="1140"/>
      <c r="I45" s="1113"/>
      <c r="J45" s="1113"/>
      <c r="K45" s="1115"/>
      <c r="L45" s="1097"/>
      <c r="M45" s="1102"/>
      <c r="N45" s="1097"/>
      <c r="O45" s="1097"/>
      <c r="P45" s="1086"/>
      <c r="Q45" s="1103" t="s">
        <v>793</v>
      </c>
    </row>
    <row r="46" spans="1:17" x14ac:dyDescent="0.25">
      <c r="A46" s="1171" t="s">
        <v>790</v>
      </c>
      <c r="B46" s="1577"/>
      <c r="C46" s="1581"/>
      <c r="D46" s="1130"/>
      <c r="E46" s="1130"/>
      <c r="F46" s="1130"/>
      <c r="G46" s="1130"/>
      <c r="H46" s="1140"/>
      <c r="I46" s="1130"/>
      <c r="J46" s="1130"/>
      <c r="K46" s="1135"/>
      <c r="M46" s="1102"/>
      <c r="N46" s="1097"/>
      <c r="O46" s="1089"/>
      <c r="P46" s="1086"/>
      <c r="Q46" s="1103" t="s">
        <v>793</v>
      </c>
    </row>
    <row r="47" spans="1:17" ht="16.5" thickBot="1" x14ac:dyDescent="0.3">
      <c r="A47" s="1167" t="s">
        <v>791</v>
      </c>
      <c r="B47" s="1578"/>
      <c r="C47" s="1582"/>
      <c r="D47" s="1111"/>
      <c r="E47" s="1111"/>
      <c r="F47" s="1111"/>
      <c r="G47" s="1141"/>
      <c r="H47" s="1141"/>
      <c r="I47" s="1111"/>
      <c r="J47" s="1111"/>
      <c r="K47" s="1127"/>
      <c r="M47" s="1102"/>
      <c r="N47" s="1097"/>
      <c r="O47" s="1089"/>
      <c r="P47" s="1086"/>
      <c r="Q47" s="1103" t="s">
        <v>798</v>
      </c>
    </row>
    <row r="48" spans="1:17" x14ac:dyDescent="0.25">
      <c r="A48" s="1166" t="s">
        <v>794</v>
      </c>
      <c r="B48" s="1583" t="s">
        <v>795</v>
      </c>
      <c r="C48" s="1584" t="s">
        <v>718</v>
      </c>
      <c r="D48" s="1147"/>
      <c r="E48" s="1147"/>
      <c r="F48" s="1226"/>
      <c r="G48" s="1126"/>
      <c r="H48" s="1126"/>
      <c r="I48" s="1126"/>
      <c r="J48" s="1126"/>
      <c r="K48" s="1114"/>
      <c r="M48" s="1102"/>
      <c r="N48" s="1097"/>
      <c r="O48" s="1089"/>
      <c r="P48" s="1086"/>
    </row>
    <row r="49" spans="1:22" ht="16.5" thickBot="1" x14ac:dyDescent="0.3">
      <c r="A49" s="1167" t="s">
        <v>797</v>
      </c>
      <c r="B49" s="1578"/>
      <c r="C49" s="1582"/>
      <c r="D49" s="1111"/>
      <c r="E49" s="1111"/>
      <c r="F49" s="1111"/>
      <c r="G49" s="1111"/>
      <c r="H49" s="1111"/>
      <c r="I49" s="1111"/>
      <c r="J49" s="1111"/>
      <c r="K49" s="1127"/>
      <c r="M49" s="1102"/>
      <c r="N49" s="1097"/>
      <c r="O49" s="1089"/>
      <c r="P49" s="1086"/>
    </row>
    <row r="50" spans="1:22" x14ac:dyDescent="0.25">
      <c r="A50" s="1172" t="s">
        <v>799</v>
      </c>
      <c r="B50" s="1136" t="s">
        <v>800</v>
      </c>
      <c r="C50" s="1182" t="s">
        <v>36</v>
      </c>
      <c r="D50" s="1131"/>
      <c r="E50" s="1131"/>
      <c r="F50" s="1131"/>
      <c r="G50" s="1131"/>
      <c r="H50" s="1131"/>
      <c r="I50" s="1131"/>
      <c r="J50" s="1244"/>
      <c r="K50" s="1474"/>
      <c r="M50" s="1102"/>
      <c r="N50" s="1097"/>
      <c r="O50" s="1089"/>
      <c r="P50" s="1086"/>
    </row>
    <row r="51" spans="1:22" s="1086" customFormat="1" x14ac:dyDescent="0.25">
      <c r="A51" s="1170" t="s">
        <v>801</v>
      </c>
      <c r="B51" s="1176" t="s">
        <v>77</v>
      </c>
      <c r="C51" s="1182" t="s">
        <v>36</v>
      </c>
      <c r="D51" s="1113"/>
      <c r="E51" s="1113"/>
      <c r="F51" s="1113"/>
      <c r="G51" s="1113"/>
      <c r="H51" s="1113"/>
      <c r="I51" s="1113"/>
      <c r="J51" s="1486">
        <v>6.8000000000000005E-2</v>
      </c>
      <c r="K51" s="1185">
        <v>46.8</v>
      </c>
      <c r="L51" s="1089"/>
      <c r="M51" s="1089"/>
      <c r="N51" s="1089"/>
      <c r="O51" s="1089"/>
      <c r="Q51" s="1087"/>
      <c r="R51" s="1087"/>
      <c r="S51" s="1087"/>
      <c r="T51" s="1087"/>
      <c r="U51" s="1087"/>
      <c r="V51" s="1087"/>
    </row>
    <row r="52" spans="1:22" s="1086" customFormat="1" x14ac:dyDescent="0.25">
      <c r="A52" s="1173" t="s">
        <v>802</v>
      </c>
      <c r="B52" s="1176" t="s">
        <v>803</v>
      </c>
      <c r="C52" s="1176" t="s">
        <v>36</v>
      </c>
      <c r="D52" s="1184"/>
      <c r="E52" s="1113"/>
      <c r="F52" s="1113"/>
      <c r="G52" s="1113"/>
      <c r="H52" s="1113"/>
      <c r="I52" s="1113"/>
      <c r="J52" s="1486">
        <v>4.8000000000000001E-2</v>
      </c>
      <c r="K52" s="1185">
        <v>15.3</v>
      </c>
      <c r="L52" s="1089"/>
      <c r="M52" s="1089"/>
      <c r="N52" s="1089"/>
      <c r="O52" s="1089"/>
      <c r="Q52" s="1087"/>
      <c r="R52" s="1087"/>
      <c r="S52" s="1087"/>
      <c r="T52" s="1087"/>
      <c r="U52" s="1087"/>
      <c r="V52" s="1087"/>
    </row>
    <row r="53" spans="1:22" s="1086" customFormat="1" x14ac:dyDescent="0.25">
      <c r="A53" s="1170" t="s">
        <v>80</v>
      </c>
      <c r="B53" s="1176" t="s">
        <v>805</v>
      </c>
      <c r="C53" s="1176" t="s">
        <v>36</v>
      </c>
      <c r="D53" s="1184"/>
      <c r="E53" s="1113"/>
      <c r="F53" s="1113"/>
      <c r="G53" s="1113"/>
      <c r="H53" s="1113"/>
      <c r="I53" s="1113"/>
      <c r="J53" s="1183">
        <v>0.43</v>
      </c>
      <c r="K53" s="1185">
        <v>32.1</v>
      </c>
      <c r="L53" s="1089"/>
      <c r="M53" s="1089"/>
      <c r="N53" s="1089"/>
      <c r="O53" s="1089"/>
      <c r="Q53" s="1087"/>
      <c r="R53" s="1087"/>
      <c r="S53" s="1087"/>
      <c r="T53" s="1087"/>
      <c r="U53" s="1087"/>
      <c r="V53" s="1087"/>
    </row>
    <row r="54" spans="1:22" s="1086" customFormat="1" ht="16.5" thickBot="1" x14ac:dyDescent="0.3">
      <c r="A54" s="1171" t="s">
        <v>832</v>
      </c>
      <c r="B54" s="1251" t="s">
        <v>83</v>
      </c>
      <c r="C54" s="1251" t="s">
        <v>718</v>
      </c>
      <c r="D54" s="1191">
        <v>18363</v>
      </c>
      <c r="E54" s="1130"/>
      <c r="F54" s="1191">
        <v>13676</v>
      </c>
      <c r="G54" s="1130"/>
      <c r="H54" s="1130"/>
      <c r="I54" s="1191">
        <v>12380</v>
      </c>
      <c r="J54" s="1133"/>
      <c r="K54" s="1243"/>
      <c r="L54" s="1089"/>
      <c r="M54" s="1089"/>
      <c r="N54" s="1089"/>
      <c r="O54" s="1089"/>
      <c r="Q54" s="1087"/>
      <c r="R54" s="1087"/>
      <c r="S54" s="1087"/>
      <c r="T54" s="1087"/>
      <c r="U54" s="1087"/>
      <c r="V54" s="1087"/>
    </row>
    <row r="55" spans="1:22" s="1086" customFormat="1" x14ac:dyDescent="0.25">
      <c r="A55" s="1166" t="s">
        <v>64</v>
      </c>
      <c r="B55" s="1585" t="s">
        <v>63</v>
      </c>
      <c r="C55" s="1174" t="s">
        <v>55</v>
      </c>
      <c r="D55" s="1192">
        <v>21.4</v>
      </c>
      <c r="E55" s="1126"/>
      <c r="F55" s="1192">
        <v>15.8</v>
      </c>
      <c r="G55" s="1126"/>
      <c r="H55" s="1126"/>
      <c r="I55" s="1192"/>
      <c r="J55" s="1188">
        <v>0</v>
      </c>
      <c r="K55" s="1199">
        <v>4.5999999999999996</v>
      </c>
      <c r="L55" s="1089"/>
      <c r="M55" s="1089"/>
      <c r="N55" s="1089"/>
      <c r="O55" s="1089"/>
      <c r="Q55" s="1087"/>
      <c r="R55" s="1087"/>
      <c r="S55" s="1087"/>
      <c r="T55" s="1087"/>
      <c r="U55" s="1087"/>
      <c r="V55" s="1087"/>
    </row>
    <row r="56" spans="1:22" s="1086" customFormat="1" x14ac:dyDescent="0.25">
      <c r="A56" s="1170" t="s">
        <v>65</v>
      </c>
      <c r="B56" s="1586"/>
      <c r="C56" s="1176" t="s">
        <v>55</v>
      </c>
      <c r="D56" s="1184">
        <v>55.7</v>
      </c>
      <c r="E56" s="1113"/>
      <c r="F56" s="1184">
        <v>48.9</v>
      </c>
      <c r="G56" s="1113"/>
      <c r="H56" s="1113"/>
      <c r="I56" s="1184"/>
      <c r="J56" s="1183">
        <v>34</v>
      </c>
      <c r="K56" s="1185">
        <v>43.1</v>
      </c>
      <c r="L56" s="1089"/>
      <c r="M56" s="1089"/>
      <c r="N56" s="1089"/>
      <c r="O56" s="1089"/>
      <c r="Q56" s="1087"/>
      <c r="R56" s="1087"/>
      <c r="S56" s="1087"/>
      <c r="T56" s="1087"/>
      <c r="U56" s="1087"/>
      <c r="V56" s="1087"/>
    </row>
    <row r="57" spans="1:22" s="1086" customFormat="1" x14ac:dyDescent="0.25">
      <c r="A57" s="1170" t="s">
        <v>66</v>
      </c>
      <c r="B57" s="1586"/>
      <c r="C57" s="1176" t="s">
        <v>55</v>
      </c>
      <c r="D57" s="1184">
        <v>11.6</v>
      </c>
      <c r="E57" s="1113"/>
      <c r="F57" s="1184">
        <v>14.3</v>
      </c>
      <c r="G57" s="1113"/>
      <c r="H57" s="1113"/>
      <c r="I57" s="1184"/>
      <c r="J57" s="1183">
        <v>64.900000000000006</v>
      </c>
      <c r="K57" s="1185">
        <v>12.3</v>
      </c>
      <c r="L57" s="1089"/>
      <c r="M57" s="1089"/>
      <c r="N57" s="1089"/>
      <c r="O57" s="1089"/>
      <c r="Q57" s="1087"/>
      <c r="R57" s="1087"/>
      <c r="S57" s="1087"/>
      <c r="T57" s="1087"/>
      <c r="U57" s="1087"/>
      <c r="V57" s="1087"/>
    </row>
    <row r="58" spans="1:22" s="1086" customFormat="1" ht="16.5" thickBot="1" x14ac:dyDescent="0.3">
      <c r="A58" s="1167" t="s">
        <v>67</v>
      </c>
      <c r="B58" s="1587"/>
      <c r="C58" s="1175" t="s">
        <v>55</v>
      </c>
      <c r="D58" s="1195">
        <v>11.3</v>
      </c>
      <c r="E58" s="1111"/>
      <c r="F58" s="1195">
        <v>21.1</v>
      </c>
      <c r="G58" s="1111"/>
      <c r="H58" s="1111"/>
      <c r="I58" s="1195"/>
      <c r="J58" s="1190">
        <v>1.1000000000000001</v>
      </c>
      <c r="K58" s="1196">
        <v>40.1</v>
      </c>
      <c r="L58" s="1089"/>
      <c r="M58" s="1089"/>
      <c r="N58" s="1089"/>
      <c r="O58" s="1089"/>
      <c r="Q58" s="1087"/>
      <c r="R58" s="1087"/>
      <c r="S58" s="1087"/>
      <c r="T58" s="1087"/>
      <c r="U58" s="1087"/>
      <c r="V58" s="1087"/>
    </row>
    <row r="59" spans="1:22" s="1086" customFormat="1" x14ac:dyDescent="0.25">
      <c r="A59" s="1172" t="s">
        <v>806</v>
      </c>
      <c r="B59" s="1136" t="s">
        <v>807</v>
      </c>
      <c r="C59" s="1182" t="s">
        <v>36</v>
      </c>
      <c r="D59" s="1131"/>
      <c r="E59" s="1131"/>
      <c r="F59" s="1131"/>
      <c r="G59" s="1131"/>
      <c r="H59" s="1244"/>
      <c r="I59" s="1131"/>
      <c r="J59" s="1131"/>
      <c r="K59" s="1134"/>
      <c r="L59" s="1089"/>
      <c r="M59" s="1089"/>
      <c r="N59" s="1089"/>
      <c r="O59" s="1089"/>
      <c r="Q59" s="1087"/>
      <c r="R59" s="1087"/>
      <c r="S59" s="1087"/>
      <c r="T59" s="1087"/>
      <c r="U59" s="1087"/>
      <c r="V59" s="1087"/>
    </row>
    <row r="60" spans="1:22" s="1086" customFormat="1" x14ac:dyDescent="0.25">
      <c r="A60" s="1170" t="s">
        <v>808</v>
      </c>
      <c r="B60" s="1137" t="s">
        <v>809</v>
      </c>
      <c r="C60" s="1176" t="s">
        <v>810</v>
      </c>
      <c r="D60" s="1139"/>
      <c r="E60" s="1113"/>
      <c r="F60" s="1113"/>
      <c r="G60" s="1139"/>
      <c r="H60" s="1139"/>
      <c r="I60" s="1139"/>
      <c r="J60" s="1139"/>
      <c r="K60" s="1153"/>
      <c r="L60" s="1089"/>
      <c r="M60" s="1089"/>
      <c r="N60" s="1089"/>
      <c r="O60" s="1089"/>
      <c r="Q60" s="1087"/>
      <c r="R60" s="1087"/>
      <c r="S60" s="1087"/>
      <c r="T60" s="1087"/>
      <c r="U60" s="1087"/>
      <c r="V60" s="1087"/>
    </row>
    <row r="61" spans="1:22" s="1086" customFormat="1" x14ac:dyDescent="0.25">
      <c r="A61" s="1170" t="s">
        <v>811</v>
      </c>
      <c r="B61" s="1137" t="s">
        <v>812</v>
      </c>
      <c r="C61" s="1176" t="s">
        <v>810</v>
      </c>
      <c r="D61" s="1139"/>
      <c r="E61" s="1113"/>
      <c r="F61" s="1113"/>
      <c r="G61" s="1113"/>
      <c r="H61" s="1113"/>
      <c r="I61" s="1113"/>
      <c r="J61" s="1113"/>
      <c r="K61" s="1115"/>
      <c r="L61" s="1089"/>
      <c r="M61" s="1089"/>
      <c r="N61" s="1089"/>
      <c r="O61" s="1089"/>
      <c r="Q61" s="1087"/>
      <c r="R61" s="1087"/>
      <c r="S61" s="1087"/>
      <c r="T61" s="1087"/>
      <c r="U61" s="1087"/>
      <c r="V61" s="1087"/>
    </row>
    <row r="62" spans="1:22" s="1086" customFormat="1" x14ac:dyDescent="0.25">
      <c r="A62" s="1170" t="s">
        <v>813</v>
      </c>
      <c r="B62" s="1137" t="s">
        <v>814</v>
      </c>
      <c r="C62" s="1176" t="s">
        <v>815</v>
      </c>
      <c r="D62" s="1113"/>
      <c r="E62" s="1139"/>
      <c r="F62" s="1112"/>
      <c r="G62" s="1113"/>
      <c r="H62" s="1140"/>
      <c r="I62" s="1113"/>
      <c r="J62" s="1113"/>
      <c r="K62" s="1115"/>
      <c r="L62" s="1089"/>
      <c r="M62" s="1089"/>
      <c r="N62" s="1089"/>
      <c r="O62" s="1089"/>
      <c r="Q62" s="1087"/>
      <c r="R62" s="1087"/>
      <c r="S62" s="1087"/>
      <c r="T62" s="1087"/>
      <c r="U62" s="1087"/>
      <c r="V62" s="1087"/>
    </row>
    <row r="63" spans="1:22" ht="16.5" thickBot="1" x14ac:dyDescent="0.3">
      <c r="A63" s="1167" t="s">
        <v>816</v>
      </c>
      <c r="B63" s="1138" t="s">
        <v>817</v>
      </c>
      <c r="C63" s="1175" t="s">
        <v>815</v>
      </c>
      <c r="D63" s="1111"/>
      <c r="E63" s="1111"/>
      <c r="F63" s="1111"/>
      <c r="G63" s="1111"/>
      <c r="H63" s="1111"/>
      <c r="I63" s="1246"/>
      <c r="J63" s="1111"/>
      <c r="K63" s="1127"/>
      <c r="O63" s="1089"/>
    </row>
    <row r="64" spans="1:22" ht="16.5" thickBot="1" x14ac:dyDescent="0.3">
      <c r="A64" s="1167" t="s">
        <v>819</v>
      </c>
      <c r="B64" s="1138" t="s">
        <v>820</v>
      </c>
      <c r="C64" s="1175" t="s">
        <v>821</v>
      </c>
      <c r="D64" s="1111"/>
      <c r="E64" s="1111"/>
      <c r="F64" s="1111"/>
      <c r="G64" s="1111"/>
      <c r="H64" s="1141"/>
      <c r="I64" s="1111"/>
      <c r="J64" s="1111"/>
      <c r="K64" s="1127"/>
      <c r="O64" s="1089"/>
    </row>
    <row r="65" spans="1:25" s="1086" customFormat="1" ht="25.35" customHeight="1" thickBot="1" x14ac:dyDescent="0.3">
      <c r="A65" s="1167" t="s">
        <v>822</v>
      </c>
      <c r="B65" s="1175"/>
      <c r="C65" s="1175"/>
      <c r="D65" s="1183"/>
      <c r="E65" s="1111"/>
      <c r="F65" s="1111"/>
      <c r="G65" s="1111"/>
      <c r="H65" s="1111"/>
      <c r="I65" s="1111"/>
      <c r="J65" s="1111"/>
      <c r="K65" s="1127"/>
      <c r="L65" s="1089"/>
      <c r="M65" s="1089"/>
      <c r="N65" s="1089"/>
      <c r="P65" s="1087"/>
      <c r="Q65" s="1087"/>
      <c r="R65" s="1087"/>
      <c r="S65" s="1087"/>
      <c r="T65" s="1087"/>
      <c r="U65" s="1087"/>
      <c r="V65" s="1087"/>
    </row>
    <row r="66" spans="1:25" s="1086" customFormat="1" ht="17.100000000000001" customHeight="1" thickBot="1" x14ac:dyDescent="0.3">
      <c r="A66" s="1167" t="s">
        <v>823</v>
      </c>
      <c r="B66" s="1175"/>
      <c r="C66" s="1175"/>
      <c r="D66" s="1190"/>
      <c r="E66" s="1111"/>
      <c r="F66" s="1111"/>
      <c r="G66" s="1111"/>
      <c r="H66" s="1111"/>
      <c r="I66" s="1111"/>
      <c r="J66" s="1111"/>
      <c r="K66" s="1127"/>
      <c r="L66" s="1089"/>
      <c r="M66" s="1089"/>
      <c r="N66" s="1089"/>
      <c r="P66" s="1087"/>
      <c r="Q66" s="1087"/>
      <c r="R66" s="1087"/>
      <c r="S66" s="1087"/>
      <c r="T66" s="1087"/>
      <c r="U66" s="1087"/>
      <c r="V66" s="1087"/>
    </row>
    <row r="67" spans="1:25" s="1086" customFormat="1" ht="16.5" thickBot="1" x14ac:dyDescent="0.3">
      <c r="A67" s="1088"/>
      <c r="B67" s="1088"/>
      <c r="C67" s="1088"/>
      <c r="D67" s="1088"/>
      <c r="E67" s="1088"/>
      <c r="F67" s="1088"/>
      <c r="G67" s="1088"/>
      <c r="H67" s="1088"/>
      <c r="I67" s="1088"/>
      <c r="J67" s="1088"/>
      <c r="K67" s="1211"/>
      <c r="L67" s="1089"/>
      <c r="M67" s="1089"/>
      <c r="N67" s="1089"/>
      <c r="P67" s="1087"/>
      <c r="Q67" s="1087"/>
      <c r="R67" s="1087"/>
      <c r="S67" s="1087"/>
      <c r="T67" s="1087"/>
      <c r="U67" s="1087"/>
      <c r="V67" s="1087"/>
    </row>
    <row r="68" spans="1:25" s="1086" customFormat="1" ht="16.5" thickBot="1" x14ac:dyDescent="0.3">
      <c r="A68" s="1108" t="s">
        <v>687</v>
      </c>
      <c r="B68" s="1087" t="s">
        <v>824</v>
      </c>
      <c r="C68" s="1088"/>
      <c r="D68" s="1088"/>
      <c r="E68" s="1087"/>
      <c r="F68" s="1087"/>
      <c r="G68" s="1088"/>
      <c r="H68" s="1088"/>
      <c r="I68" s="1088"/>
      <c r="J68" s="1088"/>
      <c r="K68" s="1211"/>
      <c r="L68" s="1089"/>
      <c r="M68" s="1089"/>
      <c r="N68" s="1089"/>
      <c r="P68" s="1087"/>
      <c r="Q68" s="1087"/>
      <c r="R68" s="1087"/>
      <c r="S68" s="1087"/>
      <c r="T68" s="1087"/>
      <c r="U68" s="1087"/>
      <c r="V68" s="1087"/>
    </row>
    <row r="69" spans="1:25" x14ac:dyDescent="0.25">
      <c r="A69" s="1091" t="s">
        <v>687</v>
      </c>
      <c r="B69" s="1087" t="s">
        <v>825</v>
      </c>
      <c r="E69" s="1087"/>
      <c r="F69" s="1087"/>
    </row>
    <row r="70" spans="1:25" x14ac:dyDescent="0.25">
      <c r="A70" s="1109"/>
      <c r="B70" s="1087" t="s">
        <v>826</v>
      </c>
    </row>
    <row r="71" spans="1:25" ht="16.5" thickBot="1" x14ac:dyDescent="0.3">
      <c r="D71" s="1110" t="s">
        <v>838</v>
      </c>
      <c r="E71" s="1110" t="s">
        <v>837</v>
      </c>
      <c r="F71" s="1110" t="s">
        <v>838</v>
      </c>
      <c r="G71" s="1110" t="s">
        <v>837</v>
      </c>
      <c r="H71" s="1110" t="s">
        <v>837</v>
      </c>
      <c r="I71" s="1110" t="s">
        <v>838</v>
      </c>
      <c r="J71" s="1110" t="s">
        <v>838</v>
      </c>
      <c r="K71" s="1110" t="s">
        <v>838</v>
      </c>
    </row>
    <row r="72" spans="1:25" x14ac:dyDescent="0.25">
      <c r="C72" s="134" t="s">
        <v>92</v>
      </c>
      <c r="D72" s="1117" t="s">
        <v>828</v>
      </c>
      <c r="E72" s="135" t="s">
        <v>830</v>
      </c>
      <c r="F72" s="135" t="s">
        <v>834</v>
      </c>
      <c r="G72" s="135" t="s">
        <v>103</v>
      </c>
      <c r="H72" s="135" t="s">
        <v>104</v>
      </c>
      <c r="I72" s="622" t="s">
        <v>679</v>
      </c>
      <c r="J72" s="622" t="s">
        <v>237</v>
      </c>
      <c r="K72" s="622" t="s">
        <v>160</v>
      </c>
    </row>
    <row r="73" spans="1:25" ht="17.25" x14ac:dyDescent="0.25">
      <c r="C73" s="136">
        <v>0</v>
      </c>
      <c r="D73" s="136">
        <v>108.4</v>
      </c>
      <c r="E73" s="136">
        <v>24.6</v>
      </c>
      <c r="F73" s="137">
        <v>144.1</v>
      </c>
      <c r="G73" s="137">
        <v>97.5</v>
      </c>
      <c r="H73" s="137">
        <v>212.9</v>
      </c>
      <c r="I73" s="138">
        <v>331.6</v>
      </c>
      <c r="J73" s="138">
        <v>316.39999999999998</v>
      </c>
      <c r="K73" s="138">
        <v>451.5</v>
      </c>
      <c r="M73" s="1087"/>
      <c r="N73" s="1087"/>
      <c r="O73" s="1087"/>
    </row>
    <row r="74" spans="1:25" ht="17.25" x14ac:dyDescent="0.25">
      <c r="C74" s="136">
        <v>1</v>
      </c>
      <c r="D74" s="136">
        <v>123.4</v>
      </c>
      <c r="E74" s="136">
        <v>35</v>
      </c>
      <c r="F74" s="137">
        <v>169.8</v>
      </c>
      <c r="G74" s="137">
        <v>101.8</v>
      </c>
      <c r="H74" s="137">
        <v>219.2</v>
      </c>
      <c r="I74" s="138">
        <v>340</v>
      </c>
      <c r="J74" s="138">
        <v>322.3</v>
      </c>
      <c r="K74" s="138">
        <v>503.7</v>
      </c>
      <c r="M74" s="1087"/>
      <c r="N74" s="1087"/>
      <c r="O74" s="1087"/>
    </row>
    <row r="75" spans="1:25" ht="17.25" x14ac:dyDescent="0.25">
      <c r="C75" s="136">
        <v>2</v>
      </c>
      <c r="D75" s="136">
        <v>143.69999999999999</v>
      </c>
      <c r="E75" s="136">
        <v>52.7</v>
      </c>
      <c r="F75" s="137">
        <v>186.7</v>
      </c>
      <c r="G75" s="137">
        <v>112.9</v>
      </c>
      <c r="H75" s="137">
        <v>227.6</v>
      </c>
      <c r="I75" s="138">
        <v>351.9</v>
      </c>
      <c r="J75" s="138">
        <v>329.8</v>
      </c>
      <c r="K75" s="138">
        <v>527.4</v>
      </c>
      <c r="M75" s="1087"/>
      <c r="N75" s="1087"/>
      <c r="O75" s="1087"/>
      <c r="X75" s="1087">
        <v>5</v>
      </c>
      <c r="Y75" s="1087">
        <v>900</v>
      </c>
    </row>
    <row r="76" spans="1:25" ht="17.25" x14ac:dyDescent="0.25">
      <c r="C76" s="136">
        <v>3</v>
      </c>
      <c r="D76" s="136">
        <v>159.19999999999999</v>
      </c>
      <c r="E76" s="136">
        <v>56.3</v>
      </c>
      <c r="F76" s="137">
        <v>201.1</v>
      </c>
      <c r="G76" s="137">
        <v>117.3</v>
      </c>
      <c r="H76" s="137">
        <v>232.2</v>
      </c>
      <c r="I76" s="138">
        <v>360.9</v>
      </c>
      <c r="J76" s="138">
        <v>335.6</v>
      </c>
      <c r="K76" s="138">
        <v>535.9</v>
      </c>
      <c r="M76" s="1087"/>
      <c r="N76" s="1087"/>
      <c r="O76" s="1087"/>
      <c r="X76" s="1087">
        <v>5</v>
      </c>
      <c r="Y76" s="1087">
        <v>0</v>
      </c>
    </row>
    <row r="77" spans="1:25" ht="17.25" x14ac:dyDescent="0.25">
      <c r="C77" s="136">
        <v>4</v>
      </c>
      <c r="D77" s="136">
        <v>171</v>
      </c>
      <c r="E77" s="136">
        <v>57.3</v>
      </c>
      <c r="F77" s="137">
        <v>212.2</v>
      </c>
      <c r="G77" s="137">
        <v>122.2</v>
      </c>
      <c r="H77" s="137">
        <v>235.8</v>
      </c>
      <c r="I77" s="138">
        <v>368.5</v>
      </c>
      <c r="J77" s="138">
        <v>339.9</v>
      </c>
      <c r="K77" s="138">
        <v>542</v>
      </c>
      <c r="M77" s="1087"/>
      <c r="N77" s="1087"/>
      <c r="O77" s="1087"/>
    </row>
    <row r="78" spans="1:25" ht="17.25" x14ac:dyDescent="0.25">
      <c r="C78" s="623">
        <v>5</v>
      </c>
      <c r="D78" s="623">
        <v>181.4</v>
      </c>
      <c r="E78" s="623">
        <v>61.8</v>
      </c>
      <c r="F78" s="624">
        <v>220.6</v>
      </c>
      <c r="G78" s="624">
        <v>126.4</v>
      </c>
      <c r="H78" s="624">
        <v>238.7</v>
      </c>
      <c r="I78" s="625">
        <v>375.7</v>
      </c>
      <c r="J78" s="625">
        <v>344.1</v>
      </c>
      <c r="K78" s="625">
        <v>546.9</v>
      </c>
      <c r="M78" s="1087"/>
      <c r="N78" s="1087"/>
      <c r="O78" s="1087"/>
      <c r="X78" s="1087">
        <v>95</v>
      </c>
      <c r="Y78" s="1087">
        <v>900</v>
      </c>
    </row>
    <row r="79" spans="1:25" ht="17.25" x14ac:dyDescent="0.25">
      <c r="C79" s="136">
        <v>6</v>
      </c>
      <c r="D79" s="136">
        <v>191.4</v>
      </c>
      <c r="E79" s="136">
        <v>68.5</v>
      </c>
      <c r="F79" s="137">
        <v>227.1</v>
      </c>
      <c r="G79" s="137">
        <v>127.2</v>
      </c>
      <c r="H79" s="137">
        <v>242.4</v>
      </c>
      <c r="I79" s="138">
        <v>382.3</v>
      </c>
      <c r="J79" s="138">
        <v>348.2</v>
      </c>
      <c r="K79" s="138">
        <v>551</v>
      </c>
      <c r="M79" s="1087"/>
      <c r="N79" s="1087"/>
      <c r="O79" s="1087"/>
      <c r="X79" s="1087">
        <v>95</v>
      </c>
      <c r="Y79" s="1087">
        <v>0</v>
      </c>
    </row>
    <row r="80" spans="1:25" ht="17.25" x14ac:dyDescent="0.25">
      <c r="C80" s="136">
        <v>7</v>
      </c>
      <c r="D80" s="136">
        <v>199.9</v>
      </c>
      <c r="E80" s="136">
        <v>69.099999999999994</v>
      </c>
      <c r="F80" s="137">
        <v>233.7</v>
      </c>
      <c r="G80" s="137">
        <v>133.30000000000001</v>
      </c>
      <c r="H80" s="137">
        <v>245.6</v>
      </c>
      <c r="I80" s="138">
        <v>388.3</v>
      </c>
      <c r="J80" s="138">
        <v>351.6</v>
      </c>
      <c r="K80" s="138">
        <v>554.70000000000005</v>
      </c>
      <c r="M80" s="1087"/>
      <c r="N80" s="1087"/>
      <c r="O80" s="1087"/>
    </row>
    <row r="81" spans="3:15" ht="17.25" x14ac:dyDescent="0.25">
      <c r="C81" s="136">
        <v>8</v>
      </c>
      <c r="D81" s="136">
        <v>209.1</v>
      </c>
      <c r="E81" s="136">
        <v>69.400000000000006</v>
      </c>
      <c r="F81" s="137">
        <v>240.3</v>
      </c>
      <c r="G81" s="137">
        <v>135.80000000000001</v>
      </c>
      <c r="H81" s="137">
        <v>248.2</v>
      </c>
      <c r="I81" s="138">
        <v>393.8</v>
      </c>
      <c r="J81" s="138">
        <v>354.8</v>
      </c>
      <c r="K81" s="138">
        <v>557.9</v>
      </c>
      <c r="M81" s="1087"/>
      <c r="N81" s="1087"/>
      <c r="O81" s="1087"/>
    </row>
    <row r="82" spans="3:15" ht="17.25" x14ac:dyDescent="0.25">
      <c r="C82" s="136">
        <v>9</v>
      </c>
      <c r="D82" s="136">
        <v>216.7</v>
      </c>
      <c r="E82" s="136">
        <v>69.599999999999994</v>
      </c>
      <c r="F82" s="137">
        <v>247.4</v>
      </c>
      <c r="G82" s="137">
        <v>139.9</v>
      </c>
      <c r="H82" s="137">
        <v>250.4</v>
      </c>
      <c r="I82" s="138">
        <v>398.1</v>
      </c>
      <c r="J82" s="138">
        <v>358.2</v>
      </c>
      <c r="K82" s="138">
        <v>560.79999999999995</v>
      </c>
      <c r="M82" s="1087"/>
      <c r="N82" s="1087"/>
      <c r="O82" s="1087"/>
    </row>
    <row r="83" spans="3:15" ht="17.25" x14ac:dyDescent="0.25">
      <c r="C83" s="623">
        <v>10</v>
      </c>
      <c r="D83" s="623">
        <v>224.9</v>
      </c>
      <c r="E83" s="623">
        <v>74.3</v>
      </c>
      <c r="F83" s="624">
        <v>254.5</v>
      </c>
      <c r="G83" s="624">
        <v>141</v>
      </c>
      <c r="H83" s="624">
        <v>252.5</v>
      </c>
      <c r="I83" s="625">
        <v>402.7</v>
      </c>
      <c r="J83" s="625">
        <v>361.4</v>
      </c>
      <c r="K83" s="625">
        <v>563.6</v>
      </c>
      <c r="M83" s="1087"/>
      <c r="N83" s="1087"/>
      <c r="O83" s="1087"/>
    </row>
    <row r="84" spans="3:15" ht="17.25" x14ac:dyDescent="0.25">
      <c r="C84" s="136">
        <v>11</v>
      </c>
      <c r="D84" s="136">
        <v>232.4</v>
      </c>
      <c r="E84" s="136">
        <v>75.099999999999994</v>
      </c>
      <c r="F84" s="137">
        <v>259.89999999999998</v>
      </c>
      <c r="G84" s="137">
        <v>143.30000000000001</v>
      </c>
      <c r="H84" s="137">
        <v>254.5</v>
      </c>
      <c r="I84" s="138">
        <v>406.7</v>
      </c>
      <c r="J84" s="138">
        <v>364</v>
      </c>
      <c r="K84" s="138">
        <v>566.1</v>
      </c>
      <c r="M84" s="1087"/>
      <c r="N84" s="1087"/>
      <c r="O84" s="1087"/>
    </row>
    <row r="85" spans="3:15" ht="17.25" x14ac:dyDescent="0.25">
      <c r="C85" s="136">
        <v>12</v>
      </c>
      <c r="D85" s="136">
        <v>240.6</v>
      </c>
      <c r="E85" s="136">
        <v>83</v>
      </c>
      <c r="F85" s="137">
        <v>266.10000000000002</v>
      </c>
      <c r="G85" s="137">
        <v>145</v>
      </c>
      <c r="H85" s="137">
        <v>255.5</v>
      </c>
      <c r="I85" s="138">
        <v>411</v>
      </c>
      <c r="J85" s="138">
        <v>366.8</v>
      </c>
      <c r="K85" s="138">
        <v>568.4</v>
      </c>
      <c r="M85" s="1087"/>
      <c r="N85" s="1087"/>
      <c r="O85" s="1087"/>
    </row>
    <row r="86" spans="3:15" ht="17.25" x14ac:dyDescent="0.25">
      <c r="C86" s="136">
        <v>13</v>
      </c>
      <c r="D86" s="136">
        <v>248.8</v>
      </c>
      <c r="E86" s="136">
        <v>83.8</v>
      </c>
      <c r="F86" s="137">
        <v>272.2</v>
      </c>
      <c r="G86" s="137">
        <v>146.5</v>
      </c>
      <c r="H86" s="137">
        <v>256.5</v>
      </c>
      <c r="I86" s="138">
        <v>415.8</v>
      </c>
      <c r="J86" s="138">
        <v>369.8</v>
      </c>
      <c r="K86" s="138">
        <v>570.5</v>
      </c>
      <c r="M86" s="1087"/>
      <c r="N86" s="1087"/>
      <c r="O86" s="1087"/>
    </row>
    <row r="87" spans="3:15" ht="17.25" x14ac:dyDescent="0.25">
      <c r="C87" s="136">
        <v>14</v>
      </c>
      <c r="D87" s="136">
        <v>255.8</v>
      </c>
      <c r="E87" s="136">
        <v>86</v>
      </c>
      <c r="F87" s="137">
        <v>278.8</v>
      </c>
      <c r="G87" s="137">
        <v>150.6</v>
      </c>
      <c r="H87" s="137">
        <v>258</v>
      </c>
      <c r="I87" s="138">
        <v>421.3</v>
      </c>
      <c r="J87" s="138">
        <v>372.5</v>
      </c>
      <c r="K87" s="138">
        <v>572.6</v>
      </c>
      <c r="M87" s="1087"/>
      <c r="N87" s="1087"/>
      <c r="O87" s="1087"/>
    </row>
    <row r="88" spans="3:15" ht="17.25" x14ac:dyDescent="0.25">
      <c r="C88" s="623">
        <v>15</v>
      </c>
      <c r="D88" s="623">
        <v>264.2</v>
      </c>
      <c r="E88" s="623">
        <v>88.2</v>
      </c>
      <c r="F88" s="624">
        <v>285.7</v>
      </c>
      <c r="G88" s="624">
        <v>151.69999999999999</v>
      </c>
      <c r="H88" s="624">
        <v>259.89999999999998</v>
      </c>
      <c r="I88" s="625">
        <v>426.4</v>
      </c>
      <c r="J88" s="625">
        <v>375.1</v>
      </c>
      <c r="K88" s="625">
        <v>574.6</v>
      </c>
      <c r="M88" s="1087"/>
      <c r="N88" s="1087"/>
      <c r="O88" s="1087"/>
    </row>
    <row r="89" spans="3:15" ht="17.25" x14ac:dyDescent="0.25">
      <c r="C89" s="136">
        <v>16</v>
      </c>
      <c r="D89" s="136">
        <v>271.3</v>
      </c>
      <c r="E89" s="136">
        <v>88.7</v>
      </c>
      <c r="F89" s="137">
        <v>292</v>
      </c>
      <c r="G89" s="137">
        <v>152.1</v>
      </c>
      <c r="H89" s="137">
        <v>261.8</v>
      </c>
      <c r="I89" s="138">
        <v>431.5</v>
      </c>
      <c r="J89" s="138">
        <v>377</v>
      </c>
      <c r="K89" s="138">
        <v>576.70000000000005</v>
      </c>
      <c r="M89" s="1087"/>
      <c r="N89" s="1087"/>
      <c r="O89" s="1087"/>
    </row>
    <row r="90" spans="3:15" ht="17.25" x14ac:dyDescent="0.25">
      <c r="C90" s="136">
        <v>17</v>
      </c>
      <c r="D90" s="136">
        <v>279.89999999999998</v>
      </c>
      <c r="E90" s="136">
        <v>89.8</v>
      </c>
      <c r="F90" s="137">
        <v>298.7</v>
      </c>
      <c r="G90" s="137">
        <v>152.5</v>
      </c>
      <c r="H90" s="137">
        <v>263.60000000000002</v>
      </c>
      <c r="I90" s="138">
        <v>435.2</v>
      </c>
      <c r="J90" s="138">
        <v>379.9</v>
      </c>
      <c r="K90" s="138">
        <v>578.70000000000005</v>
      </c>
      <c r="M90" s="1087"/>
      <c r="N90" s="1087"/>
      <c r="O90" s="1087"/>
    </row>
    <row r="91" spans="3:15" ht="17.25" x14ac:dyDescent="0.25">
      <c r="C91" s="136">
        <v>18</v>
      </c>
      <c r="D91" s="136">
        <v>287.2</v>
      </c>
      <c r="E91" s="136">
        <v>91</v>
      </c>
      <c r="F91" s="137">
        <v>304.7</v>
      </c>
      <c r="G91" s="137">
        <v>155.80000000000001</v>
      </c>
      <c r="H91" s="137">
        <v>265</v>
      </c>
      <c r="I91" s="138">
        <v>438.9</v>
      </c>
      <c r="J91" s="138">
        <v>382.4</v>
      </c>
      <c r="K91" s="138">
        <v>580.6</v>
      </c>
      <c r="M91" s="1087"/>
      <c r="N91" s="1087"/>
      <c r="O91" s="1087"/>
    </row>
    <row r="92" spans="3:15" ht="17.25" x14ac:dyDescent="0.25">
      <c r="C92" s="136">
        <v>19</v>
      </c>
      <c r="D92" s="136">
        <v>294.60000000000002</v>
      </c>
      <c r="E92" s="136">
        <v>91.5</v>
      </c>
      <c r="F92" s="137">
        <v>311.5</v>
      </c>
      <c r="G92" s="137">
        <v>158.30000000000001</v>
      </c>
      <c r="H92" s="137">
        <v>266.2</v>
      </c>
      <c r="I92" s="138">
        <v>442.5</v>
      </c>
      <c r="J92" s="138">
        <v>385</v>
      </c>
      <c r="K92" s="138">
        <v>582.6</v>
      </c>
      <c r="M92" s="1087"/>
      <c r="N92" s="1087"/>
      <c r="O92" s="1087"/>
    </row>
    <row r="93" spans="3:15" ht="17.25" x14ac:dyDescent="0.25">
      <c r="C93" s="623">
        <v>20</v>
      </c>
      <c r="D93" s="623">
        <v>300.89999999999998</v>
      </c>
      <c r="E93" s="623">
        <v>92</v>
      </c>
      <c r="F93" s="624">
        <v>317.60000000000002</v>
      </c>
      <c r="G93" s="624">
        <v>160</v>
      </c>
      <c r="H93" s="624">
        <v>267.3</v>
      </c>
      <c r="I93" s="625">
        <v>446.2</v>
      </c>
      <c r="J93" s="625">
        <v>387.2</v>
      </c>
      <c r="K93" s="625">
        <v>584.5</v>
      </c>
      <c r="M93" s="1087"/>
      <c r="N93" s="1087"/>
      <c r="O93" s="1087"/>
    </row>
    <row r="94" spans="3:15" ht="17.25" x14ac:dyDescent="0.25">
      <c r="C94" s="136">
        <v>21</v>
      </c>
      <c r="D94" s="136">
        <v>308.3</v>
      </c>
      <c r="E94" s="136">
        <v>93.2</v>
      </c>
      <c r="F94" s="137">
        <v>323.39999999999998</v>
      </c>
      <c r="G94" s="137">
        <v>161.4</v>
      </c>
      <c r="H94" s="137">
        <v>268.7</v>
      </c>
      <c r="I94" s="138">
        <v>450.3</v>
      </c>
      <c r="J94" s="138">
        <v>389</v>
      </c>
      <c r="K94" s="138">
        <v>586.29999999999995</v>
      </c>
      <c r="M94" s="1087"/>
      <c r="N94" s="1087"/>
      <c r="O94" s="1087"/>
    </row>
    <row r="95" spans="3:15" ht="17.25" x14ac:dyDescent="0.25">
      <c r="C95" s="136">
        <v>22</v>
      </c>
      <c r="D95" s="136">
        <v>314.5</v>
      </c>
      <c r="E95" s="136">
        <v>94.6</v>
      </c>
      <c r="F95" s="137">
        <v>329.2</v>
      </c>
      <c r="G95" s="137">
        <v>162.80000000000001</v>
      </c>
      <c r="H95" s="137">
        <v>270.10000000000002</v>
      </c>
      <c r="I95" s="138">
        <v>455.7</v>
      </c>
      <c r="J95" s="138">
        <v>391.5</v>
      </c>
      <c r="K95" s="138">
        <v>588.1</v>
      </c>
      <c r="M95" s="1087"/>
      <c r="N95" s="1087"/>
      <c r="O95" s="1087"/>
    </row>
    <row r="96" spans="3:15" ht="17.25" x14ac:dyDescent="0.25">
      <c r="C96" s="136">
        <v>23</v>
      </c>
      <c r="D96" s="136">
        <v>321.7</v>
      </c>
      <c r="E96" s="136">
        <v>98.7</v>
      </c>
      <c r="F96" s="137">
        <v>335</v>
      </c>
      <c r="G96" s="137">
        <v>163.5</v>
      </c>
      <c r="H96" s="137">
        <v>271.60000000000002</v>
      </c>
      <c r="I96" s="138">
        <v>461.1</v>
      </c>
      <c r="J96" s="138">
        <v>393.4</v>
      </c>
      <c r="K96" s="138">
        <v>590</v>
      </c>
      <c r="M96" s="1087"/>
      <c r="N96" s="1087"/>
      <c r="O96" s="1087"/>
    </row>
    <row r="97" spans="3:15" ht="17.25" x14ac:dyDescent="0.25">
      <c r="C97" s="136">
        <v>24</v>
      </c>
      <c r="D97" s="136">
        <v>328.1</v>
      </c>
      <c r="E97" s="136">
        <v>99.1</v>
      </c>
      <c r="F97" s="137">
        <v>340.7</v>
      </c>
      <c r="G97" s="137">
        <v>165.9</v>
      </c>
      <c r="H97" s="137">
        <v>272.60000000000002</v>
      </c>
      <c r="I97" s="138">
        <v>466.3</v>
      </c>
      <c r="J97" s="138">
        <v>395.4</v>
      </c>
      <c r="K97" s="138">
        <v>591.79999999999995</v>
      </c>
      <c r="M97" s="1087"/>
      <c r="N97" s="1087"/>
      <c r="O97" s="1087"/>
    </row>
    <row r="98" spans="3:15" ht="17.25" x14ac:dyDescent="0.25">
      <c r="C98" s="136">
        <v>25</v>
      </c>
      <c r="D98" s="136">
        <v>335.2</v>
      </c>
      <c r="E98" s="136">
        <v>99.4</v>
      </c>
      <c r="F98" s="137">
        <v>346.7</v>
      </c>
      <c r="G98" s="137">
        <v>166.6</v>
      </c>
      <c r="H98" s="137">
        <v>273.3</v>
      </c>
      <c r="I98" s="138">
        <v>470</v>
      </c>
      <c r="J98" s="138">
        <v>397</v>
      </c>
      <c r="K98" s="138">
        <v>593.6</v>
      </c>
      <c r="M98" s="1087"/>
      <c r="N98" s="1087"/>
      <c r="O98" s="1087"/>
    </row>
    <row r="99" spans="3:15" ht="17.25" x14ac:dyDescent="0.25">
      <c r="C99" s="136">
        <v>26</v>
      </c>
      <c r="D99" s="136">
        <v>341.7</v>
      </c>
      <c r="E99" s="136">
        <v>99.7</v>
      </c>
      <c r="F99" s="137">
        <v>352.8</v>
      </c>
      <c r="G99" s="137">
        <v>167</v>
      </c>
      <c r="H99" s="137">
        <v>274.10000000000002</v>
      </c>
      <c r="I99" s="138">
        <v>473.9</v>
      </c>
      <c r="J99" s="138">
        <v>398.3</v>
      </c>
      <c r="K99" s="138">
        <v>595.29999999999995</v>
      </c>
      <c r="M99" s="1087"/>
      <c r="N99" s="1087"/>
      <c r="O99" s="1087"/>
    </row>
    <row r="100" spans="3:15" ht="17.25" x14ac:dyDescent="0.25">
      <c r="C100" s="136">
        <v>27</v>
      </c>
      <c r="D100" s="136">
        <v>348</v>
      </c>
      <c r="E100" s="136">
        <v>99.9</v>
      </c>
      <c r="F100" s="137">
        <v>358.9</v>
      </c>
      <c r="G100" s="137">
        <v>168.1</v>
      </c>
      <c r="H100" s="137">
        <v>275.2</v>
      </c>
      <c r="I100" s="138">
        <v>477.5</v>
      </c>
      <c r="J100" s="138">
        <v>400.3</v>
      </c>
      <c r="K100" s="138">
        <v>597</v>
      </c>
      <c r="M100" s="1087"/>
      <c r="N100" s="1087"/>
      <c r="O100" s="1087"/>
    </row>
    <row r="101" spans="3:15" ht="17.25" x14ac:dyDescent="0.25">
      <c r="C101" s="136">
        <v>28</v>
      </c>
      <c r="D101" s="136">
        <v>354.3</v>
      </c>
      <c r="E101" s="136">
        <v>100.1</v>
      </c>
      <c r="F101" s="137">
        <v>364.8</v>
      </c>
      <c r="G101" s="137">
        <v>169.8</v>
      </c>
      <c r="H101" s="137">
        <v>276.60000000000002</v>
      </c>
      <c r="I101" s="138">
        <v>481.5</v>
      </c>
      <c r="J101" s="138">
        <v>402.2</v>
      </c>
      <c r="K101" s="138">
        <v>598.79999999999995</v>
      </c>
      <c r="M101" s="1087"/>
      <c r="N101" s="1087"/>
      <c r="O101" s="1087"/>
    </row>
    <row r="102" spans="3:15" ht="17.25" x14ac:dyDescent="0.25">
      <c r="C102" s="136">
        <v>29</v>
      </c>
      <c r="D102" s="136">
        <v>360.1</v>
      </c>
      <c r="E102" s="136">
        <v>100.3</v>
      </c>
      <c r="F102" s="137">
        <v>370.9</v>
      </c>
      <c r="G102" s="137">
        <v>170.5</v>
      </c>
      <c r="H102" s="137">
        <v>278.10000000000002</v>
      </c>
      <c r="I102" s="138">
        <v>486.2</v>
      </c>
      <c r="J102" s="138">
        <v>404</v>
      </c>
      <c r="K102" s="138">
        <v>600.6</v>
      </c>
      <c r="M102" s="1087"/>
      <c r="N102" s="1087"/>
      <c r="O102" s="1087"/>
    </row>
    <row r="103" spans="3:15" ht="17.25" x14ac:dyDescent="0.25">
      <c r="C103" s="623">
        <v>30</v>
      </c>
      <c r="D103" s="623">
        <v>366.6</v>
      </c>
      <c r="E103" s="623">
        <v>100.4</v>
      </c>
      <c r="F103" s="624">
        <v>376.8</v>
      </c>
      <c r="G103" s="624">
        <v>172.6</v>
      </c>
      <c r="H103" s="624">
        <v>279.5</v>
      </c>
      <c r="I103" s="625">
        <v>491</v>
      </c>
      <c r="J103" s="625">
        <v>405.6</v>
      </c>
      <c r="K103" s="625">
        <v>602.4</v>
      </c>
      <c r="M103" s="1087"/>
      <c r="N103" s="1087"/>
      <c r="O103" s="1087"/>
    </row>
    <row r="104" spans="3:15" ht="17.25" x14ac:dyDescent="0.25">
      <c r="C104" s="136">
        <v>31</v>
      </c>
      <c r="D104" s="136">
        <v>373.5</v>
      </c>
      <c r="E104" s="136">
        <v>102.4</v>
      </c>
      <c r="F104" s="137">
        <v>383</v>
      </c>
      <c r="G104" s="137">
        <v>174.7</v>
      </c>
      <c r="H104" s="137">
        <v>280.7</v>
      </c>
      <c r="I104" s="138">
        <v>495.7</v>
      </c>
      <c r="J104" s="138">
        <v>406.9</v>
      </c>
      <c r="K104" s="138">
        <v>604.29999999999995</v>
      </c>
      <c r="M104" s="1087"/>
      <c r="N104" s="1087"/>
      <c r="O104" s="1087"/>
    </row>
    <row r="105" spans="3:15" ht="17.25" x14ac:dyDescent="0.25">
      <c r="C105" s="136">
        <v>32</v>
      </c>
      <c r="D105" s="136">
        <v>381.9</v>
      </c>
      <c r="E105" s="136">
        <v>103.1</v>
      </c>
      <c r="F105" s="137">
        <v>388.8</v>
      </c>
      <c r="G105" s="137">
        <v>175.3</v>
      </c>
      <c r="H105" s="137">
        <v>281.8</v>
      </c>
      <c r="I105" s="138">
        <v>499.4</v>
      </c>
      <c r="J105" s="138">
        <v>408.8</v>
      </c>
      <c r="K105" s="138">
        <v>606.20000000000005</v>
      </c>
      <c r="M105" s="1087"/>
      <c r="N105" s="1087"/>
      <c r="O105" s="1087"/>
    </row>
    <row r="106" spans="3:15" ht="17.25" x14ac:dyDescent="0.25">
      <c r="C106" s="136">
        <v>33</v>
      </c>
      <c r="D106" s="136">
        <v>389.8</v>
      </c>
      <c r="E106" s="136">
        <v>103.4</v>
      </c>
      <c r="F106" s="137">
        <v>394.3</v>
      </c>
      <c r="G106" s="137">
        <v>175.7</v>
      </c>
      <c r="H106" s="137">
        <v>282.89999999999998</v>
      </c>
      <c r="I106" s="138">
        <v>502.9</v>
      </c>
      <c r="J106" s="138">
        <v>410.5</v>
      </c>
      <c r="K106" s="138">
        <v>608.1</v>
      </c>
      <c r="M106" s="1087"/>
      <c r="N106" s="1087"/>
      <c r="O106" s="1087"/>
    </row>
    <row r="107" spans="3:15" ht="17.25" x14ac:dyDescent="0.25">
      <c r="C107" s="136">
        <v>34</v>
      </c>
      <c r="D107" s="136">
        <v>395.8</v>
      </c>
      <c r="E107" s="136">
        <v>103.7</v>
      </c>
      <c r="F107" s="137">
        <v>399</v>
      </c>
      <c r="G107" s="137">
        <v>176</v>
      </c>
      <c r="H107" s="137">
        <v>283.89999999999998</v>
      </c>
      <c r="I107" s="138">
        <v>506.4</v>
      </c>
      <c r="J107" s="138">
        <v>412.2</v>
      </c>
      <c r="K107" s="138">
        <v>609.9</v>
      </c>
      <c r="M107" s="1087"/>
      <c r="N107" s="1087"/>
      <c r="O107" s="1087"/>
    </row>
    <row r="108" spans="3:15" ht="17.25" x14ac:dyDescent="0.25">
      <c r="C108" s="136">
        <v>35</v>
      </c>
      <c r="D108" s="136">
        <v>402.2</v>
      </c>
      <c r="E108" s="136">
        <v>104.1</v>
      </c>
      <c r="F108" s="137">
        <v>404</v>
      </c>
      <c r="G108" s="137">
        <v>176.9</v>
      </c>
      <c r="H108" s="137">
        <v>285</v>
      </c>
      <c r="I108" s="138">
        <v>510.2</v>
      </c>
      <c r="J108" s="138">
        <v>414.5</v>
      </c>
      <c r="K108" s="138">
        <v>611.79999999999995</v>
      </c>
      <c r="M108" s="1087"/>
      <c r="N108" s="1087"/>
      <c r="O108" s="1087"/>
    </row>
    <row r="109" spans="3:15" ht="17.25" x14ac:dyDescent="0.25">
      <c r="C109" s="136">
        <v>36</v>
      </c>
      <c r="D109" s="136">
        <v>407.9</v>
      </c>
      <c r="E109" s="136">
        <v>106.9</v>
      </c>
      <c r="F109" s="137">
        <v>408.6</v>
      </c>
      <c r="G109" s="137">
        <v>178.3</v>
      </c>
      <c r="H109" s="137">
        <v>286.2</v>
      </c>
      <c r="I109" s="138">
        <v>514.5</v>
      </c>
      <c r="J109" s="138">
        <v>416.2</v>
      </c>
      <c r="K109" s="138">
        <v>613.6</v>
      </c>
      <c r="M109" s="1087"/>
      <c r="N109" s="1087"/>
      <c r="O109" s="1087"/>
    </row>
    <row r="110" spans="3:15" ht="17.25" x14ac:dyDescent="0.25">
      <c r="C110" s="136">
        <v>37</v>
      </c>
      <c r="D110" s="136">
        <v>414</v>
      </c>
      <c r="E110" s="136">
        <v>109.2</v>
      </c>
      <c r="F110" s="137">
        <v>414.1</v>
      </c>
      <c r="G110" s="137">
        <v>180.1</v>
      </c>
      <c r="H110" s="137">
        <v>287.5</v>
      </c>
      <c r="I110" s="138">
        <v>518.79999999999995</v>
      </c>
      <c r="J110" s="138">
        <v>418.5</v>
      </c>
      <c r="K110" s="138">
        <v>615.5</v>
      </c>
      <c r="M110" s="1087"/>
      <c r="N110" s="1087"/>
      <c r="O110" s="1087"/>
    </row>
    <row r="111" spans="3:15" ht="17.25" x14ac:dyDescent="0.25">
      <c r="C111" s="136">
        <v>38</v>
      </c>
      <c r="D111" s="136">
        <v>421.1</v>
      </c>
      <c r="E111" s="136">
        <v>113.1</v>
      </c>
      <c r="F111" s="137">
        <v>420.3</v>
      </c>
      <c r="G111" s="137">
        <v>180.9</v>
      </c>
      <c r="H111" s="137">
        <v>288.5</v>
      </c>
      <c r="I111" s="138">
        <v>522.79999999999995</v>
      </c>
      <c r="J111" s="138">
        <v>420.8</v>
      </c>
      <c r="K111" s="138">
        <v>617.5</v>
      </c>
      <c r="M111" s="1087"/>
      <c r="N111" s="1087"/>
      <c r="O111" s="1087"/>
    </row>
    <row r="112" spans="3:15" ht="17.25" x14ac:dyDescent="0.25">
      <c r="C112" s="136">
        <v>39</v>
      </c>
      <c r="D112" s="136">
        <v>427.9</v>
      </c>
      <c r="E112" s="136">
        <v>113.6</v>
      </c>
      <c r="F112" s="137">
        <v>426.7</v>
      </c>
      <c r="G112" s="137">
        <v>182.3</v>
      </c>
      <c r="H112" s="137">
        <v>289.2</v>
      </c>
      <c r="I112" s="138">
        <v>526.29999999999995</v>
      </c>
      <c r="J112" s="138">
        <v>423.1</v>
      </c>
      <c r="K112" s="138">
        <v>619.6</v>
      </c>
      <c r="M112" s="1087"/>
      <c r="N112" s="1087"/>
      <c r="O112" s="1087"/>
    </row>
    <row r="113" spans="3:15" ht="17.25" x14ac:dyDescent="0.25">
      <c r="C113" s="623">
        <v>40</v>
      </c>
      <c r="D113" s="623">
        <v>434.3</v>
      </c>
      <c r="E113" s="623">
        <v>114</v>
      </c>
      <c r="F113" s="624">
        <v>432.6</v>
      </c>
      <c r="G113" s="624">
        <v>183.4</v>
      </c>
      <c r="H113" s="624">
        <v>289.8</v>
      </c>
      <c r="I113" s="625">
        <v>529.79999999999995</v>
      </c>
      <c r="J113" s="625">
        <v>425.4</v>
      </c>
      <c r="K113" s="625">
        <v>621.6</v>
      </c>
      <c r="M113" s="1087"/>
      <c r="N113" s="1087"/>
      <c r="O113" s="1087"/>
    </row>
    <row r="114" spans="3:15" ht="17.25" x14ac:dyDescent="0.25">
      <c r="C114" s="136">
        <v>41</v>
      </c>
      <c r="D114" s="136">
        <v>440.7</v>
      </c>
      <c r="E114" s="136">
        <v>114.2</v>
      </c>
      <c r="F114" s="137">
        <v>437.1</v>
      </c>
      <c r="G114" s="137">
        <v>184.4</v>
      </c>
      <c r="H114" s="137">
        <v>290.39999999999998</v>
      </c>
      <c r="I114" s="138">
        <v>533.1</v>
      </c>
      <c r="J114" s="138">
        <v>427.1</v>
      </c>
      <c r="K114" s="138">
        <v>623.70000000000005</v>
      </c>
      <c r="M114" s="1087"/>
      <c r="N114" s="1087"/>
      <c r="O114" s="1087"/>
    </row>
    <row r="115" spans="3:15" ht="17.25" x14ac:dyDescent="0.25">
      <c r="C115" s="136">
        <v>42</v>
      </c>
      <c r="D115" s="136">
        <v>446.7</v>
      </c>
      <c r="E115" s="136">
        <v>114.4</v>
      </c>
      <c r="F115" s="137">
        <v>442</v>
      </c>
      <c r="G115" s="137">
        <v>185.3</v>
      </c>
      <c r="H115" s="137">
        <v>291.39999999999998</v>
      </c>
      <c r="I115" s="138">
        <v>536.6</v>
      </c>
      <c r="J115" s="138">
        <v>429.4</v>
      </c>
      <c r="K115" s="138">
        <v>625.70000000000005</v>
      </c>
      <c r="M115" s="1087"/>
      <c r="N115" s="1087"/>
      <c r="O115" s="1087"/>
    </row>
    <row r="116" spans="3:15" ht="17.25" x14ac:dyDescent="0.25">
      <c r="C116" s="136">
        <v>43</v>
      </c>
      <c r="D116" s="136">
        <v>453.1</v>
      </c>
      <c r="E116" s="136">
        <v>114.6</v>
      </c>
      <c r="F116" s="137">
        <v>446.6</v>
      </c>
      <c r="G116" s="137">
        <v>186.8</v>
      </c>
      <c r="H116" s="137">
        <v>292.7</v>
      </c>
      <c r="I116" s="138">
        <v>540.1</v>
      </c>
      <c r="J116" s="138">
        <v>431.5</v>
      </c>
      <c r="K116" s="138">
        <v>627.79999999999995</v>
      </c>
      <c r="M116" s="1087"/>
      <c r="N116" s="1087"/>
      <c r="O116" s="1087"/>
    </row>
    <row r="117" spans="3:15" ht="17.25" x14ac:dyDescent="0.25">
      <c r="C117" s="136">
        <v>44</v>
      </c>
      <c r="D117" s="136">
        <v>459.8</v>
      </c>
      <c r="E117" s="136">
        <v>114.8</v>
      </c>
      <c r="F117" s="137">
        <v>452.5</v>
      </c>
      <c r="G117" s="137">
        <v>188.5</v>
      </c>
      <c r="H117" s="137">
        <v>293.89999999999998</v>
      </c>
      <c r="I117" s="138">
        <v>543.5</v>
      </c>
      <c r="J117" s="138">
        <v>433.2</v>
      </c>
      <c r="K117" s="138">
        <v>629.9</v>
      </c>
      <c r="M117" s="1087"/>
      <c r="N117" s="1087"/>
      <c r="O117" s="1087"/>
    </row>
    <row r="118" spans="3:15" ht="17.25" x14ac:dyDescent="0.25">
      <c r="C118" s="136">
        <v>45</v>
      </c>
      <c r="D118" s="136">
        <v>466.5</v>
      </c>
      <c r="E118" s="136">
        <v>115</v>
      </c>
      <c r="F118" s="137">
        <v>459.7</v>
      </c>
      <c r="G118" s="137">
        <v>189.3</v>
      </c>
      <c r="H118" s="137">
        <v>295.2</v>
      </c>
      <c r="I118" s="138">
        <v>547</v>
      </c>
      <c r="J118" s="138">
        <v>434.8</v>
      </c>
      <c r="K118" s="138">
        <v>632</v>
      </c>
      <c r="M118" s="1087"/>
      <c r="N118" s="1087"/>
      <c r="O118" s="1087"/>
    </row>
    <row r="119" spans="3:15" ht="17.25" x14ac:dyDescent="0.25">
      <c r="C119" s="136">
        <v>46</v>
      </c>
      <c r="D119" s="136">
        <v>472.6</v>
      </c>
      <c r="E119" s="136">
        <v>115.1</v>
      </c>
      <c r="F119" s="137">
        <v>466.4</v>
      </c>
      <c r="G119" s="137">
        <v>189.9</v>
      </c>
      <c r="H119" s="137">
        <v>296.3</v>
      </c>
      <c r="I119" s="138">
        <v>550.29999999999995</v>
      </c>
      <c r="J119" s="138">
        <v>436.1</v>
      </c>
      <c r="K119" s="138">
        <v>634.1</v>
      </c>
      <c r="M119" s="1087"/>
      <c r="N119" s="1087"/>
      <c r="O119" s="1087"/>
    </row>
    <row r="120" spans="3:15" ht="17.25" x14ac:dyDescent="0.25">
      <c r="C120" s="136">
        <v>47</v>
      </c>
      <c r="D120" s="136">
        <v>478.8</v>
      </c>
      <c r="E120" s="136">
        <v>115.3</v>
      </c>
      <c r="F120" s="137">
        <v>471.3</v>
      </c>
      <c r="G120" s="137">
        <v>190.7</v>
      </c>
      <c r="H120" s="137">
        <v>297.2</v>
      </c>
      <c r="I120" s="138">
        <v>553.70000000000005</v>
      </c>
      <c r="J120" s="138">
        <v>437.7</v>
      </c>
      <c r="K120" s="138">
        <v>636.29999999999995</v>
      </c>
      <c r="M120" s="1087"/>
      <c r="N120" s="1087"/>
      <c r="O120" s="1087"/>
    </row>
    <row r="121" spans="3:15" ht="17.25" x14ac:dyDescent="0.25">
      <c r="C121" s="136">
        <v>48</v>
      </c>
      <c r="D121" s="136">
        <v>485.2</v>
      </c>
      <c r="E121" s="136">
        <v>115.5</v>
      </c>
      <c r="F121" s="137">
        <v>476.3</v>
      </c>
      <c r="G121" s="137">
        <v>192.4</v>
      </c>
      <c r="H121" s="137">
        <v>298.2</v>
      </c>
      <c r="I121" s="138">
        <v>557.1</v>
      </c>
      <c r="J121" s="138">
        <v>439.4</v>
      </c>
      <c r="K121" s="138">
        <v>638.6</v>
      </c>
      <c r="M121" s="1087"/>
      <c r="N121" s="1087"/>
      <c r="O121" s="1087"/>
    </row>
    <row r="122" spans="3:15" ht="17.25" x14ac:dyDescent="0.25">
      <c r="C122" s="136">
        <v>49</v>
      </c>
      <c r="D122" s="136">
        <v>491.6</v>
      </c>
      <c r="E122" s="136">
        <v>117.2</v>
      </c>
      <c r="F122" s="137">
        <v>481.3</v>
      </c>
      <c r="G122" s="137">
        <v>194.3</v>
      </c>
      <c r="H122" s="137">
        <v>299.2</v>
      </c>
      <c r="I122" s="138">
        <v>560.29999999999995</v>
      </c>
      <c r="J122" s="138">
        <v>441</v>
      </c>
      <c r="K122" s="138">
        <v>641</v>
      </c>
      <c r="M122" s="1087"/>
      <c r="N122" s="1087"/>
      <c r="O122" s="1087"/>
    </row>
    <row r="123" spans="3:15" ht="17.25" x14ac:dyDescent="0.25">
      <c r="C123" s="623">
        <v>50</v>
      </c>
      <c r="D123" s="623">
        <v>497.8</v>
      </c>
      <c r="E123" s="623">
        <v>117.9</v>
      </c>
      <c r="F123" s="624">
        <v>487.6</v>
      </c>
      <c r="G123" s="624">
        <v>195.4</v>
      </c>
      <c r="H123" s="624">
        <v>300.10000000000002</v>
      </c>
      <c r="I123" s="625">
        <v>563.5</v>
      </c>
      <c r="J123" s="625">
        <v>442.6</v>
      </c>
      <c r="K123" s="625">
        <v>643.5</v>
      </c>
      <c r="M123" s="1087"/>
      <c r="N123" s="1087"/>
      <c r="O123" s="1087"/>
    </row>
    <row r="124" spans="3:15" ht="17.25" x14ac:dyDescent="0.25">
      <c r="C124" s="136">
        <v>51</v>
      </c>
      <c r="D124" s="136">
        <v>503.4</v>
      </c>
      <c r="E124" s="136">
        <v>118.3</v>
      </c>
      <c r="F124" s="137">
        <v>493.9</v>
      </c>
      <c r="G124" s="137">
        <v>196.8</v>
      </c>
      <c r="H124" s="137">
        <v>301.3</v>
      </c>
      <c r="I124" s="138">
        <v>566.70000000000005</v>
      </c>
      <c r="J124" s="138">
        <v>443.9</v>
      </c>
      <c r="K124" s="138">
        <v>646</v>
      </c>
      <c r="M124" s="1087"/>
      <c r="N124" s="1087"/>
      <c r="O124" s="1087"/>
    </row>
    <row r="125" spans="3:15" ht="17.25" x14ac:dyDescent="0.25">
      <c r="C125" s="136">
        <v>52</v>
      </c>
      <c r="D125" s="136">
        <v>508.9</v>
      </c>
      <c r="E125" s="136">
        <v>118.7</v>
      </c>
      <c r="F125" s="137">
        <v>499.2</v>
      </c>
      <c r="G125" s="137">
        <v>197.4</v>
      </c>
      <c r="H125" s="137">
        <v>302.39999999999998</v>
      </c>
      <c r="I125" s="138">
        <v>569.6</v>
      </c>
      <c r="J125" s="138">
        <v>445.6</v>
      </c>
      <c r="K125" s="138">
        <v>648.6</v>
      </c>
      <c r="M125" s="1087"/>
      <c r="N125" s="1087"/>
      <c r="O125" s="1087"/>
    </row>
    <row r="126" spans="3:15" ht="17.25" x14ac:dyDescent="0.25">
      <c r="C126" s="136">
        <v>53</v>
      </c>
      <c r="D126" s="136">
        <v>515</v>
      </c>
      <c r="E126" s="136">
        <v>118.9</v>
      </c>
      <c r="F126" s="137">
        <v>503.8</v>
      </c>
      <c r="G126" s="137">
        <v>197.7</v>
      </c>
      <c r="H126" s="137">
        <v>303.39999999999998</v>
      </c>
      <c r="I126" s="138">
        <v>572.5</v>
      </c>
      <c r="J126" s="138">
        <v>447.3</v>
      </c>
      <c r="K126" s="138">
        <v>651.20000000000005</v>
      </c>
      <c r="M126" s="1087"/>
      <c r="N126" s="1087"/>
      <c r="O126" s="1087"/>
    </row>
    <row r="127" spans="3:15" ht="17.25" x14ac:dyDescent="0.25">
      <c r="C127" s="136">
        <v>54</v>
      </c>
      <c r="D127" s="136">
        <v>521</v>
      </c>
      <c r="E127" s="136">
        <v>119.3</v>
      </c>
      <c r="F127" s="137">
        <v>508.4</v>
      </c>
      <c r="G127" s="137">
        <v>198</v>
      </c>
      <c r="H127" s="137">
        <v>304.2</v>
      </c>
      <c r="I127" s="138">
        <v>575.5</v>
      </c>
      <c r="J127" s="138">
        <v>448.9</v>
      </c>
      <c r="K127" s="138">
        <v>653.70000000000005</v>
      </c>
      <c r="M127" s="1087"/>
      <c r="N127" s="1087"/>
      <c r="O127" s="1087"/>
    </row>
    <row r="128" spans="3:15" ht="17.25" x14ac:dyDescent="0.25">
      <c r="C128" s="136">
        <v>55</v>
      </c>
      <c r="D128" s="136">
        <v>526.5</v>
      </c>
      <c r="E128" s="136">
        <v>119.8</v>
      </c>
      <c r="F128" s="137">
        <v>514</v>
      </c>
      <c r="G128" s="137">
        <v>198.5</v>
      </c>
      <c r="H128" s="137">
        <v>304.8</v>
      </c>
      <c r="I128" s="138">
        <v>578.6</v>
      </c>
      <c r="J128" s="138">
        <v>451.2</v>
      </c>
      <c r="K128" s="138">
        <v>656.3</v>
      </c>
      <c r="M128" s="1087"/>
      <c r="N128" s="1087"/>
      <c r="O128" s="1087"/>
    </row>
    <row r="129" spans="3:15" ht="17.25" x14ac:dyDescent="0.25">
      <c r="C129" s="136">
        <v>56</v>
      </c>
      <c r="D129" s="136">
        <v>531.70000000000005</v>
      </c>
      <c r="E129" s="136">
        <v>120.3</v>
      </c>
      <c r="F129" s="137">
        <v>519.6</v>
      </c>
      <c r="G129" s="137">
        <v>200.7</v>
      </c>
      <c r="H129" s="137">
        <v>305.39999999999998</v>
      </c>
      <c r="I129" s="138">
        <v>581.70000000000005</v>
      </c>
      <c r="J129" s="138">
        <v>453.5</v>
      </c>
      <c r="K129" s="138">
        <v>659.2</v>
      </c>
      <c r="M129" s="1087"/>
      <c r="N129" s="1087"/>
      <c r="O129" s="1087"/>
    </row>
    <row r="130" spans="3:15" ht="17.25" x14ac:dyDescent="0.25">
      <c r="C130" s="136">
        <v>57</v>
      </c>
      <c r="D130" s="136">
        <v>536.79999999999995</v>
      </c>
      <c r="E130" s="136">
        <v>120.7</v>
      </c>
      <c r="F130" s="137">
        <v>524.70000000000005</v>
      </c>
      <c r="G130" s="137">
        <v>201.9</v>
      </c>
      <c r="H130" s="137">
        <v>306</v>
      </c>
      <c r="I130" s="138">
        <v>584.9</v>
      </c>
      <c r="J130" s="138">
        <v>456</v>
      </c>
      <c r="K130" s="138">
        <v>662.6</v>
      </c>
      <c r="M130" s="1087"/>
      <c r="N130" s="1087"/>
      <c r="O130" s="1087"/>
    </row>
    <row r="131" spans="3:15" ht="17.25" x14ac:dyDescent="0.25">
      <c r="C131" s="136">
        <v>58</v>
      </c>
      <c r="D131" s="136">
        <v>541.9</v>
      </c>
      <c r="E131" s="136">
        <v>122.9</v>
      </c>
      <c r="F131" s="137">
        <v>529.20000000000005</v>
      </c>
      <c r="G131" s="137">
        <v>203.1</v>
      </c>
      <c r="H131" s="137">
        <v>306.8</v>
      </c>
      <c r="I131" s="138">
        <v>588</v>
      </c>
      <c r="J131" s="138">
        <v>458.5</v>
      </c>
      <c r="K131" s="138">
        <v>666.2</v>
      </c>
      <c r="M131" s="1087"/>
      <c r="N131" s="1087"/>
      <c r="O131" s="1087"/>
    </row>
    <row r="132" spans="3:15" ht="17.25" x14ac:dyDescent="0.25">
      <c r="C132" s="136">
        <v>59</v>
      </c>
      <c r="D132" s="136">
        <v>546.9</v>
      </c>
      <c r="E132" s="136">
        <v>124.1</v>
      </c>
      <c r="F132" s="137">
        <v>533.70000000000005</v>
      </c>
      <c r="G132" s="137">
        <v>203.7</v>
      </c>
      <c r="H132" s="137">
        <v>307.89999999999998</v>
      </c>
      <c r="I132" s="138">
        <v>591.20000000000005</v>
      </c>
      <c r="J132" s="138">
        <v>461</v>
      </c>
      <c r="K132" s="138">
        <v>670</v>
      </c>
      <c r="M132" s="1087"/>
      <c r="N132" s="1087"/>
      <c r="O132" s="1087"/>
    </row>
    <row r="133" spans="3:15" ht="17.25" x14ac:dyDescent="0.25">
      <c r="C133" s="623">
        <v>60</v>
      </c>
      <c r="D133" s="623">
        <v>552.1</v>
      </c>
      <c r="E133" s="623">
        <v>126.6</v>
      </c>
      <c r="F133" s="624">
        <v>538.29999999999995</v>
      </c>
      <c r="G133" s="624">
        <v>204.5</v>
      </c>
      <c r="H133" s="624">
        <v>309.10000000000002</v>
      </c>
      <c r="I133" s="625">
        <v>594.29999999999995</v>
      </c>
      <c r="J133" s="625">
        <v>463.2</v>
      </c>
      <c r="K133" s="625">
        <v>673.3</v>
      </c>
      <c r="M133" s="1087"/>
      <c r="N133" s="1087"/>
      <c r="O133" s="1087"/>
    </row>
    <row r="134" spans="3:15" ht="17.25" x14ac:dyDescent="0.25">
      <c r="C134" s="136">
        <v>61</v>
      </c>
      <c r="D134" s="136">
        <v>557.1</v>
      </c>
      <c r="E134" s="136">
        <v>127.2</v>
      </c>
      <c r="F134" s="137">
        <v>542.79999999999995</v>
      </c>
      <c r="G134" s="137">
        <v>205.3</v>
      </c>
      <c r="H134" s="137">
        <v>310.2</v>
      </c>
      <c r="I134" s="138">
        <v>597.6</v>
      </c>
      <c r="J134" s="138">
        <v>465.7</v>
      </c>
      <c r="K134" s="138">
        <v>677.2</v>
      </c>
      <c r="M134" s="1087"/>
      <c r="N134" s="1087"/>
      <c r="O134" s="1087"/>
    </row>
    <row r="135" spans="3:15" ht="17.25" x14ac:dyDescent="0.25">
      <c r="C135" s="136">
        <v>62</v>
      </c>
      <c r="D135" s="136">
        <v>561.79999999999995</v>
      </c>
      <c r="E135" s="136">
        <v>127.6</v>
      </c>
      <c r="F135" s="137">
        <v>547.4</v>
      </c>
      <c r="G135" s="137">
        <v>206.2</v>
      </c>
      <c r="H135" s="137">
        <v>311.2</v>
      </c>
      <c r="I135" s="138">
        <v>600.9</v>
      </c>
      <c r="J135" s="138">
        <v>467.5</v>
      </c>
      <c r="K135" s="138">
        <v>681.7</v>
      </c>
      <c r="M135" s="1087"/>
      <c r="N135" s="1087"/>
      <c r="O135" s="1087"/>
    </row>
    <row r="136" spans="3:15" ht="17.25" x14ac:dyDescent="0.25">
      <c r="C136" s="136">
        <v>63</v>
      </c>
      <c r="D136" s="136">
        <v>566.5</v>
      </c>
      <c r="E136" s="136">
        <v>127.9</v>
      </c>
      <c r="F136" s="137">
        <v>551.9</v>
      </c>
      <c r="G136" s="137">
        <v>207.4</v>
      </c>
      <c r="H136" s="137">
        <v>312.10000000000002</v>
      </c>
      <c r="I136" s="138">
        <v>604.4</v>
      </c>
      <c r="J136" s="138">
        <v>469.3</v>
      </c>
      <c r="K136" s="138">
        <v>685.8</v>
      </c>
      <c r="M136" s="1087"/>
      <c r="N136" s="1087"/>
      <c r="O136" s="1087"/>
    </row>
    <row r="137" spans="3:15" ht="17.25" x14ac:dyDescent="0.25">
      <c r="C137" s="136">
        <v>64</v>
      </c>
      <c r="D137" s="136">
        <v>570.79999999999995</v>
      </c>
      <c r="E137" s="136">
        <v>128.1</v>
      </c>
      <c r="F137" s="137">
        <v>556.4</v>
      </c>
      <c r="G137" s="137">
        <v>208.4</v>
      </c>
      <c r="H137" s="137">
        <v>313.2</v>
      </c>
      <c r="I137" s="138">
        <v>608</v>
      </c>
      <c r="J137" s="138">
        <v>470.9</v>
      </c>
      <c r="K137" s="138">
        <v>690.1</v>
      </c>
      <c r="M137" s="1087"/>
      <c r="N137" s="1087"/>
      <c r="O137" s="1087"/>
    </row>
    <row r="138" spans="3:15" ht="17.25" x14ac:dyDescent="0.25">
      <c r="C138" s="136">
        <v>65</v>
      </c>
      <c r="D138" s="136">
        <v>575.29999999999995</v>
      </c>
      <c r="E138" s="136">
        <v>128.30000000000001</v>
      </c>
      <c r="F138" s="137">
        <v>560.6</v>
      </c>
      <c r="G138" s="137">
        <v>209.6</v>
      </c>
      <c r="H138" s="137">
        <v>314.3</v>
      </c>
      <c r="I138" s="138">
        <v>611.6</v>
      </c>
      <c r="J138" s="138">
        <v>472.7</v>
      </c>
      <c r="K138" s="138">
        <v>694.1</v>
      </c>
      <c r="M138" s="1087"/>
      <c r="N138" s="1087"/>
      <c r="O138" s="1087"/>
    </row>
    <row r="139" spans="3:15" ht="17.25" x14ac:dyDescent="0.25">
      <c r="C139" s="136">
        <v>66</v>
      </c>
      <c r="D139" s="136">
        <v>579.9</v>
      </c>
      <c r="E139" s="136">
        <v>128.5</v>
      </c>
      <c r="F139" s="137">
        <v>564.9</v>
      </c>
      <c r="G139" s="137">
        <v>210.9</v>
      </c>
      <c r="H139" s="137">
        <v>315.39999999999998</v>
      </c>
      <c r="I139" s="138">
        <v>615.29999999999995</v>
      </c>
      <c r="J139" s="138">
        <v>474.5</v>
      </c>
      <c r="K139" s="138">
        <v>699.1</v>
      </c>
      <c r="M139" s="1087"/>
      <c r="N139" s="1087"/>
      <c r="O139" s="1087"/>
    </row>
    <row r="140" spans="3:15" ht="17.25" x14ac:dyDescent="0.25">
      <c r="C140" s="136">
        <v>67</v>
      </c>
      <c r="D140" s="136">
        <v>584.6</v>
      </c>
      <c r="E140" s="136">
        <v>130.5</v>
      </c>
      <c r="F140" s="137">
        <v>568.9</v>
      </c>
      <c r="G140" s="137">
        <v>211.9</v>
      </c>
      <c r="H140" s="137">
        <v>316.7</v>
      </c>
      <c r="I140" s="138">
        <v>619.29999999999995</v>
      </c>
      <c r="J140" s="138">
        <v>476.3</v>
      </c>
      <c r="K140" s="138">
        <v>703.6</v>
      </c>
      <c r="M140" s="1087"/>
      <c r="N140" s="1087"/>
      <c r="O140" s="1087"/>
    </row>
    <row r="141" spans="3:15" ht="17.25" x14ac:dyDescent="0.25">
      <c r="C141" s="136">
        <v>68</v>
      </c>
      <c r="D141" s="136">
        <v>589.5</v>
      </c>
      <c r="E141" s="136">
        <v>133.30000000000001</v>
      </c>
      <c r="F141" s="137">
        <v>572.79999999999995</v>
      </c>
      <c r="G141" s="137">
        <v>213.2</v>
      </c>
      <c r="H141" s="137">
        <v>317.89999999999998</v>
      </c>
      <c r="I141" s="138">
        <v>623.29999999999995</v>
      </c>
      <c r="J141" s="138">
        <v>477.9</v>
      </c>
      <c r="K141" s="138">
        <v>708.3</v>
      </c>
      <c r="M141" s="1087"/>
      <c r="N141" s="1087"/>
      <c r="O141" s="1087"/>
    </row>
    <row r="142" spans="3:15" ht="17.25" x14ac:dyDescent="0.25">
      <c r="C142" s="136">
        <v>69</v>
      </c>
      <c r="D142" s="136">
        <v>594.29999999999995</v>
      </c>
      <c r="E142" s="136">
        <v>134</v>
      </c>
      <c r="F142" s="137">
        <v>576.9</v>
      </c>
      <c r="G142" s="137">
        <v>214.4</v>
      </c>
      <c r="H142" s="137">
        <v>318.7</v>
      </c>
      <c r="I142" s="138">
        <v>627.5</v>
      </c>
      <c r="J142" s="138">
        <v>479.7</v>
      </c>
      <c r="K142" s="138">
        <v>714</v>
      </c>
      <c r="M142" s="1087"/>
      <c r="N142" s="1087"/>
      <c r="O142" s="1087"/>
    </row>
    <row r="143" spans="3:15" ht="17.25" x14ac:dyDescent="0.25">
      <c r="C143" s="623">
        <v>70</v>
      </c>
      <c r="D143" s="623">
        <v>599.29999999999995</v>
      </c>
      <c r="E143" s="623">
        <v>134.69999999999999</v>
      </c>
      <c r="F143" s="624">
        <v>581</v>
      </c>
      <c r="G143" s="624">
        <v>216</v>
      </c>
      <c r="H143" s="624">
        <v>319.3</v>
      </c>
      <c r="I143" s="625">
        <v>631.70000000000005</v>
      </c>
      <c r="J143" s="625">
        <v>481.7</v>
      </c>
      <c r="K143" s="625">
        <v>720</v>
      </c>
      <c r="M143" s="1087"/>
      <c r="N143" s="1087"/>
      <c r="O143" s="1087"/>
    </row>
    <row r="144" spans="3:15" ht="17.25" x14ac:dyDescent="0.25">
      <c r="C144" s="136">
        <v>71</v>
      </c>
      <c r="D144" s="136">
        <v>604.6</v>
      </c>
      <c r="E144" s="136">
        <v>135.6</v>
      </c>
      <c r="F144" s="137">
        <v>585.20000000000005</v>
      </c>
      <c r="G144" s="137">
        <v>217</v>
      </c>
      <c r="H144" s="137">
        <v>320.2</v>
      </c>
      <c r="I144" s="138">
        <v>636.1</v>
      </c>
      <c r="J144" s="138">
        <v>484.1</v>
      </c>
      <c r="K144" s="138"/>
      <c r="M144" s="1087"/>
      <c r="N144" s="1087"/>
      <c r="O144" s="1087"/>
    </row>
    <row r="145" spans="3:15" ht="17.25" x14ac:dyDescent="0.25">
      <c r="C145" s="136">
        <v>72</v>
      </c>
      <c r="D145" s="136">
        <v>610.1</v>
      </c>
      <c r="E145" s="136">
        <v>138.30000000000001</v>
      </c>
      <c r="F145" s="137">
        <v>589.4</v>
      </c>
      <c r="G145" s="137">
        <v>217.5</v>
      </c>
      <c r="H145" s="137">
        <v>321.39999999999998</v>
      </c>
      <c r="I145" s="138">
        <v>640.9</v>
      </c>
      <c r="J145" s="138">
        <v>486.3</v>
      </c>
      <c r="K145" s="138"/>
      <c r="M145" s="1087"/>
      <c r="N145" s="1087"/>
      <c r="O145" s="1087"/>
    </row>
    <row r="146" spans="3:15" ht="17.25" x14ac:dyDescent="0.25">
      <c r="C146" s="136">
        <v>73</v>
      </c>
      <c r="D146" s="136">
        <v>615.9</v>
      </c>
      <c r="E146" s="136">
        <v>139.19999999999999</v>
      </c>
      <c r="F146" s="137">
        <v>593.70000000000005</v>
      </c>
      <c r="G146" s="137">
        <v>217.9</v>
      </c>
      <c r="H146" s="137">
        <v>322.89999999999998</v>
      </c>
      <c r="I146" s="138">
        <v>646.1</v>
      </c>
      <c r="J146" s="138">
        <v>488.7</v>
      </c>
      <c r="K146" s="138"/>
      <c r="M146" s="1087"/>
      <c r="N146" s="1087"/>
      <c r="O146" s="1087"/>
    </row>
    <row r="147" spans="3:15" ht="17.25" x14ac:dyDescent="0.3">
      <c r="C147" s="139">
        <v>74</v>
      </c>
      <c r="D147" s="139">
        <v>622.20000000000005</v>
      </c>
      <c r="E147" s="139">
        <v>141</v>
      </c>
      <c r="F147" s="140">
        <v>598</v>
      </c>
      <c r="G147" s="140">
        <v>218.9</v>
      </c>
      <c r="H147" s="140">
        <v>324.2</v>
      </c>
      <c r="I147" s="123">
        <v>651.4</v>
      </c>
      <c r="J147" s="123">
        <v>491.1</v>
      </c>
      <c r="K147" s="123"/>
      <c r="M147" s="1087"/>
      <c r="N147" s="1087"/>
      <c r="O147" s="1087"/>
    </row>
    <row r="148" spans="3:15" ht="17.25" x14ac:dyDescent="0.3">
      <c r="C148" s="136">
        <v>75</v>
      </c>
      <c r="D148" s="136">
        <v>628.70000000000005</v>
      </c>
      <c r="E148" s="136">
        <v>141.6</v>
      </c>
      <c r="F148" s="141">
        <v>602.5</v>
      </c>
      <c r="G148" s="141">
        <v>220</v>
      </c>
      <c r="H148" s="141">
        <v>325.5</v>
      </c>
      <c r="I148" s="121">
        <v>656.8</v>
      </c>
      <c r="J148" s="121">
        <v>493.4</v>
      </c>
      <c r="K148" s="121"/>
      <c r="M148" s="1087"/>
      <c r="N148" s="1087"/>
      <c r="O148" s="1087"/>
    </row>
    <row r="149" spans="3:15" ht="17.25" x14ac:dyDescent="0.3">
      <c r="C149" s="136">
        <v>76</v>
      </c>
      <c r="D149" s="136">
        <v>635.4</v>
      </c>
      <c r="E149" s="136">
        <v>143.4</v>
      </c>
      <c r="F149" s="141">
        <v>607.29999999999995</v>
      </c>
      <c r="G149" s="141">
        <v>220.8</v>
      </c>
      <c r="H149" s="141">
        <v>326.8</v>
      </c>
      <c r="I149" s="121">
        <v>663.6</v>
      </c>
      <c r="J149" s="121">
        <v>495.8</v>
      </c>
      <c r="K149" s="121"/>
      <c r="M149" s="1087"/>
      <c r="N149" s="1087"/>
      <c r="O149" s="1087"/>
    </row>
    <row r="150" spans="3:15" ht="17.25" x14ac:dyDescent="0.3">
      <c r="C150" s="136">
        <v>77</v>
      </c>
      <c r="D150" s="136">
        <v>642.9</v>
      </c>
      <c r="E150" s="136">
        <v>144.19999999999999</v>
      </c>
      <c r="F150" s="141">
        <v>612.20000000000005</v>
      </c>
      <c r="G150" s="141">
        <v>222.3</v>
      </c>
      <c r="H150" s="141">
        <v>328.2</v>
      </c>
      <c r="I150" s="121">
        <v>671.2</v>
      </c>
      <c r="J150" s="121">
        <v>497.7</v>
      </c>
      <c r="K150" s="121"/>
      <c r="M150" s="1087"/>
      <c r="N150" s="1087"/>
      <c r="O150" s="1087"/>
    </row>
    <row r="151" spans="3:15" ht="17.25" x14ac:dyDescent="0.3">
      <c r="C151" s="136">
        <v>78</v>
      </c>
      <c r="D151" s="136">
        <v>651.29999999999995</v>
      </c>
      <c r="E151" s="136">
        <v>145.4</v>
      </c>
      <c r="F151" s="141">
        <v>617.29999999999995</v>
      </c>
      <c r="G151" s="141">
        <v>223.8</v>
      </c>
      <c r="H151" s="141">
        <v>329.7</v>
      </c>
      <c r="I151" s="121">
        <v>679.5</v>
      </c>
      <c r="J151" s="121">
        <v>499.6</v>
      </c>
      <c r="K151" s="121"/>
      <c r="M151" s="1087"/>
      <c r="N151" s="1087"/>
      <c r="O151" s="1087"/>
    </row>
    <row r="152" spans="3:15" ht="17.25" x14ac:dyDescent="0.3">
      <c r="C152" s="136">
        <v>79</v>
      </c>
      <c r="D152" s="136">
        <v>660.3</v>
      </c>
      <c r="E152" s="136">
        <v>146.19999999999999</v>
      </c>
      <c r="F152" s="141">
        <v>622.70000000000005</v>
      </c>
      <c r="G152" s="141">
        <v>225.5</v>
      </c>
      <c r="H152" s="141">
        <v>331.3</v>
      </c>
      <c r="I152" s="121">
        <v>688.4</v>
      </c>
      <c r="J152" s="121">
        <v>501.4</v>
      </c>
      <c r="K152" s="121"/>
      <c r="M152" s="1087"/>
      <c r="N152" s="1087"/>
      <c r="O152" s="1087"/>
    </row>
    <row r="153" spans="3:15" ht="17.25" x14ac:dyDescent="0.3">
      <c r="C153" s="623">
        <v>80</v>
      </c>
      <c r="D153" s="623">
        <v>672.3</v>
      </c>
      <c r="E153" s="623">
        <v>147.4</v>
      </c>
      <c r="F153" s="626">
        <v>628.20000000000005</v>
      </c>
      <c r="G153" s="626">
        <v>226.8</v>
      </c>
      <c r="H153" s="626">
        <v>332.3</v>
      </c>
      <c r="I153" s="627">
        <v>697.5</v>
      </c>
      <c r="J153" s="627">
        <v>503.2</v>
      </c>
      <c r="K153" s="627"/>
      <c r="M153" s="1087"/>
      <c r="N153" s="1087"/>
      <c r="O153" s="1087"/>
    </row>
    <row r="154" spans="3:15" ht="17.25" x14ac:dyDescent="0.3">
      <c r="C154" s="136">
        <v>81</v>
      </c>
      <c r="D154" s="136">
        <v>686.7</v>
      </c>
      <c r="E154" s="136">
        <v>151.4</v>
      </c>
      <c r="F154" s="141">
        <v>633.9</v>
      </c>
      <c r="G154" s="141">
        <v>228.3</v>
      </c>
      <c r="H154" s="141">
        <v>333.3</v>
      </c>
      <c r="I154" s="121">
        <v>707.3</v>
      </c>
      <c r="J154" s="121">
        <v>505.1</v>
      </c>
      <c r="K154" s="121"/>
      <c r="M154" s="1087"/>
      <c r="N154" s="1087"/>
      <c r="O154" s="1087"/>
    </row>
    <row r="155" spans="3:15" ht="17.25" x14ac:dyDescent="0.3">
      <c r="C155" s="136">
        <v>82</v>
      </c>
      <c r="D155" s="136">
        <v>704</v>
      </c>
      <c r="E155" s="136">
        <v>152.1</v>
      </c>
      <c r="F155" s="141">
        <v>640</v>
      </c>
      <c r="G155" s="141">
        <v>229.6</v>
      </c>
      <c r="H155" s="141">
        <v>334.9</v>
      </c>
      <c r="I155" s="121">
        <v>718.9</v>
      </c>
      <c r="J155" s="121">
        <v>507</v>
      </c>
      <c r="K155" s="121"/>
      <c r="M155" s="1087"/>
      <c r="N155" s="1087"/>
      <c r="O155" s="1087"/>
    </row>
    <row r="156" spans="3:15" ht="17.25" x14ac:dyDescent="0.3">
      <c r="C156" s="136">
        <v>83</v>
      </c>
      <c r="D156" s="136" t="s">
        <v>17</v>
      </c>
      <c r="E156" s="136">
        <v>152.5</v>
      </c>
      <c r="F156" s="141">
        <v>646.79999999999995</v>
      </c>
      <c r="G156" s="141">
        <v>230.8</v>
      </c>
      <c r="H156" s="141">
        <v>336.9</v>
      </c>
      <c r="I156" s="121" t="s">
        <v>17</v>
      </c>
      <c r="J156" s="121">
        <v>509.1</v>
      </c>
      <c r="K156" s="121"/>
      <c r="M156" s="1087"/>
      <c r="N156" s="1087"/>
      <c r="O156" s="1087"/>
    </row>
    <row r="157" spans="3:15" ht="17.25" x14ac:dyDescent="0.3">
      <c r="C157" s="136">
        <v>84</v>
      </c>
      <c r="D157" s="136" t="s">
        <v>17</v>
      </c>
      <c r="E157" s="136">
        <v>152.9</v>
      </c>
      <c r="F157" s="141">
        <v>653.70000000000005</v>
      </c>
      <c r="G157" s="141">
        <v>232.1</v>
      </c>
      <c r="H157" s="141">
        <v>338.8</v>
      </c>
      <c r="I157" s="121" t="s">
        <v>17</v>
      </c>
      <c r="J157" s="121">
        <v>511.6</v>
      </c>
      <c r="K157" s="121"/>
      <c r="M157" s="1087"/>
      <c r="N157" s="1087"/>
      <c r="O157" s="1087"/>
    </row>
    <row r="158" spans="3:15" ht="17.25" x14ac:dyDescent="0.3">
      <c r="C158" s="136">
        <v>85</v>
      </c>
      <c r="D158" s="136" t="s">
        <v>17</v>
      </c>
      <c r="E158" s="136">
        <v>154.9</v>
      </c>
      <c r="F158" s="141">
        <v>661.5</v>
      </c>
      <c r="G158" s="141">
        <v>234.4</v>
      </c>
      <c r="H158" s="141">
        <v>340.7</v>
      </c>
      <c r="I158" s="121" t="s">
        <v>17</v>
      </c>
      <c r="J158" s="121">
        <v>514.1</v>
      </c>
      <c r="K158" s="121"/>
      <c r="M158" s="1087"/>
      <c r="N158" s="1087"/>
      <c r="O158" s="1087"/>
    </row>
    <row r="159" spans="3:15" ht="17.25" x14ac:dyDescent="0.3">
      <c r="C159" s="136">
        <v>86</v>
      </c>
      <c r="D159" s="136" t="s">
        <v>17</v>
      </c>
      <c r="E159" s="136">
        <v>158.69999999999999</v>
      </c>
      <c r="F159" s="141">
        <v>671.2</v>
      </c>
      <c r="G159" s="141">
        <v>236</v>
      </c>
      <c r="H159" s="141">
        <v>342.9</v>
      </c>
      <c r="I159" s="121" t="s">
        <v>17</v>
      </c>
      <c r="J159" s="121">
        <v>516.79999999999995</v>
      </c>
      <c r="K159" s="121"/>
      <c r="M159" s="1087"/>
      <c r="N159" s="1087"/>
      <c r="O159" s="1087"/>
    </row>
    <row r="160" spans="3:15" ht="17.25" x14ac:dyDescent="0.3">
      <c r="C160" s="136">
        <v>87</v>
      </c>
      <c r="D160" s="136" t="s">
        <v>17</v>
      </c>
      <c r="E160" s="136">
        <v>160.6</v>
      </c>
      <c r="F160" s="141">
        <v>681.9</v>
      </c>
      <c r="G160" s="141">
        <v>236.6</v>
      </c>
      <c r="H160" s="141">
        <v>345</v>
      </c>
      <c r="I160" s="121" t="s">
        <v>17</v>
      </c>
      <c r="J160" s="121">
        <v>519.5</v>
      </c>
      <c r="K160" s="121"/>
      <c r="M160" s="1087"/>
      <c r="N160" s="1087"/>
      <c r="O160" s="1087"/>
    </row>
    <row r="161" spans="3:15" ht="17.25" x14ac:dyDescent="0.3">
      <c r="C161" s="136">
        <v>88</v>
      </c>
      <c r="D161" s="136" t="s">
        <v>17</v>
      </c>
      <c r="E161" s="136">
        <v>162.9</v>
      </c>
      <c r="F161" s="141">
        <v>693.1</v>
      </c>
      <c r="G161" s="141">
        <v>237.7</v>
      </c>
      <c r="H161" s="141">
        <v>346.2</v>
      </c>
      <c r="I161" s="121" t="s">
        <v>17</v>
      </c>
      <c r="J161" s="121">
        <v>522.29999999999995</v>
      </c>
      <c r="K161" s="121"/>
      <c r="M161" s="1087"/>
      <c r="N161" s="1087"/>
      <c r="O161" s="1087"/>
    </row>
    <row r="162" spans="3:15" ht="17.25" x14ac:dyDescent="0.3">
      <c r="C162" s="136">
        <v>89</v>
      </c>
      <c r="D162" s="136" t="s">
        <v>17</v>
      </c>
      <c r="E162" s="136">
        <v>165.6</v>
      </c>
      <c r="F162" s="141">
        <v>705.4</v>
      </c>
      <c r="G162" s="141">
        <v>240</v>
      </c>
      <c r="H162" s="141">
        <v>348.4</v>
      </c>
      <c r="I162" s="121" t="s">
        <v>17</v>
      </c>
      <c r="J162" s="121">
        <v>524.79999999999995</v>
      </c>
      <c r="K162" s="121"/>
      <c r="M162" s="1087"/>
      <c r="N162" s="1087"/>
      <c r="O162" s="1087"/>
    </row>
    <row r="163" spans="3:15" ht="17.25" x14ac:dyDescent="0.3">
      <c r="C163" s="623">
        <v>90</v>
      </c>
      <c r="D163" s="623" t="s">
        <v>17</v>
      </c>
      <c r="E163" s="623">
        <v>166.8</v>
      </c>
      <c r="F163" s="626">
        <v>710.2</v>
      </c>
      <c r="G163" s="626">
        <v>242.9</v>
      </c>
      <c r="H163" s="626">
        <v>351</v>
      </c>
      <c r="I163" s="627" t="s">
        <v>17</v>
      </c>
      <c r="J163" s="627">
        <v>527.29999999999995</v>
      </c>
      <c r="K163" s="627"/>
      <c r="M163" s="1087"/>
      <c r="N163" s="1087"/>
      <c r="O163" s="1087"/>
    </row>
    <row r="164" spans="3:15" ht="17.25" x14ac:dyDescent="0.3">
      <c r="C164" s="136">
        <v>91</v>
      </c>
      <c r="D164" s="136" t="s">
        <v>17</v>
      </c>
      <c r="E164" s="136">
        <v>169.5</v>
      </c>
      <c r="F164" s="121"/>
      <c r="G164" s="121">
        <v>245.8</v>
      </c>
      <c r="H164" s="121">
        <v>353.7</v>
      </c>
      <c r="I164" s="121" t="s">
        <v>17</v>
      </c>
      <c r="J164" s="121">
        <v>530.1</v>
      </c>
      <c r="K164" s="121"/>
      <c r="M164" s="1087"/>
      <c r="N164" s="1087"/>
      <c r="O164" s="1087"/>
    </row>
    <row r="165" spans="3:15" ht="17.25" x14ac:dyDescent="0.3">
      <c r="C165" s="136">
        <v>92</v>
      </c>
      <c r="D165" s="136" t="s">
        <v>17</v>
      </c>
      <c r="E165" s="136">
        <v>173.8</v>
      </c>
      <c r="F165" s="121"/>
      <c r="G165" s="121">
        <v>248.6</v>
      </c>
      <c r="H165" s="121">
        <v>356.6</v>
      </c>
      <c r="I165" s="121" t="s">
        <v>17</v>
      </c>
      <c r="J165" s="121">
        <v>533</v>
      </c>
      <c r="K165" s="121"/>
      <c r="M165" s="1087"/>
      <c r="N165" s="1087"/>
      <c r="O165" s="1087"/>
    </row>
    <row r="166" spans="3:15" ht="17.25" x14ac:dyDescent="0.3">
      <c r="C166" s="136">
        <v>93</v>
      </c>
      <c r="D166" s="136" t="s">
        <v>17</v>
      </c>
      <c r="E166" s="136">
        <v>175.1</v>
      </c>
      <c r="F166" s="121"/>
      <c r="G166" s="121">
        <v>251.5</v>
      </c>
      <c r="H166" s="121">
        <v>358.9</v>
      </c>
      <c r="I166" s="121" t="s">
        <v>17</v>
      </c>
      <c r="J166" s="121">
        <v>536.20000000000005</v>
      </c>
      <c r="K166" s="121"/>
      <c r="M166" s="1087"/>
      <c r="N166" s="1087"/>
      <c r="O166" s="1087"/>
    </row>
    <row r="167" spans="3:15" ht="17.25" x14ac:dyDescent="0.3">
      <c r="C167" s="136">
        <v>94</v>
      </c>
      <c r="D167" s="136" t="s">
        <v>17</v>
      </c>
      <c r="E167" s="136">
        <v>178.3</v>
      </c>
      <c r="F167" s="121"/>
      <c r="G167" s="121">
        <v>254.6</v>
      </c>
      <c r="H167" s="121">
        <v>362.6</v>
      </c>
      <c r="I167" s="121" t="s">
        <v>17</v>
      </c>
      <c r="J167" s="121">
        <v>539.70000000000005</v>
      </c>
      <c r="K167" s="121"/>
      <c r="M167" s="1087"/>
      <c r="N167" s="1087"/>
      <c r="O167" s="1087"/>
    </row>
    <row r="168" spans="3:15" ht="17.25" x14ac:dyDescent="0.3">
      <c r="C168" s="623">
        <v>95</v>
      </c>
      <c r="D168" s="623" t="s">
        <v>17</v>
      </c>
      <c r="E168" s="623">
        <v>182.9</v>
      </c>
      <c r="F168" s="627"/>
      <c r="G168" s="627">
        <v>256.7</v>
      </c>
      <c r="H168" s="627">
        <v>366.8</v>
      </c>
      <c r="I168" s="627" t="s">
        <v>17</v>
      </c>
      <c r="J168" s="627">
        <v>543.70000000000005</v>
      </c>
      <c r="K168" s="627"/>
      <c r="M168" s="1087"/>
      <c r="N168" s="1087"/>
      <c r="O168" s="1087"/>
    </row>
    <row r="169" spans="3:15" ht="17.25" x14ac:dyDescent="0.3">
      <c r="C169" s="136">
        <v>96</v>
      </c>
      <c r="D169" s="136" t="s">
        <v>17</v>
      </c>
      <c r="E169" s="136">
        <v>188.5</v>
      </c>
      <c r="F169" s="121"/>
      <c r="G169" s="121">
        <v>262.3</v>
      </c>
      <c r="H169" s="121">
        <v>370.6</v>
      </c>
      <c r="I169" s="121" t="s">
        <v>17</v>
      </c>
      <c r="J169" s="121">
        <v>548.29999999999995</v>
      </c>
      <c r="K169" s="121"/>
      <c r="M169" s="1087"/>
      <c r="N169" s="1087"/>
      <c r="O169" s="1087"/>
    </row>
    <row r="170" spans="3:15" ht="17.25" x14ac:dyDescent="0.3">
      <c r="C170" s="136">
        <v>97</v>
      </c>
      <c r="D170" s="136" t="s">
        <v>17</v>
      </c>
      <c r="E170" s="136">
        <v>196.3</v>
      </c>
      <c r="F170" s="121"/>
      <c r="G170" s="121">
        <v>267.60000000000002</v>
      </c>
      <c r="H170" s="121">
        <v>376.6</v>
      </c>
      <c r="I170" s="121" t="s">
        <v>17</v>
      </c>
      <c r="J170" s="121">
        <v>554</v>
      </c>
      <c r="K170" s="121"/>
      <c r="M170" s="1087"/>
      <c r="N170" s="1087"/>
      <c r="O170" s="1087"/>
    </row>
    <row r="171" spans="3:15" ht="17.25" x14ac:dyDescent="0.3">
      <c r="C171" s="136">
        <v>98</v>
      </c>
      <c r="D171" s="136" t="s">
        <v>17</v>
      </c>
      <c r="E171" s="136">
        <v>203.7</v>
      </c>
      <c r="F171" s="121"/>
      <c r="G171" s="121">
        <v>273.89999999999998</v>
      </c>
      <c r="H171" s="121">
        <v>383.7</v>
      </c>
      <c r="I171" s="121" t="s">
        <v>17</v>
      </c>
      <c r="J171" s="121">
        <v>561.20000000000005</v>
      </c>
      <c r="K171" s="121"/>
      <c r="M171" s="1087"/>
      <c r="N171" s="1087"/>
      <c r="O171" s="1087"/>
    </row>
    <row r="172" spans="3:15" ht="17.25" x14ac:dyDescent="0.3">
      <c r="C172" s="136">
        <v>99</v>
      </c>
      <c r="D172" s="136" t="s">
        <v>17</v>
      </c>
      <c r="E172" s="136">
        <v>218.3</v>
      </c>
      <c r="F172" s="121"/>
      <c r="G172" s="121">
        <v>287.2</v>
      </c>
      <c r="H172" s="121">
        <v>395.1</v>
      </c>
      <c r="I172" s="121" t="s">
        <v>17</v>
      </c>
      <c r="J172" s="121">
        <v>572.5</v>
      </c>
      <c r="K172" s="121"/>
      <c r="M172" s="1087"/>
      <c r="N172" s="1087"/>
      <c r="O172" s="1087"/>
    </row>
    <row r="173" spans="3:15" ht="17.25" x14ac:dyDescent="0.3">
      <c r="C173" s="623">
        <v>100</v>
      </c>
      <c r="D173" s="623" t="s">
        <v>17</v>
      </c>
      <c r="E173" s="623">
        <v>232.9</v>
      </c>
      <c r="F173" s="627"/>
      <c r="G173" s="627">
        <v>298</v>
      </c>
      <c r="H173" s="627">
        <v>405.2</v>
      </c>
      <c r="I173" s="627" t="s">
        <v>17</v>
      </c>
      <c r="J173" s="627">
        <v>584.20000000000005</v>
      </c>
      <c r="K173" s="627"/>
      <c r="M173" s="1087"/>
      <c r="N173" s="1087"/>
      <c r="O173" s="1087"/>
    </row>
    <row r="174" spans="3:15" x14ac:dyDescent="0.25">
      <c r="M174" s="1087"/>
      <c r="N174" s="1087"/>
      <c r="O174" s="1087"/>
    </row>
  </sheetData>
  <mergeCells count="22">
    <mergeCell ref="B44:B47"/>
    <mergeCell ref="C44:C47"/>
    <mergeCell ref="B48:B49"/>
    <mergeCell ref="C48:C49"/>
    <mergeCell ref="B55:B58"/>
    <mergeCell ref="B39:B43"/>
    <mergeCell ref="C39:C43"/>
    <mergeCell ref="A18:A20"/>
    <mergeCell ref="B18:B19"/>
    <mergeCell ref="M21:N21"/>
    <mergeCell ref="A23:A24"/>
    <mergeCell ref="A25:A26"/>
    <mergeCell ref="C25:C26"/>
    <mergeCell ref="B29:B31"/>
    <mergeCell ref="B33:B35"/>
    <mergeCell ref="C33:C35"/>
    <mergeCell ref="A1:M1"/>
    <mergeCell ref="M5:N5"/>
    <mergeCell ref="M6:N6"/>
    <mergeCell ref="A9:A10"/>
    <mergeCell ref="B13:B17"/>
    <mergeCell ref="C13:C17"/>
  </mergeCells>
  <pageMargins left="0.25" right="0.25" top="0.75" bottom="0.75" header="0.3" footer="0.3"/>
  <pageSetup paperSize="9" scale="38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22F9-932E-4305-86B3-C5A68749CDCD}">
  <sheetPr>
    <tabColor rgb="FF3333FF"/>
  </sheetPr>
  <dimension ref="A1:X63"/>
  <sheetViews>
    <sheetView showGridLines="0" zoomScale="85" zoomScaleNormal="85" zoomScaleSheetLayoutView="5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T68" sqref="T68"/>
    </sheetView>
  </sheetViews>
  <sheetFormatPr defaultColWidth="8.85546875" defaultRowHeight="15.75" x14ac:dyDescent="0.25"/>
  <cols>
    <col min="1" max="1" width="28.140625" style="1088" bestFit="1" customWidth="1"/>
    <col min="2" max="2" width="26.85546875" style="1088" customWidth="1"/>
    <col min="3" max="3" width="14.5703125" style="1088" customWidth="1"/>
    <col min="4" max="4" width="19.5703125" style="1088" customWidth="1"/>
    <col min="5" max="5" width="14" style="1088" customWidth="1"/>
    <col min="6" max="8" width="11.42578125" style="1088" customWidth="1"/>
    <col min="9" max="11" width="12.42578125" style="1088" customWidth="1"/>
    <col min="12" max="12" width="12.140625" style="1088" customWidth="1"/>
    <col min="13" max="13" width="14.5703125" style="1088" customWidth="1"/>
    <col min="14" max="16" width="12.140625" style="1088" customWidth="1"/>
    <col min="17" max="17" width="1.5703125" style="1211" customWidth="1"/>
    <col min="18" max="18" width="13" style="1087" customWidth="1"/>
    <col min="19" max="19" width="1.5703125" style="1089" customWidth="1"/>
    <col min="20" max="20" width="23.85546875" style="1089" customWidth="1"/>
    <col min="21" max="21" width="11.85546875" style="1089" customWidth="1"/>
    <col min="22" max="22" width="59.140625" style="1089" customWidth="1"/>
    <col min="23" max="23" width="2.5703125" style="1086" hidden="1" customWidth="1"/>
    <col min="24" max="29" width="0" style="1087" hidden="1" customWidth="1"/>
    <col min="30" max="16384" width="8.85546875" style="1087"/>
  </cols>
  <sheetData>
    <row r="1" spans="1:24" ht="28.5" x14ac:dyDescent="0.45">
      <c r="A1" s="1601" t="s">
        <v>655</v>
      </c>
      <c r="B1" s="1601"/>
      <c r="C1" s="1601"/>
      <c r="D1" s="1601"/>
      <c r="E1" s="1601"/>
      <c r="F1" s="1601"/>
      <c r="G1" s="1601"/>
      <c r="H1" s="1601"/>
      <c r="I1" s="1601"/>
      <c r="J1" s="1601"/>
      <c r="K1" s="1601"/>
      <c r="L1" s="1601"/>
      <c r="M1" s="1601"/>
      <c r="N1" s="1601"/>
      <c r="O1" s="1601"/>
      <c r="P1" s="1601"/>
      <c r="Q1" s="1601"/>
      <c r="R1" s="1601"/>
      <c r="S1" s="1601"/>
      <c r="T1" s="1601"/>
      <c r="U1" s="1601"/>
      <c r="V1" s="1208"/>
    </row>
    <row r="2" spans="1:24" x14ac:dyDescent="0.25">
      <c r="A2" s="1209"/>
      <c r="B2" s="1210"/>
      <c r="C2" s="1089"/>
      <c r="D2" s="1089"/>
      <c r="E2" s="1089"/>
      <c r="F2" s="1089"/>
      <c r="G2" s="1209"/>
      <c r="H2" s="1209"/>
      <c r="I2" s="1209"/>
      <c r="J2" s="1209"/>
      <c r="K2" s="1209"/>
      <c r="L2" s="1089"/>
      <c r="M2" s="1089"/>
      <c r="N2" s="1089"/>
      <c r="O2" s="1089"/>
      <c r="P2" s="1089"/>
      <c r="R2" s="1211"/>
      <c r="T2" s="1212" t="s">
        <v>656</v>
      </c>
      <c r="U2" s="1213" t="s">
        <v>657</v>
      </c>
      <c r="V2" s="1213"/>
    </row>
    <row r="3" spans="1:24" x14ac:dyDescent="0.25">
      <c r="A3" s="1209"/>
      <c r="B3" s="1214"/>
      <c r="C3" s="1089"/>
      <c r="D3" s="1089"/>
      <c r="E3" s="1089"/>
      <c r="F3" s="1089"/>
      <c r="G3" s="1209"/>
      <c r="H3" s="1209"/>
      <c r="I3" s="1209"/>
      <c r="J3" s="1209"/>
      <c r="K3" s="1209"/>
      <c r="L3" s="1089"/>
      <c r="M3" s="1089"/>
      <c r="N3" s="1213"/>
      <c r="O3" s="1089"/>
      <c r="P3" s="1089"/>
      <c r="R3" s="1211"/>
      <c r="T3" s="1212" t="s">
        <v>658</v>
      </c>
      <c r="U3" s="1215">
        <v>45684</v>
      </c>
      <c r="V3" s="1215"/>
    </row>
    <row r="4" spans="1:24" ht="16.5" thickBot="1" x14ac:dyDescent="0.3">
      <c r="A4" s="1209"/>
      <c r="B4" s="1214"/>
      <c r="C4" s="1089"/>
      <c r="D4" s="1089"/>
      <c r="E4" s="1089"/>
      <c r="F4" s="1089"/>
      <c r="G4" s="1209"/>
      <c r="H4" s="1209"/>
      <c r="I4" s="1209"/>
      <c r="J4" s="1209"/>
      <c r="K4" s="1209"/>
      <c r="L4" s="1089"/>
      <c r="M4" s="1089"/>
      <c r="N4" s="1213"/>
      <c r="O4" s="1089"/>
      <c r="P4" s="1089"/>
      <c r="R4" s="1211"/>
      <c r="T4" s="1212"/>
      <c r="U4" s="1216"/>
      <c r="V4" s="1216"/>
    </row>
    <row r="5" spans="1:24" ht="18.75" thickBot="1" x14ac:dyDescent="0.3">
      <c r="A5" s="1116" t="s">
        <v>11</v>
      </c>
      <c r="B5" s="1117" t="s">
        <v>12</v>
      </c>
      <c r="C5" s="1117" t="s">
        <v>13</v>
      </c>
      <c r="D5" s="1117" t="s">
        <v>659</v>
      </c>
      <c r="E5" s="1117" t="s">
        <v>660</v>
      </c>
      <c r="F5" s="1117" t="s">
        <v>295</v>
      </c>
      <c r="G5" s="1117" t="s">
        <v>661</v>
      </c>
      <c r="H5" s="1117" t="s">
        <v>662</v>
      </c>
      <c r="I5" s="1117" t="s">
        <v>663</v>
      </c>
      <c r="J5" s="1117" t="s">
        <v>664</v>
      </c>
      <c r="K5" s="1117" t="s">
        <v>665</v>
      </c>
      <c r="L5" s="1117" t="s">
        <v>665</v>
      </c>
      <c r="M5" s="1117" t="s">
        <v>666</v>
      </c>
      <c r="N5" s="1117" t="s">
        <v>667</v>
      </c>
      <c r="O5" s="1117" t="s">
        <v>668</v>
      </c>
      <c r="P5" s="1118" t="s">
        <v>669</v>
      </c>
      <c r="Q5" s="1217"/>
      <c r="R5" s="1122" t="s">
        <v>663</v>
      </c>
      <c r="T5" s="1602" t="s">
        <v>670</v>
      </c>
      <c r="U5" s="1603"/>
      <c r="V5" s="1219"/>
    </row>
    <row r="6" spans="1:24" ht="16.5" thickBot="1" x14ac:dyDescent="0.3">
      <c r="A6" s="1119" t="s">
        <v>671</v>
      </c>
      <c r="B6" s="1120"/>
      <c r="C6" s="1120"/>
      <c r="D6" s="1120"/>
      <c r="E6" s="1120"/>
      <c r="F6" s="1120" t="s">
        <v>672</v>
      </c>
      <c r="G6" s="1120" t="s">
        <v>673</v>
      </c>
      <c r="H6" s="1120" t="s">
        <v>674</v>
      </c>
      <c r="I6" s="1120" t="s">
        <v>675</v>
      </c>
      <c r="J6" s="1120" t="s">
        <v>676</v>
      </c>
      <c r="K6" s="1120" t="s">
        <v>677</v>
      </c>
      <c r="L6" s="1120" t="s">
        <v>678</v>
      </c>
      <c r="M6" s="1120" t="s">
        <v>679</v>
      </c>
      <c r="N6" s="1120" t="s">
        <v>680</v>
      </c>
      <c r="O6" s="1120" t="s">
        <v>681</v>
      </c>
      <c r="P6" s="1121" t="s">
        <v>647</v>
      </c>
      <c r="Q6" s="1218"/>
      <c r="R6" s="1123" t="s">
        <v>682</v>
      </c>
      <c r="S6" s="1211"/>
      <c r="T6" s="1604" t="s">
        <v>683</v>
      </c>
      <c r="U6" s="1605"/>
      <c r="V6" s="1092"/>
      <c r="X6" s="1090" t="s">
        <v>684</v>
      </c>
    </row>
    <row r="7" spans="1:24" x14ac:dyDescent="0.25">
      <c r="A7" s="1166" t="s">
        <v>685</v>
      </c>
      <c r="B7" s="1174" t="s">
        <v>686</v>
      </c>
      <c r="C7" s="1174" t="s">
        <v>18</v>
      </c>
      <c r="D7" s="1157"/>
      <c r="E7" s="1193" t="s">
        <v>687</v>
      </c>
      <c r="F7" s="1193" t="s">
        <v>687</v>
      </c>
      <c r="G7" s="1193" t="s">
        <v>687</v>
      </c>
      <c r="H7" s="1193" t="s">
        <v>687</v>
      </c>
      <c r="I7" s="1193" t="s">
        <v>687</v>
      </c>
      <c r="J7" s="1193" t="s">
        <v>687</v>
      </c>
      <c r="K7" s="1193" t="s">
        <v>687</v>
      </c>
      <c r="L7" s="1193" t="s">
        <v>687</v>
      </c>
      <c r="M7" s="1174"/>
      <c r="N7" s="1193" t="s">
        <v>687</v>
      </c>
      <c r="O7" s="1193" t="s">
        <v>687</v>
      </c>
      <c r="P7" s="1194" t="s">
        <v>687</v>
      </c>
      <c r="R7" s="1197"/>
      <c r="S7" s="1092"/>
      <c r="T7" s="1093" t="s">
        <v>688</v>
      </c>
      <c r="U7" s="1202" t="s">
        <v>687</v>
      </c>
      <c r="V7" s="1092"/>
      <c r="X7" s="1094">
        <v>98.4</v>
      </c>
    </row>
    <row r="8" spans="1:24" ht="16.5" thickBot="1" x14ac:dyDescent="0.3">
      <c r="A8" s="1167" t="s">
        <v>689</v>
      </c>
      <c r="B8" s="1175" t="s">
        <v>690</v>
      </c>
      <c r="C8" s="1175" t="s">
        <v>18</v>
      </c>
      <c r="D8" s="1111"/>
      <c r="E8" s="1190" t="s">
        <v>687</v>
      </c>
      <c r="F8" s="1190" t="s">
        <v>687</v>
      </c>
      <c r="G8" s="1190" t="s">
        <v>687</v>
      </c>
      <c r="H8" s="1190" t="s">
        <v>687</v>
      </c>
      <c r="I8" s="1190" t="s">
        <v>687</v>
      </c>
      <c r="J8" s="1190" t="s">
        <v>687</v>
      </c>
      <c r="K8" s="1190" t="s">
        <v>687</v>
      </c>
      <c r="L8" s="1190" t="s">
        <v>687</v>
      </c>
      <c r="M8" s="1195"/>
      <c r="N8" s="1190" t="s">
        <v>687</v>
      </c>
      <c r="O8" s="1190" t="s">
        <v>687</v>
      </c>
      <c r="P8" s="1196" t="s">
        <v>687</v>
      </c>
      <c r="R8" s="1198" t="s">
        <v>687</v>
      </c>
      <c r="S8" s="1092"/>
      <c r="T8" s="1095" t="s">
        <v>691</v>
      </c>
      <c r="U8" s="1203" t="s">
        <v>687</v>
      </c>
      <c r="V8" s="1092"/>
      <c r="X8" s="1094">
        <v>125.1</v>
      </c>
    </row>
    <row r="9" spans="1:24" x14ac:dyDescent="0.25">
      <c r="A9" s="1594" t="s">
        <v>21</v>
      </c>
      <c r="B9" s="1174" t="s">
        <v>692</v>
      </c>
      <c r="C9" s="1174" t="s">
        <v>693</v>
      </c>
      <c r="D9" s="1126"/>
      <c r="E9" s="1126"/>
      <c r="F9" s="1188" t="s">
        <v>687</v>
      </c>
      <c r="G9" s="1188" t="s">
        <v>687</v>
      </c>
      <c r="H9" s="1188" t="s">
        <v>687</v>
      </c>
      <c r="I9" s="1188" t="s">
        <v>687</v>
      </c>
      <c r="J9" s="1188" t="s">
        <v>687</v>
      </c>
      <c r="K9" s="1188" t="s">
        <v>687</v>
      </c>
      <c r="L9" s="1188" t="s">
        <v>687</v>
      </c>
      <c r="M9" s="1188" t="s">
        <v>687</v>
      </c>
      <c r="N9" s="1192"/>
      <c r="O9" s="1192"/>
      <c r="P9" s="1114"/>
      <c r="R9" s="1198" t="s">
        <v>687</v>
      </c>
      <c r="T9" s="1095" t="s">
        <v>694</v>
      </c>
      <c r="U9" s="1203" t="s">
        <v>687</v>
      </c>
      <c r="V9" s="1092"/>
      <c r="X9" s="1094">
        <v>150.80000000000001</v>
      </c>
    </row>
    <row r="10" spans="1:24" x14ac:dyDescent="0.25">
      <c r="A10" s="1595"/>
      <c r="B10" s="1176" t="s">
        <v>695</v>
      </c>
      <c r="C10" s="1176" t="s">
        <v>693</v>
      </c>
      <c r="D10" s="1112"/>
      <c r="E10" s="1112"/>
      <c r="F10" s="1113"/>
      <c r="G10" s="1113"/>
      <c r="H10" s="1113"/>
      <c r="I10" s="1113"/>
      <c r="J10" s="1113"/>
      <c r="K10" s="1113"/>
      <c r="L10" s="1113"/>
      <c r="M10" s="1113"/>
      <c r="N10" s="1112"/>
      <c r="O10" s="1112"/>
      <c r="P10" s="1115"/>
      <c r="R10" s="1159"/>
      <c r="T10" s="1095" t="s">
        <v>696</v>
      </c>
      <c r="U10" s="1203" t="s">
        <v>687</v>
      </c>
      <c r="V10" s="1092"/>
      <c r="X10" s="1094">
        <v>174.1</v>
      </c>
    </row>
    <row r="11" spans="1:24" ht="18.75" thickBot="1" x14ac:dyDescent="0.3">
      <c r="A11" s="1168" t="s">
        <v>697</v>
      </c>
      <c r="B11" s="1138" t="s">
        <v>698</v>
      </c>
      <c r="C11" s="1175"/>
      <c r="D11" s="1111"/>
      <c r="E11" s="1111"/>
      <c r="F11" s="1111"/>
      <c r="G11" s="1111"/>
      <c r="H11" s="1111"/>
      <c r="I11" s="1111"/>
      <c r="J11" s="1111"/>
      <c r="K11" s="1111"/>
      <c r="L11" s="1111"/>
      <c r="M11" s="1111"/>
      <c r="N11" s="1111"/>
      <c r="O11" s="1111"/>
      <c r="P11" s="1154" t="s">
        <v>687</v>
      </c>
      <c r="R11" s="1159"/>
      <c r="T11" s="1096" t="s">
        <v>699</v>
      </c>
      <c r="U11" s="1203" t="s">
        <v>687</v>
      </c>
      <c r="V11" s="1092"/>
      <c r="X11" s="1094">
        <v>195.9</v>
      </c>
    </row>
    <row r="12" spans="1:24" ht="16.5" thickBot="1" x14ac:dyDescent="0.3">
      <c r="A12" s="1169" t="s">
        <v>700</v>
      </c>
      <c r="B12" s="1142" t="s">
        <v>701</v>
      </c>
      <c r="C12" s="1177" t="s">
        <v>702</v>
      </c>
      <c r="D12" s="1146" t="s">
        <v>687</v>
      </c>
      <c r="E12" s="1124"/>
      <c r="F12" s="1124"/>
      <c r="G12" s="1124"/>
      <c r="H12" s="1124"/>
      <c r="I12" s="1124"/>
      <c r="J12" s="1124"/>
      <c r="K12" s="1124"/>
      <c r="L12" s="1124"/>
      <c r="M12" s="1124"/>
      <c r="N12" s="1124"/>
      <c r="O12" s="1124"/>
      <c r="P12" s="1125"/>
      <c r="R12" s="1159"/>
      <c r="S12" s="1097"/>
      <c r="T12" s="1096" t="s">
        <v>703</v>
      </c>
      <c r="U12" s="1203" t="s">
        <v>687</v>
      </c>
      <c r="V12" s="1092"/>
      <c r="X12" s="1094">
        <v>216.3</v>
      </c>
    </row>
    <row r="13" spans="1:24" ht="18" x14ac:dyDescent="0.25">
      <c r="A13" s="1166" t="s">
        <v>704</v>
      </c>
      <c r="B13" s="1584" t="s">
        <v>705</v>
      </c>
      <c r="C13" s="1584" t="s">
        <v>28</v>
      </c>
      <c r="D13" s="1126"/>
      <c r="E13" s="1126"/>
      <c r="F13" s="1126"/>
      <c r="G13" s="1126"/>
      <c r="H13" s="1126"/>
      <c r="I13" s="1188" t="s">
        <v>687</v>
      </c>
      <c r="J13" s="1188" t="s">
        <v>687</v>
      </c>
      <c r="K13" s="1126"/>
      <c r="L13" s="1126"/>
      <c r="M13" s="1126"/>
      <c r="N13" s="1126"/>
      <c r="O13" s="1126"/>
      <c r="P13" s="1114"/>
      <c r="R13" s="1159"/>
      <c r="S13" s="1097"/>
      <c r="T13" s="1096" t="s">
        <v>706</v>
      </c>
      <c r="U13" s="1203" t="s">
        <v>687</v>
      </c>
      <c r="V13" s="1092"/>
      <c r="X13" s="1094">
        <v>234.8</v>
      </c>
    </row>
    <row r="14" spans="1:24" ht="18" x14ac:dyDescent="0.25">
      <c r="A14" s="1170" t="s">
        <v>707</v>
      </c>
      <c r="B14" s="1580"/>
      <c r="C14" s="1580"/>
      <c r="D14" s="1183" t="s">
        <v>687</v>
      </c>
      <c r="E14" s="1113"/>
      <c r="F14" s="1113"/>
      <c r="G14" s="1113"/>
      <c r="H14" s="1113"/>
      <c r="I14" s="1113"/>
      <c r="J14" s="1113"/>
      <c r="K14" s="1183" t="s">
        <v>687</v>
      </c>
      <c r="L14" s="1183" t="s">
        <v>687</v>
      </c>
      <c r="M14" s="1113"/>
      <c r="N14" s="1113"/>
      <c r="O14" s="1113"/>
      <c r="P14" s="1115"/>
      <c r="R14" s="1159"/>
      <c r="S14" s="1097"/>
      <c r="T14" s="1098" t="s">
        <v>708</v>
      </c>
      <c r="U14" s="1203" t="s">
        <v>687</v>
      </c>
      <c r="V14" s="1092"/>
      <c r="X14" s="1094">
        <v>252</v>
      </c>
    </row>
    <row r="15" spans="1:24" ht="18" x14ac:dyDescent="0.25">
      <c r="A15" s="1170" t="s">
        <v>709</v>
      </c>
      <c r="B15" s="1580"/>
      <c r="C15" s="1580"/>
      <c r="D15" s="1113"/>
      <c r="E15" s="1113"/>
      <c r="F15" s="1113"/>
      <c r="G15" s="1113"/>
      <c r="H15" s="1113"/>
      <c r="I15" s="1113"/>
      <c r="J15" s="1113"/>
      <c r="K15" s="1113"/>
      <c r="L15" s="1113"/>
      <c r="M15" s="1113"/>
      <c r="N15" s="1113"/>
      <c r="O15" s="1113"/>
      <c r="P15" s="1115"/>
      <c r="R15" s="1159"/>
      <c r="S15" s="1099"/>
      <c r="T15" s="1096" t="s">
        <v>710</v>
      </c>
      <c r="U15" s="1203" t="s">
        <v>687</v>
      </c>
      <c r="V15" s="1092"/>
      <c r="X15" s="1094">
        <v>267</v>
      </c>
    </row>
    <row r="16" spans="1:24" ht="18" x14ac:dyDescent="0.25">
      <c r="A16" s="1170" t="s">
        <v>711</v>
      </c>
      <c r="B16" s="1580"/>
      <c r="C16" s="1580"/>
      <c r="D16" s="1113"/>
      <c r="E16" s="1113"/>
      <c r="F16" s="1113"/>
      <c r="G16" s="1113"/>
      <c r="H16" s="1113"/>
      <c r="I16" s="1113"/>
      <c r="J16" s="1113"/>
      <c r="K16" s="1113"/>
      <c r="L16" s="1113"/>
      <c r="M16" s="1113"/>
      <c r="N16" s="1113"/>
      <c r="O16" s="1183" t="s">
        <v>687</v>
      </c>
      <c r="P16" s="1185" t="s">
        <v>687</v>
      </c>
      <c r="R16" s="1159"/>
      <c r="S16" s="1099"/>
      <c r="T16" s="1100" t="s">
        <v>712</v>
      </c>
      <c r="U16" s="1203" t="s">
        <v>687</v>
      </c>
      <c r="V16" s="1092"/>
      <c r="X16" s="1094">
        <v>287</v>
      </c>
    </row>
    <row r="17" spans="1:24" ht="18.75" thickBot="1" x14ac:dyDescent="0.3">
      <c r="A17" s="1170" t="s">
        <v>713</v>
      </c>
      <c r="B17" s="1580"/>
      <c r="C17" s="1580"/>
      <c r="D17" s="1113"/>
      <c r="E17" s="1113"/>
      <c r="F17" s="1113"/>
      <c r="G17" s="1113"/>
      <c r="H17" s="1113"/>
      <c r="I17" s="1113"/>
      <c r="J17" s="1113"/>
      <c r="K17" s="1113"/>
      <c r="L17" s="1113"/>
      <c r="M17" s="1113"/>
      <c r="N17" s="1113"/>
      <c r="O17" s="1113"/>
      <c r="P17" s="1113"/>
      <c r="R17" s="1159"/>
      <c r="S17" s="1097"/>
      <c r="T17" s="1096" t="s">
        <v>714</v>
      </c>
      <c r="U17" s="1203" t="s">
        <v>687</v>
      </c>
      <c r="V17" s="1092"/>
    </row>
    <row r="18" spans="1:24" ht="16.5" thickBot="1" x14ac:dyDescent="0.3">
      <c r="A18" s="1594" t="s">
        <v>34</v>
      </c>
      <c r="B18" s="1174" t="s">
        <v>715</v>
      </c>
      <c r="C18" s="1174" t="s">
        <v>36</v>
      </c>
      <c r="D18" s="1188" t="s">
        <v>687</v>
      </c>
      <c r="E18" s="1126"/>
      <c r="F18" s="1126"/>
      <c r="G18" s="1126"/>
      <c r="H18" s="1126"/>
      <c r="I18" s="1126"/>
      <c r="J18" s="1126"/>
      <c r="K18" s="1126"/>
      <c r="L18" s="1126"/>
      <c r="M18" s="1126"/>
      <c r="N18" s="1188" t="s">
        <v>687</v>
      </c>
      <c r="O18" s="1188" t="s">
        <v>687</v>
      </c>
      <c r="P18" s="1199" t="s">
        <v>687</v>
      </c>
      <c r="R18" s="1162"/>
      <c r="S18" s="1097"/>
      <c r="T18" s="1101" t="s">
        <v>716</v>
      </c>
      <c r="U18" s="1204" t="s">
        <v>687</v>
      </c>
      <c r="V18" s="1097"/>
    </row>
    <row r="19" spans="1:24" x14ac:dyDescent="0.25">
      <c r="A19" s="1595"/>
      <c r="B19" s="1580" t="s">
        <v>717</v>
      </c>
      <c r="C19" s="1176" t="s">
        <v>36</v>
      </c>
      <c r="D19" s="1113"/>
      <c r="E19" s="1113"/>
      <c r="F19" s="1113"/>
      <c r="G19" s="1113"/>
      <c r="H19" s="1183" t="s">
        <v>687</v>
      </c>
      <c r="I19" s="1183" t="s">
        <v>687</v>
      </c>
      <c r="J19" s="1183" t="s">
        <v>687</v>
      </c>
      <c r="K19" s="1183" t="s">
        <v>687</v>
      </c>
      <c r="L19" s="1183" t="s">
        <v>687</v>
      </c>
      <c r="M19" s="1113"/>
      <c r="N19" s="1113"/>
      <c r="O19" s="1113"/>
      <c r="P19" s="1115"/>
      <c r="R19" s="1198" t="s">
        <v>687</v>
      </c>
      <c r="S19" s="1097"/>
      <c r="T19" s="1102"/>
      <c r="U19" s="1097"/>
      <c r="V19" s="1220"/>
    </row>
    <row r="20" spans="1:24" ht="16.5" thickBot="1" x14ac:dyDescent="0.3">
      <c r="A20" s="1596"/>
      <c r="B20" s="1582"/>
      <c r="C20" s="1175" t="s">
        <v>718</v>
      </c>
      <c r="D20" s="1111"/>
      <c r="E20" s="1111"/>
      <c r="F20" s="1111"/>
      <c r="G20" s="1111"/>
      <c r="H20" s="1111"/>
      <c r="I20" s="1111"/>
      <c r="J20" s="1111"/>
      <c r="K20" s="1111"/>
      <c r="L20" s="1111"/>
      <c r="M20" s="1111"/>
      <c r="N20" s="1111"/>
      <c r="O20" s="1111"/>
      <c r="P20" s="1127"/>
      <c r="R20" s="1161"/>
      <c r="S20" s="1097"/>
      <c r="T20" s="1102"/>
      <c r="U20" s="1097"/>
      <c r="V20" s="1220"/>
    </row>
    <row r="21" spans="1:24" ht="16.5" thickBot="1" x14ac:dyDescent="0.3">
      <c r="A21" s="1169" t="s">
        <v>719</v>
      </c>
      <c r="B21" s="1151" t="s">
        <v>720</v>
      </c>
      <c r="C21" s="1177" t="s">
        <v>718</v>
      </c>
      <c r="D21" s="1152" t="s">
        <v>687</v>
      </c>
      <c r="E21" s="1124"/>
      <c r="F21" s="1152" t="s">
        <v>687</v>
      </c>
      <c r="G21" s="1124"/>
      <c r="H21" s="1152" t="s">
        <v>687</v>
      </c>
      <c r="I21" s="1152" t="s">
        <v>687</v>
      </c>
      <c r="J21" s="1152" t="s">
        <v>687</v>
      </c>
      <c r="K21" s="1152" t="s">
        <v>687</v>
      </c>
      <c r="L21" s="1124"/>
      <c r="M21" s="1124"/>
      <c r="N21" s="1124"/>
      <c r="O21" s="1124"/>
      <c r="P21" s="1125"/>
      <c r="R21" s="1158" t="s">
        <v>687</v>
      </c>
      <c r="S21" s="1097"/>
      <c r="T21" s="1597" t="s">
        <v>721</v>
      </c>
      <c r="U21" s="1598"/>
      <c r="V21" s="1097"/>
    </row>
    <row r="22" spans="1:24" ht="16.5" thickBot="1" x14ac:dyDescent="0.3">
      <c r="A22" s="1169" t="s">
        <v>722</v>
      </c>
      <c r="B22" s="1142" t="s">
        <v>723</v>
      </c>
      <c r="C22" s="1178" t="s">
        <v>724</v>
      </c>
      <c r="D22" s="1124"/>
      <c r="E22" s="1124"/>
      <c r="F22" s="1124"/>
      <c r="G22" s="1124"/>
      <c r="H22" s="1146" t="s">
        <v>687</v>
      </c>
      <c r="I22" s="1146" t="s">
        <v>687</v>
      </c>
      <c r="J22" s="1146" t="s">
        <v>687</v>
      </c>
      <c r="K22" s="1146" t="s">
        <v>687</v>
      </c>
      <c r="L22" s="1124"/>
      <c r="M22" s="1124"/>
      <c r="N22" s="1124"/>
      <c r="O22" s="1124"/>
      <c r="P22" s="1125"/>
      <c r="R22" s="1159"/>
      <c r="S22" s="1097"/>
      <c r="T22" s="1155" t="s">
        <v>827</v>
      </c>
      <c r="U22" s="1165" t="s">
        <v>725</v>
      </c>
      <c r="V22" s="1097"/>
      <c r="X22" s="1103" t="s">
        <v>726</v>
      </c>
    </row>
    <row r="23" spans="1:24" x14ac:dyDescent="0.25">
      <c r="A23" s="1599" t="s">
        <v>727</v>
      </c>
      <c r="B23" s="1145" t="s">
        <v>728</v>
      </c>
      <c r="C23" s="1179" t="s">
        <v>724</v>
      </c>
      <c r="D23" s="1126"/>
      <c r="E23" s="1126"/>
      <c r="F23" s="1126"/>
      <c r="G23" s="1126"/>
      <c r="H23" s="1147" t="s">
        <v>687</v>
      </c>
      <c r="I23" s="1147" t="s">
        <v>687</v>
      </c>
      <c r="J23" s="1126"/>
      <c r="K23" s="1126"/>
      <c r="L23" s="1126"/>
      <c r="M23" s="1126"/>
      <c r="N23" s="1126"/>
      <c r="O23" s="1126"/>
      <c r="P23" s="1114"/>
      <c r="R23" s="1159"/>
      <c r="S23" s="1097"/>
      <c r="T23" s="1200" t="s">
        <v>729</v>
      </c>
      <c r="U23" s="1205" t="s">
        <v>687</v>
      </c>
      <c r="V23" s="1097"/>
      <c r="X23" s="1103" t="s">
        <v>730</v>
      </c>
    </row>
    <row r="24" spans="1:24" ht="16.5" thickBot="1" x14ac:dyDescent="0.3">
      <c r="A24" s="1600"/>
      <c r="B24" s="1138" t="s">
        <v>731</v>
      </c>
      <c r="C24" s="1180" t="s">
        <v>724</v>
      </c>
      <c r="D24" s="1111"/>
      <c r="E24" s="1111"/>
      <c r="F24" s="1111"/>
      <c r="G24" s="1111"/>
      <c r="H24" s="1111"/>
      <c r="I24" s="1111"/>
      <c r="J24" s="1148" t="s">
        <v>687</v>
      </c>
      <c r="K24" s="1148" t="s">
        <v>687</v>
      </c>
      <c r="L24" s="1148" t="s">
        <v>687</v>
      </c>
      <c r="M24" s="1111"/>
      <c r="N24" s="1111"/>
      <c r="O24" s="1111"/>
      <c r="P24" s="1127"/>
      <c r="R24" s="1159"/>
      <c r="S24" s="1097"/>
      <c r="T24" s="1104" t="s">
        <v>732</v>
      </c>
      <c r="U24" s="1206" t="s">
        <v>687</v>
      </c>
      <c r="V24" s="1097"/>
      <c r="X24" s="1103" t="s">
        <v>733</v>
      </c>
    </row>
    <row r="25" spans="1:24" x14ac:dyDescent="0.25">
      <c r="A25" s="1594" t="s">
        <v>734</v>
      </c>
      <c r="B25" s="1143" t="s">
        <v>735</v>
      </c>
      <c r="C25" s="1584" t="s">
        <v>736</v>
      </c>
      <c r="D25" s="1126"/>
      <c r="E25" s="1126"/>
      <c r="F25" s="1126"/>
      <c r="G25" s="1126"/>
      <c r="H25" s="1126"/>
      <c r="I25" s="1132"/>
      <c r="J25" s="1132"/>
      <c r="K25" s="1132"/>
      <c r="L25" s="1132"/>
      <c r="M25" s="1126"/>
      <c r="N25" s="1126"/>
      <c r="O25" s="1126"/>
      <c r="P25" s="1114"/>
      <c r="R25" s="1160"/>
      <c r="S25" s="1105"/>
      <c r="T25" s="1104" t="s">
        <v>737</v>
      </c>
      <c r="U25" s="1206" t="s">
        <v>687</v>
      </c>
      <c r="V25" s="1097"/>
      <c r="X25" s="1103" t="s">
        <v>738</v>
      </c>
    </row>
    <row r="26" spans="1:24" ht="16.5" thickBot="1" x14ac:dyDescent="0.3">
      <c r="A26" s="1596"/>
      <c r="B26" s="1144" t="s">
        <v>739</v>
      </c>
      <c r="C26" s="1582"/>
      <c r="D26" s="1149" t="s">
        <v>687</v>
      </c>
      <c r="E26" s="1128"/>
      <c r="F26" s="1128"/>
      <c r="G26" s="1128"/>
      <c r="H26" s="1128"/>
      <c r="I26" s="1128"/>
      <c r="J26" s="1128"/>
      <c r="K26" s="1128"/>
      <c r="L26" s="1128"/>
      <c r="M26" s="1149" t="s">
        <v>687</v>
      </c>
      <c r="N26" s="1149" t="s">
        <v>687</v>
      </c>
      <c r="O26" s="1149" t="s">
        <v>687</v>
      </c>
      <c r="P26" s="1150" t="s">
        <v>687</v>
      </c>
      <c r="R26" s="1161"/>
      <c r="S26" s="1097"/>
      <c r="T26" s="1104" t="s">
        <v>740</v>
      </c>
      <c r="U26" s="1206" t="s">
        <v>687</v>
      </c>
      <c r="V26" s="1097"/>
      <c r="X26" s="1103" t="s">
        <v>741</v>
      </c>
    </row>
    <row r="27" spans="1:24" x14ac:dyDescent="0.25">
      <c r="A27" s="1166" t="s">
        <v>39</v>
      </c>
      <c r="B27" s="1174" t="s">
        <v>742</v>
      </c>
      <c r="C27" s="1174" t="s">
        <v>718</v>
      </c>
      <c r="D27" s="1188" t="s">
        <v>687</v>
      </c>
      <c r="E27" s="1126"/>
      <c r="F27" s="1188" t="s">
        <v>687</v>
      </c>
      <c r="G27" s="1188" t="s">
        <v>687</v>
      </c>
      <c r="H27" s="1188" t="s">
        <v>687</v>
      </c>
      <c r="I27" s="1188" t="s">
        <v>687</v>
      </c>
      <c r="J27" s="1188" t="s">
        <v>687</v>
      </c>
      <c r="K27" s="1192" t="s">
        <v>687</v>
      </c>
      <c r="L27" s="1192" t="s">
        <v>687</v>
      </c>
      <c r="M27" s="1126"/>
      <c r="N27" s="1188" t="s">
        <v>687</v>
      </c>
      <c r="O27" s="1188" t="s">
        <v>687</v>
      </c>
      <c r="P27" s="1114"/>
      <c r="R27" s="1162"/>
      <c r="S27" s="1097"/>
      <c r="T27" s="1104" t="s">
        <v>743</v>
      </c>
      <c r="U27" s="1206" t="s">
        <v>687</v>
      </c>
      <c r="V27" s="1097"/>
      <c r="X27" s="1103" t="s">
        <v>744</v>
      </c>
    </row>
    <row r="28" spans="1:24" ht="16.5" thickBot="1" x14ac:dyDescent="0.3">
      <c r="A28" s="1167" t="s">
        <v>745</v>
      </c>
      <c r="B28" s="1144" t="s">
        <v>746</v>
      </c>
      <c r="C28" s="1175" t="s">
        <v>718</v>
      </c>
      <c r="D28" s="1149" t="s">
        <v>687</v>
      </c>
      <c r="E28" s="1129"/>
      <c r="F28" s="1129"/>
      <c r="G28" s="1129"/>
      <c r="H28" s="1129"/>
      <c r="I28" s="1129"/>
      <c r="J28" s="1129"/>
      <c r="K28" s="1129"/>
      <c r="L28" s="1129"/>
      <c r="M28" s="1129"/>
      <c r="N28" s="1149" t="s">
        <v>687</v>
      </c>
      <c r="O28" s="1149" t="s">
        <v>687</v>
      </c>
      <c r="P28" s="1127"/>
      <c r="R28" s="1163"/>
      <c r="S28" s="1097"/>
      <c r="T28" s="1104" t="s">
        <v>747</v>
      </c>
      <c r="U28" s="1206" t="s">
        <v>687</v>
      </c>
      <c r="V28" s="1097"/>
      <c r="X28" s="1103" t="s">
        <v>748</v>
      </c>
    </row>
    <row r="29" spans="1:24" ht="16.5" thickBot="1" x14ac:dyDescent="0.3">
      <c r="A29" s="1169" t="s">
        <v>749</v>
      </c>
      <c r="B29" s="1142" t="s">
        <v>750</v>
      </c>
      <c r="C29" s="1178" t="s">
        <v>724</v>
      </c>
      <c r="D29" s="1146" t="s">
        <v>687</v>
      </c>
      <c r="E29" s="1124"/>
      <c r="F29" s="1124"/>
      <c r="G29" s="1124"/>
      <c r="H29" s="1124"/>
      <c r="I29" s="1124"/>
      <c r="J29" s="1124"/>
      <c r="K29" s="1124"/>
      <c r="L29" s="1124"/>
      <c r="M29" s="1124"/>
      <c r="N29" s="1124"/>
      <c r="O29" s="1124"/>
      <c r="P29" s="1125"/>
      <c r="R29" s="1162"/>
      <c r="S29" s="1097"/>
      <c r="T29" s="1104" t="s">
        <v>751</v>
      </c>
      <c r="U29" s="1206" t="s">
        <v>687</v>
      </c>
      <c r="V29" s="1097"/>
      <c r="X29" s="1103" t="s">
        <v>752</v>
      </c>
    </row>
    <row r="30" spans="1:24" x14ac:dyDescent="0.25">
      <c r="A30" s="1166" t="s">
        <v>753</v>
      </c>
      <c r="B30" s="1584" t="s">
        <v>754</v>
      </c>
      <c r="C30" s="1584" t="s">
        <v>718</v>
      </c>
      <c r="D30" s="1126"/>
      <c r="E30" s="1126"/>
      <c r="F30" s="1126"/>
      <c r="G30" s="1126"/>
      <c r="H30" s="1126"/>
      <c r="I30" s="1126"/>
      <c r="J30" s="1126"/>
      <c r="K30" s="1192" t="s">
        <v>687</v>
      </c>
      <c r="L30" s="1192" t="s">
        <v>687</v>
      </c>
      <c r="M30" s="1126"/>
      <c r="N30" s="1126"/>
      <c r="O30" s="1126"/>
      <c r="P30" s="1188" t="s">
        <v>687</v>
      </c>
      <c r="R30" s="1162"/>
      <c r="S30" s="1097"/>
      <c r="T30" s="1104" t="s">
        <v>755</v>
      </c>
      <c r="U30" s="1206" t="s">
        <v>687</v>
      </c>
      <c r="V30" s="1097"/>
      <c r="X30" s="1103"/>
    </row>
    <row r="31" spans="1:24" x14ac:dyDescent="0.25">
      <c r="A31" s="1170" t="s">
        <v>756</v>
      </c>
      <c r="B31" s="1580"/>
      <c r="C31" s="1580"/>
      <c r="D31" s="1113"/>
      <c r="E31" s="1113"/>
      <c r="F31" s="1113"/>
      <c r="G31" s="1113"/>
      <c r="H31" s="1113"/>
      <c r="I31" s="1113"/>
      <c r="J31" s="1113"/>
      <c r="K31" s="1184" t="s">
        <v>687</v>
      </c>
      <c r="L31" s="1184" t="s">
        <v>687</v>
      </c>
      <c r="M31" s="1113"/>
      <c r="N31" s="1113"/>
      <c r="O31" s="1113"/>
      <c r="P31" s="1183" t="s">
        <v>687</v>
      </c>
      <c r="R31" s="1162"/>
      <c r="S31" s="1097"/>
      <c r="T31" s="1104" t="s">
        <v>757</v>
      </c>
      <c r="U31" s="1206" t="s">
        <v>687</v>
      </c>
      <c r="V31" s="1097"/>
      <c r="X31" s="1103"/>
    </row>
    <row r="32" spans="1:24" ht="16.5" thickBot="1" x14ac:dyDescent="0.3">
      <c r="A32" s="1167" t="s">
        <v>758</v>
      </c>
      <c r="B32" s="1582"/>
      <c r="C32" s="1582"/>
      <c r="D32" s="1111"/>
      <c r="E32" s="1111"/>
      <c r="F32" s="1111"/>
      <c r="G32" s="1111"/>
      <c r="H32" s="1111"/>
      <c r="I32" s="1111"/>
      <c r="J32" s="1111"/>
      <c r="K32" s="1111"/>
      <c r="L32" s="1111"/>
      <c r="M32" s="1111"/>
      <c r="N32" s="1111"/>
      <c r="O32" s="1111"/>
      <c r="P32" s="1190" t="s">
        <v>687</v>
      </c>
      <c r="R32" s="1162"/>
      <c r="S32" s="1097"/>
      <c r="T32" s="1104" t="s">
        <v>759</v>
      </c>
      <c r="U32" s="1206" t="s">
        <v>687</v>
      </c>
      <c r="V32" s="1097"/>
      <c r="X32" s="1103"/>
    </row>
    <row r="33" spans="1:24" x14ac:dyDescent="0.25">
      <c r="A33" s="1166" t="s">
        <v>753</v>
      </c>
      <c r="B33" s="1584" t="s">
        <v>760</v>
      </c>
      <c r="C33" s="1584" t="s">
        <v>718</v>
      </c>
      <c r="D33" s="1126"/>
      <c r="E33" s="1126"/>
      <c r="F33" s="1126"/>
      <c r="G33" s="1126"/>
      <c r="H33" s="1126"/>
      <c r="I33" s="1126"/>
      <c r="J33" s="1126"/>
      <c r="K33" s="1126"/>
      <c r="L33" s="1126"/>
      <c r="M33" s="1126"/>
      <c r="N33" s="1126"/>
      <c r="O33" s="1188" t="s">
        <v>687</v>
      </c>
      <c r="P33" s="1126"/>
      <c r="R33" s="1162"/>
      <c r="S33" s="1097"/>
      <c r="T33" s="1104" t="s">
        <v>761</v>
      </c>
      <c r="U33" s="1206" t="s">
        <v>687</v>
      </c>
      <c r="V33" s="1097"/>
      <c r="X33" s="1103" t="s">
        <v>762</v>
      </c>
    </row>
    <row r="34" spans="1:24" x14ac:dyDescent="0.25">
      <c r="A34" s="1170" t="s">
        <v>756</v>
      </c>
      <c r="B34" s="1580"/>
      <c r="C34" s="1580"/>
      <c r="D34" s="1113"/>
      <c r="E34" s="1113"/>
      <c r="F34" s="1113"/>
      <c r="G34" s="1113"/>
      <c r="H34" s="1113"/>
      <c r="I34" s="1113"/>
      <c r="J34" s="1113"/>
      <c r="K34" s="1113"/>
      <c r="L34" s="1113"/>
      <c r="M34" s="1113"/>
      <c r="N34" s="1113"/>
      <c r="O34" s="1183" t="s">
        <v>687</v>
      </c>
      <c r="P34" s="1113"/>
      <c r="R34" s="1162"/>
      <c r="S34" s="1097"/>
      <c r="T34" s="1104" t="s">
        <v>763</v>
      </c>
      <c r="U34" s="1206" t="s">
        <v>687</v>
      </c>
      <c r="V34" s="1097"/>
      <c r="X34" s="1103" t="s">
        <v>764</v>
      </c>
    </row>
    <row r="35" spans="1:24" x14ac:dyDescent="0.25">
      <c r="A35" s="1171" t="s">
        <v>758</v>
      </c>
      <c r="B35" s="1581"/>
      <c r="C35" s="1581"/>
      <c r="D35" s="1130"/>
      <c r="E35" s="1130"/>
      <c r="F35" s="1130"/>
      <c r="G35" s="1130"/>
      <c r="H35" s="1130"/>
      <c r="I35" s="1130"/>
      <c r="J35" s="1130"/>
      <c r="K35" s="1130"/>
      <c r="L35" s="1130"/>
      <c r="M35" s="1130"/>
      <c r="N35" s="1130"/>
      <c r="O35" s="1189" t="s">
        <v>687</v>
      </c>
      <c r="P35" s="1130"/>
      <c r="R35" s="1162"/>
      <c r="S35" s="1097"/>
      <c r="T35" s="1104" t="s">
        <v>765</v>
      </c>
      <c r="U35" s="1206" t="s">
        <v>687</v>
      </c>
      <c r="V35" s="1097"/>
      <c r="X35" s="1103" t="s">
        <v>766</v>
      </c>
    </row>
    <row r="36" spans="1:24" ht="16.5" thickBot="1" x14ac:dyDescent="0.3">
      <c r="A36" s="1171" t="s">
        <v>767</v>
      </c>
      <c r="B36" s="1181"/>
      <c r="C36" s="1181"/>
      <c r="D36" s="1130"/>
      <c r="E36" s="1130"/>
      <c r="F36" s="1130"/>
      <c r="G36" s="1130"/>
      <c r="H36" s="1130"/>
      <c r="I36" s="1130"/>
      <c r="J36" s="1130"/>
      <c r="K36" s="1191" t="s">
        <v>687</v>
      </c>
      <c r="L36" s="1191" t="s">
        <v>687</v>
      </c>
      <c r="M36" s="1130"/>
      <c r="N36" s="1130"/>
      <c r="O36" s="1133"/>
      <c r="P36" s="1130"/>
      <c r="R36" s="1162"/>
      <c r="S36" s="1097"/>
      <c r="T36" s="1104" t="s">
        <v>770</v>
      </c>
      <c r="U36" s="1206" t="s">
        <v>687</v>
      </c>
      <c r="V36" s="1097"/>
      <c r="X36" s="1103"/>
    </row>
    <row r="37" spans="1:24" x14ac:dyDescent="0.25">
      <c r="A37" s="1166" t="s">
        <v>768</v>
      </c>
      <c r="B37" s="1591" t="s">
        <v>769</v>
      </c>
      <c r="C37" s="1585" t="s">
        <v>36</v>
      </c>
      <c r="D37" s="1126"/>
      <c r="E37" s="1126"/>
      <c r="F37" s="1606" t="s">
        <v>687</v>
      </c>
      <c r="G37" s="1606"/>
      <c r="H37" s="1606"/>
      <c r="I37" s="1126"/>
      <c r="J37" s="1126"/>
      <c r="K37" s="1126"/>
      <c r="L37" s="1126"/>
      <c r="M37" s="1126"/>
      <c r="N37" s="1126"/>
      <c r="O37" s="1126"/>
      <c r="P37" s="1114"/>
      <c r="R37" s="1162"/>
      <c r="S37" s="1097"/>
      <c r="T37" s="1104" t="s">
        <v>773</v>
      </c>
      <c r="U37" s="1206" t="s">
        <v>687</v>
      </c>
      <c r="V37" s="1097"/>
      <c r="X37" s="1103" t="s">
        <v>771</v>
      </c>
    </row>
    <row r="38" spans="1:24" x14ac:dyDescent="0.25">
      <c r="A38" s="1170" t="s">
        <v>772</v>
      </c>
      <c r="B38" s="1592"/>
      <c r="C38" s="1586"/>
      <c r="D38" s="1113"/>
      <c r="E38" s="1113"/>
      <c r="F38" s="1607" t="s">
        <v>687</v>
      </c>
      <c r="G38" s="1607"/>
      <c r="H38" s="1607"/>
      <c r="I38" s="1113"/>
      <c r="J38" s="1113"/>
      <c r="K38" s="1113"/>
      <c r="L38" s="1113"/>
      <c r="M38" s="1113"/>
      <c r="N38" s="1113"/>
      <c r="O38" s="1113"/>
      <c r="P38" s="1115"/>
      <c r="R38" s="1162"/>
      <c r="S38" s="1097"/>
      <c r="T38" s="1104" t="s">
        <v>776</v>
      </c>
      <c r="U38" s="1206" t="s">
        <v>687</v>
      </c>
      <c r="V38" s="1097"/>
      <c r="X38" s="1103" t="s">
        <v>774</v>
      </c>
    </row>
    <row r="39" spans="1:24" x14ac:dyDescent="0.25">
      <c r="A39" s="1170" t="s">
        <v>775</v>
      </c>
      <c r="B39" s="1592"/>
      <c r="C39" s="1586"/>
      <c r="D39" s="1113"/>
      <c r="E39" s="1113"/>
      <c r="F39" s="1607" t="s">
        <v>687</v>
      </c>
      <c r="G39" s="1607"/>
      <c r="H39" s="1607"/>
      <c r="I39" s="1113"/>
      <c r="J39" s="1113"/>
      <c r="K39" s="1113"/>
      <c r="L39" s="1113"/>
      <c r="M39" s="1113"/>
      <c r="N39" s="1113"/>
      <c r="O39" s="1113"/>
      <c r="P39" s="1115"/>
      <c r="R39" s="1162"/>
      <c r="S39" s="1097"/>
      <c r="T39" s="1104" t="s">
        <v>779</v>
      </c>
      <c r="U39" s="1206" t="s">
        <v>687</v>
      </c>
      <c r="V39" s="1097"/>
      <c r="X39" s="1103" t="s">
        <v>777</v>
      </c>
    </row>
    <row r="40" spans="1:24" x14ac:dyDescent="0.25">
      <c r="A40" s="1170" t="s">
        <v>778</v>
      </c>
      <c r="B40" s="1592"/>
      <c r="C40" s="1586"/>
      <c r="D40" s="1113"/>
      <c r="E40" s="1113"/>
      <c r="F40" s="1607" t="s">
        <v>687</v>
      </c>
      <c r="G40" s="1607"/>
      <c r="H40" s="1607"/>
      <c r="I40" s="1113"/>
      <c r="J40" s="1113"/>
      <c r="K40" s="1113"/>
      <c r="L40" s="1113"/>
      <c r="M40" s="1113"/>
      <c r="N40" s="1113"/>
      <c r="O40" s="1113"/>
      <c r="P40" s="1115"/>
      <c r="R40" s="1162"/>
      <c r="S40" s="1097"/>
      <c r="T40" s="1104" t="s">
        <v>782</v>
      </c>
      <c r="U40" s="1206" t="s">
        <v>687</v>
      </c>
      <c r="V40" s="1097"/>
      <c r="X40" s="1103" t="s">
        <v>780</v>
      </c>
    </row>
    <row r="41" spans="1:24" ht="16.5" thickBot="1" x14ac:dyDescent="0.3">
      <c r="A41" s="1167" t="s">
        <v>781</v>
      </c>
      <c r="B41" s="1593"/>
      <c r="C41" s="1587"/>
      <c r="D41" s="1111"/>
      <c r="E41" s="1111"/>
      <c r="F41" s="1608" t="s">
        <v>687</v>
      </c>
      <c r="G41" s="1608"/>
      <c r="H41" s="1608"/>
      <c r="I41" s="1111"/>
      <c r="J41" s="1111"/>
      <c r="K41" s="1111"/>
      <c r="L41" s="1111"/>
      <c r="M41" s="1111"/>
      <c r="N41" s="1111"/>
      <c r="O41" s="1111"/>
      <c r="P41" s="1127"/>
      <c r="R41" s="1162"/>
      <c r="S41" s="1097"/>
      <c r="T41" s="1106" t="s">
        <v>786</v>
      </c>
      <c r="U41" s="1206" t="s">
        <v>687</v>
      </c>
      <c r="V41" s="1097"/>
      <c r="X41" s="1103" t="s">
        <v>783</v>
      </c>
    </row>
    <row r="42" spans="1:24" x14ac:dyDescent="0.25">
      <c r="A42" s="1172" t="s">
        <v>784</v>
      </c>
      <c r="B42" s="1575" t="s">
        <v>785</v>
      </c>
      <c r="C42" s="1579" t="s">
        <v>36</v>
      </c>
      <c r="D42" s="1131"/>
      <c r="E42" s="1131"/>
      <c r="F42" s="1131"/>
      <c r="G42" s="1131"/>
      <c r="H42" s="1131"/>
      <c r="I42" s="1156" t="s">
        <v>687</v>
      </c>
      <c r="J42" s="1156" t="s">
        <v>687</v>
      </c>
      <c r="K42" s="1156" t="s">
        <v>687</v>
      </c>
      <c r="L42" s="1156" t="s">
        <v>687</v>
      </c>
      <c r="M42" s="1131"/>
      <c r="N42" s="1131"/>
      <c r="O42" s="1131"/>
      <c r="P42" s="1134"/>
      <c r="R42" s="1162"/>
      <c r="S42" s="1097"/>
      <c r="T42" s="1107" t="s">
        <v>788</v>
      </c>
      <c r="U42" s="1206" t="s">
        <v>687</v>
      </c>
      <c r="V42" s="1097"/>
      <c r="X42" s="1103" t="s">
        <v>774</v>
      </c>
    </row>
    <row r="43" spans="1:24" x14ac:dyDescent="0.25">
      <c r="A43" s="1170" t="s">
        <v>787</v>
      </c>
      <c r="B43" s="1576"/>
      <c r="C43" s="1580"/>
      <c r="D43" s="1113"/>
      <c r="E43" s="1113"/>
      <c r="F43" s="1113"/>
      <c r="G43" s="1113"/>
      <c r="H43" s="1113"/>
      <c r="I43" s="1140" t="s">
        <v>687</v>
      </c>
      <c r="J43" s="1140" t="s">
        <v>687</v>
      </c>
      <c r="K43" s="1140" t="s">
        <v>687</v>
      </c>
      <c r="L43" s="1140" t="s">
        <v>687</v>
      </c>
      <c r="M43" s="1113"/>
      <c r="N43" s="1113"/>
      <c r="O43" s="1113"/>
      <c r="P43" s="1115"/>
      <c r="R43" s="1162"/>
      <c r="S43" s="1097"/>
      <c r="T43" s="1107" t="s">
        <v>792</v>
      </c>
      <c r="U43" s="1206" t="s">
        <v>687</v>
      </c>
      <c r="V43" s="1097"/>
      <c r="X43" s="1103" t="s">
        <v>789</v>
      </c>
    </row>
    <row r="44" spans="1:24" ht="16.5" thickBot="1" x14ac:dyDescent="0.3">
      <c r="A44" s="1171" t="s">
        <v>790</v>
      </c>
      <c r="B44" s="1577"/>
      <c r="C44" s="1581"/>
      <c r="D44" s="1130"/>
      <c r="E44" s="1130"/>
      <c r="F44" s="1130"/>
      <c r="G44" s="1130"/>
      <c r="H44" s="1130"/>
      <c r="I44" s="1130"/>
      <c r="J44" s="1130"/>
      <c r="K44" s="1140" t="s">
        <v>687</v>
      </c>
      <c r="L44" s="1140" t="s">
        <v>687</v>
      </c>
      <c r="M44" s="1130"/>
      <c r="N44" s="1130"/>
      <c r="O44" s="1130"/>
      <c r="P44" s="1135"/>
      <c r="R44" s="1162"/>
      <c r="S44" s="1097"/>
      <c r="T44" s="1201" t="s">
        <v>796</v>
      </c>
      <c r="U44" s="1138" t="s">
        <v>687</v>
      </c>
      <c r="V44" s="1097"/>
      <c r="X44" s="1103"/>
    </row>
    <row r="45" spans="1:24" ht="16.5" thickBot="1" x14ac:dyDescent="0.3">
      <c r="A45" s="1167" t="s">
        <v>791</v>
      </c>
      <c r="B45" s="1578"/>
      <c r="C45" s="1582"/>
      <c r="D45" s="1111"/>
      <c r="E45" s="1111"/>
      <c r="F45" s="1111"/>
      <c r="G45" s="1111"/>
      <c r="H45" s="1111"/>
      <c r="I45" s="1141" t="s">
        <v>687</v>
      </c>
      <c r="J45" s="1141" t="s">
        <v>687</v>
      </c>
      <c r="K45" s="1141" t="s">
        <v>687</v>
      </c>
      <c r="L45" s="1141" t="s">
        <v>687</v>
      </c>
      <c r="M45" s="1111"/>
      <c r="N45" s="1111"/>
      <c r="O45" s="1111"/>
      <c r="P45" s="1127"/>
      <c r="R45" s="1162"/>
      <c r="S45" s="1097"/>
      <c r="T45" s="1102"/>
      <c r="U45" s="1097"/>
      <c r="V45" s="1097"/>
      <c r="X45" s="1103" t="s">
        <v>793</v>
      </c>
    </row>
    <row r="46" spans="1:24" x14ac:dyDescent="0.25">
      <c r="A46" s="1166" t="s">
        <v>794</v>
      </c>
      <c r="B46" s="1583" t="s">
        <v>795</v>
      </c>
      <c r="C46" s="1584" t="s">
        <v>718</v>
      </c>
      <c r="D46" s="1147" t="s">
        <v>687</v>
      </c>
      <c r="E46" s="1126"/>
      <c r="F46" s="1147" t="s">
        <v>687</v>
      </c>
      <c r="G46" s="1147" t="s">
        <v>687</v>
      </c>
      <c r="H46" s="1147" t="s">
        <v>687</v>
      </c>
      <c r="I46" s="1126"/>
      <c r="J46" s="1126"/>
      <c r="K46" s="1126"/>
      <c r="L46" s="1126"/>
      <c r="M46" s="1126"/>
      <c r="N46" s="1126"/>
      <c r="O46" s="1126"/>
      <c r="P46" s="1114"/>
      <c r="R46" s="1162"/>
      <c r="T46" s="1102"/>
      <c r="U46" s="1097"/>
      <c r="X46" s="1103" t="s">
        <v>793</v>
      </c>
    </row>
    <row r="47" spans="1:24" ht="16.5" thickBot="1" x14ac:dyDescent="0.3">
      <c r="A47" s="1167" t="s">
        <v>797</v>
      </c>
      <c r="B47" s="1578"/>
      <c r="C47" s="1582"/>
      <c r="D47" s="1111"/>
      <c r="E47" s="1111"/>
      <c r="F47" s="1111"/>
      <c r="G47" s="1111"/>
      <c r="H47" s="1111"/>
      <c r="I47" s="1111"/>
      <c r="J47" s="1111"/>
      <c r="K47" s="1111"/>
      <c r="L47" s="1111"/>
      <c r="M47" s="1111"/>
      <c r="N47" s="1111"/>
      <c r="O47" s="1111"/>
      <c r="P47" s="1127"/>
      <c r="R47" s="1162"/>
      <c r="T47" s="1102"/>
      <c r="U47" s="1097"/>
      <c r="X47" s="1103" t="s">
        <v>798</v>
      </c>
    </row>
    <row r="48" spans="1:24" x14ac:dyDescent="0.25">
      <c r="A48" s="1172" t="s">
        <v>799</v>
      </c>
      <c r="B48" s="1136" t="s">
        <v>800</v>
      </c>
      <c r="C48" s="1182" t="s">
        <v>36</v>
      </c>
      <c r="D48" s="1131"/>
      <c r="E48" s="1131"/>
      <c r="F48" s="1131"/>
      <c r="G48" s="1131"/>
      <c r="H48" s="1131"/>
      <c r="I48" s="1131"/>
      <c r="J48" s="1131"/>
      <c r="K48" s="1131"/>
      <c r="L48" s="1131"/>
      <c r="M48" s="1131"/>
      <c r="N48" s="1131"/>
      <c r="O48" s="1186" t="s">
        <v>687</v>
      </c>
      <c r="P48" s="1187" t="s">
        <v>687</v>
      </c>
      <c r="R48" s="1162"/>
      <c r="T48" s="1102"/>
      <c r="U48" s="1097"/>
    </row>
    <row r="49" spans="1:22" x14ac:dyDescent="0.25">
      <c r="A49" s="1170" t="s">
        <v>801</v>
      </c>
      <c r="B49" s="1176" t="s">
        <v>77</v>
      </c>
      <c r="C49" s="1182" t="s">
        <v>36</v>
      </c>
      <c r="D49" s="1113"/>
      <c r="E49" s="1113"/>
      <c r="F49" s="1113"/>
      <c r="G49" s="1113"/>
      <c r="H49" s="1113"/>
      <c r="I49" s="1113"/>
      <c r="J49" s="1113"/>
      <c r="K49" s="1113"/>
      <c r="L49" s="1113"/>
      <c r="M49" s="1113"/>
      <c r="N49" s="1113"/>
      <c r="O49" s="1183" t="s">
        <v>687</v>
      </c>
      <c r="P49" s="1185" t="s">
        <v>687</v>
      </c>
      <c r="R49" s="1162"/>
      <c r="T49" s="1102"/>
      <c r="U49" s="1097"/>
    </row>
    <row r="50" spans="1:22" x14ac:dyDescent="0.25">
      <c r="A50" s="1173" t="s">
        <v>802</v>
      </c>
      <c r="B50" s="1176" t="s">
        <v>803</v>
      </c>
      <c r="C50" s="1176" t="s">
        <v>36</v>
      </c>
      <c r="D50" s="1184" t="s">
        <v>804</v>
      </c>
      <c r="E50" s="1113"/>
      <c r="F50" s="1113"/>
      <c r="G50" s="1113"/>
      <c r="H50" s="1113"/>
      <c r="I50" s="1113"/>
      <c r="J50" s="1113"/>
      <c r="K50" s="1113"/>
      <c r="L50" s="1113"/>
      <c r="M50" s="1113"/>
      <c r="N50" s="1183" t="s">
        <v>687</v>
      </c>
      <c r="O50" s="1183" t="s">
        <v>687</v>
      </c>
      <c r="P50" s="1185" t="s">
        <v>687</v>
      </c>
      <c r="R50" s="1162"/>
      <c r="T50" s="1102"/>
      <c r="U50" s="1097"/>
    </row>
    <row r="51" spans="1:22" x14ac:dyDescent="0.25">
      <c r="A51" s="1170" t="s">
        <v>80</v>
      </c>
      <c r="B51" s="1176" t="s">
        <v>805</v>
      </c>
      <c r="C51" s="1176" t="s">
        <v>36</v>
      </c>
      <c r="D51" s="1184" t="s">
        <v>804</v>
      </c>
      <c r="E51" s="1113"/>
      <c r="F51" s="1113"/>
      <c r="G51" s="1113"/>
      <c r="H51" s="1113"/>
      <c r="I51" s="1113"/>
      <c r="J51" s="1113"/>
      <c r="K51" s="1113"/>
      <c r="L51" s="1113"/>
      <c r="M51" s="1113"/>
      <c r="N51" s="1183" t="s">
        <v>687</v>
      </c>
      <c r="O51" s="1183" t="s">
        <v>687</v>
      </c>
      <c r="P51" s="1183" t="s">
        <v>687</v>
      </c>
      <c r="R51" s="1162"/>
    </row>
    <row r="52" spans="1:22" x14ac:dyDescent="0.25">
      <c r="A52" s="1170" t="s">
        <v>806</v>
      </c>
      <c r="B52" s="1137" t="s">
        <v>807</v>
      </c>
      <c r="C52" s="1176" t="s">
        <v>36</v>
      </c>
      <c r="D52" s="1113"/>
      <c r="E52" s="1113"/>
      <c r="F52" s="1113"/>
      <c r="G52" s="1113"/>
      <c r="H52" s="1113"/>
      <c r="I52" s="1113"/>
      <c r="J52" s="1113"/>
      <c r="K52" s="1139" t="s">
        <v>687</v>
      </c>
      <c r="L52" s="1139" t="s">
        <v>687</v>
      </c>
      <c r="M52" s="1113"/>
      <c r="N52" s="1113"/>
      <c r="O52" s="1113"/>
      <c r="P52" s="1115"/>
      <c r="R52" s="1159"/>
    </row>
    <row r="53" spans="1:22" x14ac:dyDescent="0.25">
      <c r="A53" s="1170" t="s">
        <v>808</v>
      </c>
      <c r="B53" s="1137" t="s">
        <v>809</v>
      </c>
      <c r="C53" s="1176" t="s">
        <v>810</v>
      </c>
      <c r="D53" s="1183" t="s">
        <v>687</v>
      </c>
      <c r="E53" s="1113"/>
      <c r="F53" s="1113"/>
      <c r="G53" s="1113"/>
      <c r="H53" s="1113"/>
      <c r="I53" s="1113"/>
      <c r="J53" s="1139" t="s">
        <v>687</v>
      </c>
      <c r="K53" s="1139" t="s">
        <v>687</v>
      </c>
      <c r="L53" s="1139" t="s">
        <v>687</v>
      </c>
      <c r="M53" s="1139" t="s">
        <v>687</v>
      </c>
      <c r="N53" s="1139" t="s">
        <v>687</v>
      </c>
      <c r="O53" s="1139" t="s">
        <v>687</v>
      </c>
      <c r="P53" s="1153" t="s">
        <v>687</v>
      </c>
      <c r="R53" s="1159"/>
    </row>
    <row r="54" spans="1:22" x14ac:dyDescent="0.25">
      <c r="A54" s="1170" t="s">
        <v>811</v>
      </c>
      <c r="B54" s="1137" t="s">
        <v>812</v>
      </c>
      <c r="C54" s="1176" t="s">
        <v>810</v>
      </c>
      <c r="D54" s="1183" t="s">
        <v>687</v>
      </c>
      <c r="E54" s="1113"/>
      <c r="F54" s="1139" t="s">
        <v>687</v>
      </c>
      <c r="G54" s="1113"/>
      <c r="H54" s="1113"/>
      <c r="I54" s="1113"/>
      <c r="J54" s="1113"/>
      <c r="K54" s="1113"/>
      <c r="L54" s="1113"/>
      <c r="M54" s="1113"/>
      <c r="N54" s="1113"/>
      <c r="O54" s="1113"/>
      <c r="P54" s="1115"/>
      <c r="R54" s="1159"/>
    </row>
    <row r="55" spans="1:22" x14ac:dyDescent="0.25">
      <c r="A55" s="1170" t="s">
        <v>813</v>
      </c>
      <c r="B55" s="1137" t="s">
        <v>814</v>
      </c>
      <c r="C55" s="1176" t="s">
        <v>815</v>
      </c>
      <c r="D55" s="1113"/>
      <c r="E55" s="1113"/>
      <c r="F55" s="1139" t="s">
        <v>687</v>
      </c>
      <c r="G55" s="1139" t="s">
        <v>687</v>
      </c>
      <c r="H55" s="1139" t="s">
        <v>687</v>
      </c>
      <c r="I55" s="1113"/>
      <c r="J55" s="1113"/>
      <c r="K55" s="1140" t="s">
        <v>687</v>
      </c>
      <c r="L55" s="1140" t="s">
        <v>687</v>
      </c>
      <c r="M55" s="1113"/>
      <c r="N55" s="1113"/>
      <c r="O55" s="1113"/>
      <c r="P55" s="1115"/>
      <c r="R55" s="1159"/>
    </row>
    <row r="56" spans="1:22" ht="16.5" thickBot="1" x14ac:dyDescent="0.3">
      <c r="A56" s="1167" t="s">
        <v>816</v>
      </c>
      <c r="B56" s="1138" t="s">
        <v>817</v>
      </c>
      <c r="C56" s="1175" t="s">
        <v>815</v>
      </c>
      <c r="D56" s="1111"/>
      <c r="E56" s="1111"/>
      <c r="F56" s="1111"/>
      <c r="G56" s="1111"/>
      <c r="H56" s="1111"/>
      <c r="I56" s="1111"/>
      <c r="J56" s="1111"/>
      <c r="K56" s="1111"/>
      <c r="L56" s="1111"/>
      <c r="M56" s="1207" t="s">
        <v>818</v>
      </c>
      <c r="N56" s="1111"/>
      <c r="O56" s="1111"/>
      <c r="P56" s="1127"/>
      <c r="R56" s="1164"/>
    </row>
    <row r="57" spans="1:22" ht="16.5" thickBot="1" x14ac:dyDescent="0.3">
      <c r="A57" s="1167" t="s">
        <v>819</v>
      </c>
      <c r="B57" s="1138" t="s">
        <v>820</v>
      </c>
      <c r="C57" s="1175" t="s">
        <v>821</v>
      </c>
      <c r="D57" s="1111"/>
      <c r="E57" s="1111"/>
      <c r="F57" s="1111"/>
      <c r="G57" s="1111"/>
      <c r="H57" s="1111"/>
      <c r="I57" s="1111"/>
      <c r="J57" s="1111"/>
      <c r="K57" s="1141" t="s">
        <v>687</v>
      </c>
      <c r="L57" s="1141" t="s">
        <v>687</v>
      </c>
      <c r="M57" s="1111"/>
      <c r="N57" s="1111"/>
      <c r="O57" s="1111"/>
      <c r="P57" s="1127"/>
      <c r="R57" s="1164"/>
    </row>
    <row r="58" spans="1:22" s="1087" customFormat="1" ht="16.5" thickBot="1" x14ac:dyDescent="0.3">
      <c r="A58" s="1167" t="s">
        <v>822</v>
      </c>
      <c r="B58" s="1175"/>
      <c r="C58" s="1175"/>
      <c r="D58" s="1183" t="s">
        <v>687</v>
      </c>
      <c r="E58" s="1111"/>
      <c r="F58" s="1111"/>
      <c r="G58" s="1111"/>
      <c r="H58" s="1111"/>
      <c r="I58" s="1111"/>
      <c r="J58" s="1111"/>
      <c r="K58" s="1111"/>
      <c r="L58" s="1111"/>
      <c r="M58" s="1111"/>
      <c r="N58" s="1111"/>
      <c r="O58" s="1111"/>
      <c r="P58" s="1127"/>
      <c r="Q58" s="1211"/>
      <c r="R58" s="1164"/>
      <c r="S58" s="1089"/>
      <c r="T58" s="1089"/>
      <c r="U58" s="1089"/>
      <c r="V58" s="1089"/>
    </row>
    <row r="59" spans="1:22" s="1087" customFormat="1" ht="16.5" thickBot="1" x14ac:dyDescent="0.3">
      <c r="A59" s="1167" t="s">
        <v>823</v>
      </c>
      <c r="B59" s="1175"/>
      <c r="C59" s="1175"/>
      <c r="D59" s="1183" t="s">
        <v>687</v>
      </c>
      <c r="E59" s="1111"/>
      <c r="F59" s="1111"/>
      <c r="G59" s="1111"/>
      <c r="H59" s="1111"/>
      <c r="I59" s="1111"/>
      <c r="J59" s="1111"/>
      <c r="K59" s="1111"/>
      <c r="L59" s="1111"/>
      <c r="M59" s="1111"/>
      <c r="N59" s="1111"/>
      <c r="O59" s="1111"/>
      <c r="P59" s="1127"/>
      <c r="Q59" s="1211"/>
      <c r="R59" s="1164"/>
      <c r="S59" s="1089"/>
      <c r="T59" s="1089"/>
      <c r="U59" s="1089"/>
      <c r="V59" s="1089"/>
    </row>
    <row r="60" spans="1:22" ht="7.35" customHeight="1" thickBot="1" x14ac:dyDescent="0.3"/>
    <row r="61" spans="1:22" ht="17.100000000000001" customHeight="1" thickBot="1" x14ac:dyDescent="0.3">
      <c r="A61" s="1108" t="s">
        <v>687</v>
      </c>
      <c r="B61" s="1087" t="s">
        <v>824</v>
      </c>
      <c r="F61" s="1087"/>
      <c r="G61" s="1087"/>
      <c r="H61" s="1087"/>
      <c r="I61" s="1087"/>
      <c r="J61" s="1087"/>
    </row>
    <row r="62" spans="1:22" x14ac:dyDescent="0.25">
      <c r="A62" s="1091" t="s">
        <v>687</v>
      </c>
      <c r="B62" s="1087" t="s">
        <v>825</v>
      </c>
      <c r="F62" s="1087"/>
      <c r="G62" s="1087"/>
      <c r="H62" s="1087"/>
      <c r="I62" s="1087"/>
      <c r="J62" s="1087"/>
    </row>
    <row r="63" spans="1:22" x14ac:dyDescent="0.25">
      <c r="A63" s="1109"/>
      <c r="B63" s="1087" t="s">
        <v>826</v>
      </c>
      <c r="F63" s="1110"/>
    </row>
  </sheetData>
  <mergeCells count="27">
    <mergeCell ref="B46:B47"/>
    <mergeCell ref="C46:C47"/>
    <mergeCell ref="F37:H37"/>
    <mergeCell ref="F38:H38"/>
    <mergeCell ref="F39:H39"/>
    <mergeCell ref="F40:H40"/>
    <mergeCell ref="F41:H41"/>
    <mergeCell ref="B42:B45"/>
    <mergeCell ref="C42:C45"/>
    <mergeCell ref="B30:B32"/>
    <mergeCell ref="C30:C32"/>
    <mergeCell ref="B33:B35"/>
    <mergeCell ref="C33:C35"/>
    <mergeCell ref="B37:B41"/>
    <mergeCell ref="C37:C41"/>
    <mergeCell ref="A18:A20"/>
    <mergeCell ref="B19:B20"/>
    <mergeCell ref="T21:U21"/>
    <mergeCell ref="A23:A24"/>
    <mergeCell ref="A25:A26"/>
    <mergeCell ref="C25:C26"/>
    <mergeCell ref="A1:U1"/>
    <mergeCell ref="T5:U5"/>
    <mergeCell ref="T6:U6"/>
    <mergeCell ref="A9:A10"/>
    <mergeCell ref="B13:B17"/>
    <mergeCell ref="C13:C17"/>
  </mergeCells>
  <pageMargins left="0.25" right="0.25" top="0.75" bottom="0.75" header="0.3" footer="0.3"/>
  <pageSetup paperSize="9" scale="46" fitToHeight="0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9387-EB29-4E11-9BDD-6E0B8375605C}">
  <dimension ref="P8:Q12"/>
  <sheetViews>
    <sheetView topLeftCell="Q3" zoomScale="91" zoomScaleNormal="70" workbookViewId="0">
      <selection activeCell="P19" sqref="P19"/>
    </sheetView>
  </sheetViews>
  <sheetFormatPr defaultColWidth="8.85546875" defaultRowHeight="15" x14ac:dyDescent="0.25"/>
  <cols>
    <col min="1" max="16384" width="8.85546875" style="142"/>
  </cols>
  <sheetData>
    <row r="8" spans="16:17" x14ac:dyDescent="0.25">
      <c r="P8" s="142">
        <v>4.5</v>
      </c>
      <c r="Q8" s="142">
        <v>-5</v>
      </c>
    </row>
    <row r="9" spans="16:17" x14ac:dyDescent="0.25">
      <c r="P9" s="142">
        <v>4.5</v>
      </c>
      <c r="Q9" s="142">
        <v>100</v>
      </c>
    </row>
    <row r="11" spans="16:17" x14ac:dyDescent="0.25">
      <c r="P11" s="142">
        <v>10.5</v>
      </c>
      <c r="Q11" s="142">
        <v>-5</v>
      </c>
    </row>
    <row r="12" spans="16:17" x14ac:dyDescent="0.25">
      <c r="P12" s="142">
        <v>10.5</v>
      </c>
      <c r="Q12" s="142">
        <v>100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6D03-D67E-4DF2-9E27-3F2A8A99A127}">
  <sheetPr codeName="Sheet14">
    <tabColor rgb="FFFF0000"/>
    <pageSetUpPr fitToPage="1"/>
  </sheetPr>
  <dimension ref="D1:AS323"/>
  <sheetViews>
    <sheetView showGridLines="0" topLeftCell="A76" zoomScale="55" zoomScaleNormal="70" zoomScaleSheetLayoutView="100" workbookViewId="0">
      <selection activeCell="Z72" sqref="Z72"/>
    </sheetView>
  </sheetViews>
  <sheetFormatPr defaultColWidth="9.140625" defaultRowHeight="17.25" x14ac:dyDescent="0.3"/>
  <cols>
    <col min="1" max="1" width="9.140625" style="7"/>
    <col min="2" max="2" width="35.140625" style="7" customWidth="1"/>
    <col min="3" max="3" width="6.85546875" style="7" customWidth="1"/>
    <col min="4" max="4" width="31.140625" style="18" customWidth="1"/>
    <col min="5" max="6" width="9" style="18" bestFit="1" customWidth="1"/>
    <col min="7" max="7" width="11.140625" style="18" bestFit="1" customWidth="1"/>
    <col min="8" max="9" width="11.140625" style="18" customWidth="1"/>
    <col min="10" max="10" width="17.85546875" style="18" customWidth="1"/>
    <col min="11" max="16" width="14.85546875" style="18" customWidth="1"/>
    <col min="17" max="17" width="15.42578125" style="18" bestFit="1" customWidth="1"/>
    <col min="18" max="18" width="14.85546875" style="18" customWidth="1"/>
    <col min="19" max="19" width="15" style="18" customWidth="1"/>
    <col min="20" max="21" width="14.85546875" style="18" customWidth="1"/>
    <col min="22" max="25" width="15" style="18" customWidth="1"/>
    <col min="26" max="26" width="15.42578125" style="7" bestFit="1" customWidth="1"/>
    <col min="27" max="27" width="13" style="7" customWidth="1"/>
    <col min="28" max="29" width="14.140625" style="7" customWidth="1"/>
    <col min="30" max="31" width="11" style="7" customWidth="1"/>
    <col min="32" max="16384" width="9.140625" style="7"/>
  </cols>
  <sheetData>
    <row r="1" spans="4:45" ht="26.25" customHeight="1" x14ac:dyDescent="0.35">
      <c r="D1" s="1559" t="s">
        <v>5</v>
      </c>
      <c r="E1" s="1559"/>
      <c r="F1" s="1559"/>
      <c r="G1" s="1559"/>
      <c r="H1" s="1559"/>
      <c r="I1" s="1559"/>
      <c r="J1" s="1559"/>
      <c r="K1" s="1559"/>
      <c r="L1" s="1559"/>
      <c r="M1" s="1559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4:45" ht="30.75" customHeight="1" x14ac:dyDescent="0.3">
      <c r="D2" s="8" t="s">
        <v>6</v>
      </c>
      <c r="E2" s="8"/>
      <c r="F2" s="126"/>
      <c r="G2" s="126"/>
      <c r="H2" s="126"/>
      <c r="I2" s="126"/>
      <c r="J2" s="9" t="s">
        <v>355</v>
      </c>
      <c r="K2" s="10"/>
      <c r="L2" s="10"/>
      <c r="M2" s="11"/>
      <c r="N2" s="11"/>
      <c r="O2" s="12"/>
      <c r="P2" s="12"/>
      <c r="Q2" s="7"/>
      <c r="R2" s="12"/>
      <c r="S2" s="12"/>
      <c r="T2" s="12"/>
      <c r="U2" s="12"/>
      <c r="V2" s="12"/>
      <c r="W2" s="12"/>
      <c r="X2" s="12"/>
      <c r="Y2" s="12"/>
    </row>
    <row r="3" spans="4:45" ht="26.25" customHeight="1" x14ac:dyDescent="0.3">
      <c r="D3" s="8" t="s">
        <v>8</v>
      </c>
      <c r="E3" s="8"/>
      <c r="F3" s="126"/>
      <c r="G3" s="126"/>
      <c r="H3" s="126"/>
      <c r="I3" s="126"/>
      <c r="J3" s="14" t="s">
        <v>435</v>
      </c>
      <c r="K3" s="15"/>
      <c r="L3" s="15"/>
      <c r="M3" s="11"/>
      <c r="N3" s="11"/>
      <c r="O3" s="12"/>
      <c r="P3" s="11"/>
      <c r="Q3" s="7"/>
      <c r="R3" s="12"/>
      <c r="S3" s="11"/>
      <c r="T3" s="12"/>
      <c r="U3" s="12"/>
      <c r="V3" s="11"/>
      <c r="W3" s="11"/>
      <c r="X3" s="11"/>
      <c r="Y3" s="11"/>
    </row>
    <row r="4" spans="4:45" ht="28.5" customHeight="1" x14ac:dyDescent="0.3">
      <c r="D4" s="8" t="s">
        <v>9</v>
      </c>
      <c r="E4" s="8"/>
      <c r="F4" s="126"/>
      <c r="G4" s="126"/>
      <c r="H4" s="126"/>
      <c r="I4" s="126"/>
      <c r="J4" s="127" t="s">
        <v>10</v>
      </c>
      <c r="K4" s="127"/>
      <c r="L4" s="127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4:45" s="103" customFormat="1" ht="56.25" customHeight="1" x14ac:dyDescent="0.3">
      <c r="D5" s="128"/>
      <c r="E5" s="128"/>
      <c r="F5" s="128"/>
      <c r="G5" s="128"/>
      <c r="H5" s="128"/>
      <c r="I5" s="128"/>
      <c r="J5" s="13"/>
      <c r="K5" s="13"/>
      <c r="L5" s="13"/>
      <c r="M5" s="129"/>
      <c r="N5" s="129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AQ5" s="103" t="s">
        <v>544</v>
      </c>
    </row>
    <row r="6" spans="4:45" s="103" customFormat="1" ht="42.95" customHeight="1" x14ac:dyDescent="0.3">
      <c r="D6" s="128"/>
      <c r="E6" s="128"/>
      <c r="F6" s="128"/>
      <c r="G6" s="128"/>
      <c r="H6" s="128"/>
      <c r="I6" s="128"/>
      <c r="J6" s="219" t="s">
        <v>94</v>
      </c>
      <c r="K6" s="13"/>
      <c r="L6" s="13"/>
      <c r="M6" s="129"/>
      <c r="N6" s="220" t="s">
        <v>358</v>
      </c>
      <c r="O6" s="13"/>
      <c r="P6" s="13"/>
      <c r="Q6" s="13"/>
      <c r="R6" s="13"/>
      <c r="S6" s="13"/>
      <c r="T6" s="219" t="s">
        <v>359</v>
      </c>
      <c r="U6" s="13"/>
      <c r="V6" s="13"/>
      <c r="W6" s="13"/>
      <c r="X6" s="13"/>
      <c r="Y6" s="13"/>
      <c r="AQ6" s="830" t="s">
        <v>445</v>
      </c>
      <c r="AR6" s="103">
        <v>1</v>
      </c>
      <c r="AS6" s="103">
        <v>170.44444444444446</v>
      </c>
    </row>
    <row r="7" spans="4:45" s="103" customFormat="1" ht="39" customHeight="1" x14ac:dyDescent="0.3">
      <c r="D7" s="128"/>
      <c r="E7" s="128"/>
      <c r="F7" s="128"/>
      <c r="G7" s="130" t="s">
        <v>93</v>
      </c>
      <c r="H7" s="130" t="s">
        <v>93</v>
      </c>
      <c r="I7" s="130" t="s">
        <v>93</v>
      </c>
      <c r="J7" s="212">
        <v>1</v>
      </c>
      <c r="K7" s="213">
        <v>2</v>
      </c>
      <c r="L7" s="213">
        <v>3</v>
      </c>
      <c r="M7" s="213">
        <v>4</v>
      </c>
      <c r="N7" s="212">
        <v>5</v>
      </c>
      <c r="O7" s="213">
        <v>6</v>
      </c>
      <c r="P7" s="215">
        <v>7</v>
      </c>
      <c r="Q7" s="215">
        <v>8</v>
      </c>
      <c r="R7" s="215">
        <v>9</v>
      </c>
      <c r="S7" s="215">
        <v>10</v>
      </c>
      <c r="T7" s="218">
        <v>11</v>
      </c>
      <c r="U7" s="215">
        <v>12</v>
      </c>
      <c r="V7" s="215">
        <v>13</v>
      </c>
      <c r="W7" s="215">
        <v>14</v>
      </c>
      <c r="X7" s="215">
        <v>15</v>
      </c>
      <c r="Y7" s="215" t="s">
        <v>591</v>
      </c>
      <c r="Z7" s="131" t="s">
        <v>592</v>
      </c>
      <c r="AQ7" s="830" t="s">
        <v>446</v>
      </c>
      <c r="AR7" s="103">
        <v>2</v>
      </c>
      <c r="AS7" s="103">
        <v>197.11111111111111</v>
      </c>
    </row>
    <row r="8" spans="4:45" s="132" customFormat="1" ht="18" thickBot="1" x14ac:dyDescent="0.35">
      <c r="D8" s="144" t="s">
        <v>15</v>
      </c>
      <c r="G8" s="132" t="s">
        <v>94</v>
      </c>
      <c r="H8" s="132" t="s">
        <v>364</v>
      </c>
      <c r="I8" s="132" t="s">
        <v>365</v>
      </c>
      <c r="J8" s="216"/>
      <c r="K8" s="133"/>
      <c r="N8" s="217"/>
      <c r="O8" s="12"/>
      <c r="T8" s="217"/>
      <c r="AQ8" s="830" t="s">
        <v>447</v>
      </c>
      <c r="AR8" s="103">
        <v>3</v>
      </c>
      <c r="AS8" s="132">
        <v>216.05555555555554</v>
      </c>
    </row>
    <row r="9" spans="4:45" s="103" customFormat="1" ht="19.5" customHeight="1" x14ac:dyDescent="0.3">
      <c r="D9" s="134" t="s">
        <v>92</v>
      </c>
      <c r="E9" s="135">
        <v>500</v>
      </c>
      <c r="F9" s="135">
        <v>560</v>
      </c>
      <c r="G9" s="135" t="s">
        <v>93</v>
      </c>
      <c r="H9" s="135" t="s">
        <v>434</v>
      </c>
      <c r="I9" s="135" t="s">
        <v>548</v>
      </c>
      <c r="J9" s="622">
        <v>45856</v>
      </c>
      <c r="K9" s="622">
        <v>45857</v>
      </c>
      <c r="L9" s="622">
        <v>45858</v>
      </c>
      <c r="M9" s="622">
        <v>45859</v>
      </c>
      <c r="N9" s="622">
        <v>45860</v>
      </c>
      <c r="O9" s="622">
        <v>45861</v>
      </c>
      <c r="P9" s="622">
        <v>45862</v>
      </c>
      <c r="Q9" s="622">
        <v>45863</v>
      </c>
      <c r="R9" s="622">
        <v>45864</v>
      </c>
      <c r="S9" s="622">
        <v>45865</v>
      </c>
      <c r="T9" s="622">
        <v>45866</v>
      </c>
      <c r="U9" s="622">
        <v>45867</v>
      </c>
      <c r="V9" s="622">
        <v>45868</v>
      </c>
      <c r="W9" s="622">
        <v>45869</v>
      </c>
      <c r="X9" s="622">
        <v>45870</v>
      </c>
      <c r="Y9" s="622">
        <v>45871</v>
      </c>
      <c r="Z9" s="622">
        <v>45872</v>
      </c>
      <c r="AB9" s="168" t="s">
        <v>441</v>
      </c>
      <c r="AC9" s="168" t="s">
        <v>442</v>
      </c>
      <c r="AD9" s="168" t="s">
        <v>443</v>
      </c>
      <c r="AE9" s="103">
        <v>4.5</v>
      </c>
      <c r="AF9" s="103">
        <v>-5</v>
      </c>
      <c r="AQ9" s="830" t="s">
        <v>448</v>
      </c>
      <c r="AR9" s="103">
        <v>4</v>
      </c>
      <c r="AS9" s="103">
        <v>230.11111111111111</v>
      </c>
    </row>
    <row r="10" spans="4:45" s="103" customFormat="1" ht="19.5" customHeight="1" x14ac:dyDescent="0.3">
      <c r="D10" s="136">
        <v>0</v>
      </c>
      <c r="E10" s="136">
        <v>500</v>
      </c>
      <c r="F10" s="136">
        <v>560</v>
      </c>
      <c r="G10" s="137">
        <v>375.98</v>
      </c>
      <c r="H10" s="137">
        <v>462.3</v>
      </c>
      <c r="I10" s="137">
        <v>436.7</v>
      </c>
      <c r="J10" s="138">
        <v>142.1</v>
      </c>
      <c r="K10" s="138">
        <v>140.19999999999999</v>
      </c>
      <c r="L10" s="138">
        <v>152.5</v>
      </c>
      <c r="M10" s="138">
        <v>133.6</v>
      </c>
      <c r="N10" s="138">
        <v>95.5</v>
      </c>
      <c r="O10" s="138">
        <v>110.4</v>
      </c>
      <c r="P10" s="138">
        <v>111.6</v>
      </c>
      <c r="Q10" s="138">
        <v>96.3</v>
      </c>
      <c r="R10" s="138">
        <v>123.5</v>
      </c>
      <c r="S10" s="138">
        <v>111.7</v>
      </c>
      <c r="T10" s="138">
        <v>68.7</v>
      </c>
      <c r="U10" s="138">
        <v>107.7</v>
      </c>
      <c r="V10" s="138">
        <v>121.9</v>
      </c>
      <c r="W10" s="138">
        <v>77</v>
      </c>
      <c r="X10" s="138">
        <v>114.7</v>
      </c>
      <c r="Y10" s="138">
        <v>116.5</v>
      </c>
      <c r="Z10" s="138">
        <v>116.6</v>
      </c>
      <c r="AB10"/>
      <c r="AC10"/>
      <c r="AD10"/>
      <c r="AE10" s="103">
        <v>4.5</v>
      </c>
      <c r="AF10" s="103">
        <v>105</v>
      </c>
      <c r="AN10" s="103">
        <v>0</v>
      </c>
      <c r="AO10" s="103">
        <v>560</v>
      </c>
      <c r="AQ10" s="830" t="s">
        <v>449</v>
      </c>
      <c r="AR10" s="103">
        <v>5</v>
      </c>
      <c r="AS10" s="103">
        <v>243.72222222222223</v>
      </c>
    </row>
    <row r="11" spans="4:45" s="103" customFormat="1" ht="19.5" customHeight="1" x14ac:dyDescent="0.3">
      <c r="D11" s="136">
        <v>1</v>
      </c>
      <c r="E11" s="136">
        <v>500</v>
      </c>
      <c r="F11" s="136">
        <v>560</v>
      </c>
      <c r="G11" s="137">
        <v>402</v>
      </c>
      <c r="H11" s="137">
        <v>528.9</v>
      </c>
      <c r="I11" s="137">
        <v>499.2</v>
      </c>
      <c r="J11" s="138">
        <v>173.4</v>
      </c>
      <c r="K11" s="138">
        <v>187.3</v>
      </c>
      <c r="L11" s="138">
        <v>185.3</v>
      </c>
      <c r="M11" s="138">
        <v>179.1</v>
      </c>
      <c r="N11" s="138">
        <v>125.7</v>
      </c>
      <c r="O11" s="138">
        <v>133.4</v>
      </c>
      <c r="P11" s="138">
        <v>136.19999999999999</v>
      </c>
      <c r="Q11" s="138">
        <v>132.80000000000001</v>
      </c>
      <c r="R11" s="138">
        <v>142.9</v>
      </c>
      <c r="S11" s="138">
        <v>137.30000000000001</v>
      </c>
      <c r="T11" s="138">
        <v>92.1</v>
      </c>
      <c r="U11" s="138">
        <v>128.6</v>
      </c>
      <c r="V11" s="138">
        <v>144.19999999999999</v>
      </c>
      <c r="W11" s="138">
        <v>116.1</v>
      </c>
      <c r="X11" s="138">
        <v>133.9</v>
      </c>
      <c r="Y11" s="138">
        <v>141.6</v>
      </c>
      <c r="Z11" s="138">
        <v>141.30000000000001</v>
      </c>
      <c r="AB11">
        <v>1</v>
      </c>
      <c r="AC11">
        <v>41.2</v>
      </c>
      <c r="AD11">
        <v>12.4</v>
      </c>
      <c r="AE11" s="103">
        <v>10.5</v>
      </c>
      <c r="AN11" s="103">
        <v>120</v>
      </c>
      <c r="AO11" s="103">
        <v>560</v>
      </c>
      <c r="AQ11" s="830" t="s">
        <v>450</v>
      </c>
      <c r="AR11" s="103">
        <v>6</v>
      </c>
      <c r="AS11" s="103">
        <v>254.66666666666666</v>
      </c>
    </row>
    <row r="12" spans="4:45" s="103" customFormat="1" ht="19.5" customHeight="1" x14ac:dyDescent="0.3">
      <c r="D12" s="136">
        <v>2</v>
      </c>
      <c r="E12" s="136">
        <v>500</v>
      </c>
      <c r="F12" s="136">
        <v>560</v>
      </c>
      <c r="G12" s="137">
        <v>422</v>
      </c>
      <c r="H12" s="137">
        <v>546.9</v>
      </c>
      <c r="I12" s="137">
        <v>527.20000000000005</v>
      </c>
      <c r="J12" s="138">
        <v>215</v>
      </c>
      <c r="K12" s="138">
        <v>232</v>
      </c>
      <c r="L12" s="138">
        <v>226.6</v>
      </c>
      <c r="M12" s="138">
        <v>224.9</v>
      </c>
      <c r="N12" s="138">
        <v>155.6</v>
      </c>
      <c r="O12" s="138">
        <v>162.30000000000001</v>
      </c>
      <c r="P12" s="138">
        <v>162.80000000000001</v>
      </c>
      <c r="Q12" s="138">
        <v>163.4</v>
      </c>
      <c r="R12" s="138">
        <v>168.1</v>
      </c>
      <c r="S12" s="138">
        <v>163.19999999999999</v>
      </c>
      <c r="T12" s="138">
        <v>139.4</v>
      </c>
      <c r="U12" s="138">
        <v>158.9</v>
      </c>
      <c r="V12" s="138">
        <v>169.7</v>
      </c>
      <c r="W12" s="138">
        <v>147.80000000000001</v>
      </c>
      <c r="X12" s="138">
        <v>158.19999999999999</v>
      </c>
      <c r="Y12" s="138">
        <v>170.7</v>
      </c>
      <c r="Z12" s="138">
        <v>165.7</v>
      </c>
      <c r="AB12">
        <v>2</v>
      </c>
      <c r="AC12">
        <v>41.6</v>
      </c>
      <c r="AD12">
        <v>12.2</v>
      </c>
      <c r="AE12" s="103">
        <v>10.5</v>
      </c>
      <c r="AQ12" s="830" t="s">
        <v>451</v>
      </c>
      <c r="AR12" s="103">
        <v>7</v>
      </c>
      <c r="AS12" s="103">
        <v>265.83333333333331</v>
      </c>
    </row>
    <row r="13" spans="4:45" s="103" customFormat="1" ht="19.5" customHeight="1" x14ac:dyDescent="0.3">
      <c r="D13" s="136">
        <v>3</v>
      </c>
      <c r="E13" s="136">
        <v>500</v>
      </c>
      <c r="F13" s="136">
        <v>560</v>
      </c>
      <c r="G13" s="137">
        <v>462</v>
      </c>
      <c r="H13" s="137">
        <v>555.20000000000005</v>
      </c>
      <c r="I13" s="137">
        <v>538.6</v>
      </c>
      <c r="J13" s="138">
        <v>248.3</v>
      </c>
      <c r="K13" s="138">
        <v>261.39999999999998</v>
      </c>
      <c r="L13" s="138">
        <v>255</v>
      </c>
      <c r="M13" s="138">
        <v>255.3</v>
      </c>
      <c r="N13" s="138">
        <v>174.7</v>
      </c>
      <c r="O13" s="138">
        <v>180.8</v>
      </c>
      <c r="P13" s="138">
        <v>181.4</v>
      </c>
      <c r="Q13" s="138">
        <v>183.2</v>
      </c>
      <c r="R13" s="138">
        <v>183.5</v>
      </c>
      <c r="S13" s="138">
        <v>180.4</v>
      </c>
      <c r="T13" s="138">
        <v>162.4</v>
      </c>
      <c r="U13" s="138">
        <v>177</v>
      </c>
      <c r="V13" s="138">
        <v>185.8</v>
      </c>
      <c r="W13" s="138">
        <v>168.4</v>
      </c>
      <c r="X13" s="138">
        <v>174.9</v>
      </c>
      <c r="Y13" s="138">
        <v>190.5</v>
      </c>
      <c r="Z13" s="138">
        <v>184.1</v>
      </c>
      <c r="AB13" s="759">
        <v>3</v>
      </c>
      <c r="AC13" s="759">
        <v>42</v>
      </c>
      <c r="AD13" s="759">
        <v>11.5</v>
      </c>
      <c r="AQ13" s="830" t="s">
        <v>452</v>
      </c>
      <c r="AR13" s="103">
        <v>8</v>
      </c>
      <c r="AS13" s="103">
        <v>275.55555555555554</v>
      </c>
    </row>
    <row r="14" spans="4:45" s="103" customFormat="1" ht="19.5" customHeight="1" x14ac:dyDescent="0.3">
      <c r="D14" s="136">
        <v>4</v>
      </c>
      <c r="E14" s="136">
        <v>500</v>
      </c>
      <c r="F14" s="136">
        <v>560</v>
      </c>
      <c r="G14" s="137">
        <v>489</v>
      </c>
      <c r="H14" s="137">
        <v>561</v>
      </c>
      <c r="I14" s="137">
        <v>546.5</v>
      </c>
      <c r="J14" s="138">
        <v>270.7</v>
      </c>
      <c r="K14" s="138">
        <v>285.2</v>
      </c>
      <c r="L14" s="138">
        <v>279.10000000000002</v>
      </c>
      <c r="M14" s="138">
        <v>279.7</v>
      </c>
      <c r="N14" s="138">
        <v>190.5</v>
      </c>
      <c r="O14" s="138">
        <v>196.7</v>
      </c>
      <c r="P14" s="138">
        <v>196.4</v>
      </c>
      <c r="Q14" s="138">
        <v>198.4</v>
      </c>
      <c r="R14" s="138">
        <v>197.7</v>
      </c>
      <c r="S14" s="138">
        <v>196.6</v>
      </c>
      <c r="T14" s="138">
        <v>178.2</v>
      </c>
      <c r="U14" s="138">
        <v>193.2</v>
      </c>
      <c r="V14" s="138">
        <v>200.3</v>
      </c>
      <c r="W14" s="138">
        <v>182.3</v>
      </c>
      <c r="X14" s="138">
        <v>188.3</v>
      </c>
      <c r="Y14" s="138">
        <v>205.1</v>
      </c>
      <c r="Z14" s="138">
        <v>199.2</v>
      </c>
      <c r="AB14">
        <v>4</v>
      </c>
      <c r="AC14">
        <v>42.5</v>
      </c>
      <c r="AD14">
        <v>11.3</v>
      </c>
      <c r="AN14" s="103">
        <v>0</v>
      </c>
      <c r="AO14" s="103">
        <v>160</v>
      </c>
      <c r="AQ14" s="830" t="s">
        <v>453</v>
      </c>
      <c r="AR14" s="103">
        <v>9</v>
      </c>
      <c r="AS14" s="103">
        <v>285.94444444444446</v>
      </c>
    </row>
    <row r="15" spans="4:45" s="103" customFormat="1" ht="19.5" customHeight="1" x14ac:dyDescent="0.3">
      <c r="D15" s="623">
        <v>5</v>
      </c>
      <c r="E15" s="623">
        <v>500</v>
      </c>
      <c r="F15" s="623">
        <v>560</v>
      </c>
      <c r="G15" s="624">
        <v>510</v>
      </c>
      <c r="H15" s="624">
        <v>565.70000000000005</v>
      </c>
      <c r="I15" s="624">
        <v>553.1</v>
      </c>
      <c r="J15" s="625">
        <v>291.2</v>
      </c>
      <c r="K15" s="625">
        <v>305.60000000000002</v>
      </c>
      <c r="L15" s="625">
        <v>299.2</v>
      </c>
      <c r="M15" s="625">
        <v>300.89999999999998</v>
      </c>
      <c r="N15" s="625">
        <v>203.2</v>
      </c>
      <c r="O15" s="625">
        <v>211.2</v>
      </c>
      <c r="P15" s="625">
        <v>209.9</v>
      </c>
      <c r="Q15" s="625">
        <v>211.3</v>
      </c>
      <c r="R15" s="625">
        <v>209.7</v>
      </c>
      <c r="S15" s="625">
        <v>210.8</v>
      </c>
      <c r="T15" s="625">
        <v>193.1</v>
      </c>
      <c r="U15" s="625">
        <v>206</v>
      </c>
      <c r="V15" s="625">
        <v>212.1</v>
      </c>
      <c r="W15" s="625">
        <v>195.3</v>
      </c>
      <c r="X15" s="625">
        <v>200.3</v>
      </c>
      <c r="Y15" s="625">
        <v>217.3</v>
      </c>
      <c r="Z15" s="625">
        <v>213.1</v>
      </c>
      <c r="AB15">
        <v>5</v>
      </c>
      <c r="AC15">
        <v>43</v>
      </c>
      <c r="AD15">
        <v>16</v>
      </c>
      <c r="AN15" s="103">
        <v>120</v>
      </c>
      <c r="AO15" s="103">
        <v>160</v>
      </c>
      <c r="AQ15" s="830" t="s">
        <v>454</v>
      </c>
      <c r="AR15" s="103">
        <v>10</v>
      </c>
      <c r="AS15" s="103">
        <v>293.94444444444446</v>
      </c>
    </row>
    <row r="16" spans="4:45" s="103" customFormat="1" ht="19.5" customHeight="1" x14ac:dyDescent="0.3">
      <c r="D16" s="136">
        <v>6</v>
      </c>
      <c r="E16" s="136">
        <v>500</v>
      </c>
      <c r="F16" s="136">
        <v>560</v>
      </c>
      <c r="G16" s="137">
        <v>518</v>
      </c>
      <c r="H16" s="137">
        <v>569.70000000000005</v>
      </c>
      <c r="I16" s="137">
        <v>558.5</v>
      </c>
      <c r="J16" s="138">
        <v>308.60000000000002</v>
      </c>
      <c r="K16" s="138">
        <v>323.2</v>
      </c>
      <c r="L16" s="138">
        <v>317.3</v>
      </c>
      <c r="M16" s="138">
        <v>317.7</v>
      </c>
      <c r="N16" s="138">
        <v>216</v>
      </c>
      <c r="O16" s="138">
        <v>222.6</v>
      </c>
      <c r="P16" s="138">
        <v>220.8</v>
      </c>
      <c r="Q16" s="138">
        <v>222.5</v>
      </c>
      <c r="R16" s="138">
        <v>220.4</v>
      </c>
      <c r="S16" s="138">
        <v>222.9</v>
      </c>
      <c r="T16" s="138">
        <v>204.4</v>
      </c>
      <c r="U16" s="138">
        <v>217.6</v>
      </c>
      <c r="V16" s="138">
        <v>221.4</v>
      </c>
      <c r="W16" s="138">
        <v>206.1</v>
      </c>
      <c r="X16" s="138">
        <v>210</v>
      </c>
      <c r="Y16" s="138">
        <v>229.1</v>
      </c>
      <c r="Z16" s="138">
        <v>224.4</v>
      </c>
      <c r="AB16">
        <v>6</v>
      </c>
      <c r="AC16">
        <v>44.6</v>
      </c>
      <c r="AD16">
        <v>15.8</v>
      </c>
      <c r="AQ16" s="830" t="s">
        <v>455</v>
      </c>
      <c r="AR16" s="103">
        <v>11</v>
      </c>
      <c r="AS16" s="103">
        <v>301.94444444444446</v>
      </c>
    </row>
    <row r="17" spans="4:45" s="103" customFormat="1" ht="19.5" customHeight="1" x14ac:dyDescent="0.3">
      <c r="D17" s="136">
        <v>7</v>
      </c>
      <c r="E17" s="136">
        <v>500</v>
      </c>
      <c r="F17" s="136">
        <v>560</v>
      </c>
      <c r="G17" s="137">
        <v>525</v>
      </c>
      <c r="H17" s="137">
        <v>573.20000000000005</v>
      </c>
      <c r="I17" s="137">
        <v>563.20000000000005</v>
      </c>
      <c r="J17" s="138">
        <v>324.2</v>
      </c>
      <c r="K17" s="138">
        <v>338.6</v>
      </c>
      <c r="L17" s="138">
        <v>332.5</v>
      </c>
      <c r="M17" s="138">
        <v>332.7</v>
      </c>
      <c r="N17" s="138">
        <v>226</v>
      </c>
      <c r="O17" s="138">
        <v>234</v>
      </c>
      <c r="P17" s="138">
        <v>231.5</v>
      </c>
      <c r="Q17" s="138">
        <v>233.1</v>
      </c>
      <c r="R17" s="138">
        <v>230.6</v>
      </c>
      <c r="S17" s="138">
        <v>235.2</v>
      </c>
      <c r="T17" s="138">
        <v>215.7</v>
      </c>
      <c r="U17" s="138">
        <v>228.8</v>
      </c>
      <c r="V17" s="138">
        <v>231.3</v>
      </c>
      <c r="W17" s="138">
        <v>216.3</v>
      </c>
      <c r="X17" s="138">
        <v>219.1</v>
      </c>
      <c r="Y17" s="138">
        <v>239.5</v>
      </c>
      <c r="Z17" s="138">
        <v>235.2</v>
      </c>
      <c r="AB17">
        <v>7</v>
      </c>
      <c r="AC17">
        <v>44.8</v>
      </c>
      <c r="AD17">
        <v>15.8</v>
      </c>
      <c r="AN17" s="103">
        <v>0</v>
      </c>
      <c r="AO17" s="103">
        <v>360</v>
      </c>
      <c r="AQ17" s="830" t="s">
        <v>456</v>
      </c>
      <c r="AR17" s="103">
        <v>12</v>
      </c>
      <c r="AS17" s="103">
        <v>309.33333333333331</v>
      </c>
    </row>
    <row r="18" spans="4:45" s="103" customFormat="1" ht="19.5" customHeight="1" x14ac:dyDescent="0.3">
      <c r="D18" s="136">
        <v>8</v>
      </c>
      <c r="E18" s="136">
        <v>500</v>
      </c>
      <c r="F18" s="136">
        <v>560</v>
      </c>
      <c r="G18" s="137">
        <v>533</v>
      </c>
      <c r="H18" s="137">
        <v>576.70000000000005</v>
      </c>
      <c r="I18" s="137">
        <v>567.4</v>
      </c>
      <c r="J18" s="138">
        <v>338.5</v>
      </c>
      <c r="K18" s="138">
        <v>351.3</v>
      </c>
      <c r="L18" s="138">
        <v>345.5</v>
      </c>
      <c r="M18" s="138">
        <v>345.9</v>
      </c>
      <c r="N18" s="138">
        <v>235.1</v>
      </c>
      <c r="O18" s="138">
        <v>244.8</v>
      </c>
      <c r="P18" s="138">
        <v>241.8</v>
      </c>
      <c r="Q18" s="138">
        <v>242.9</v>
      </c>
      <c r="R18" s="138">
        <v>239.8</v>
      </c>
      <c r="S18" s="138">
        <v>246.7</v>
      </c>
      <c r="T18" s="138">
        <v>225.7</v>
      </c>
      <c r="U18" s="138">
        <v>238.3</v>
      </c>
      <c r="V18" s="138">
        <v>239.7</v>
      </c>
      <c r="W18" s="138">
        <v>224.8</v>
      </c>
      <c r="X18" s="138">
        <v>227.7</v>
      </c>
      <c r="Y18" s="138">
        <v>250.3</v>
      </c>
      <c r="Z18" s="138">
        <v>246.7</v>
      </c>
      <c r="AB18">
        <v>8</v>
      </c>
      <c r="AC18">
        <v>44.5</v>
      </c>
      <c r="AD18">
        <v>15.8</v>
      </c>
      <c r="AN18" s="103">
        <v>120</v>
      </c>
      <c r="AO18" s="103">
        <v>360</v>
      </c>
      <c r="AQ18" s="830" t="s">
        <v>457</v>
      </c>
      <c r="AR18" s="103">
        <v>13</v>
      </c>
      <c r="AS18" s="103">
        <v>316.44444444444446</v>
      </c>
    </row>
    <row r="19" spans="4:45" s="103" customFormat="1" ht="19.5" customHeight="1" x14ac:dyDescent="0.3">
      <c r="D19" s="136">
        <v>9</v>
      </c>
      <c r="E19" s="136">
        <v>500</v>
      </c>
      <c r="F19" s="136">
        <v>560</v>
      </c>
      <c r="G19" s="137">
        <v>538</v>
      </c>
      <c r="H19" s="137">
        <v>580.1</v>
      </c>
      <c r="I19" s="137">
        <v>571.1</v>
      </c>
      <c r="J19" s="138">
        <v>351.6</v>
      </c>
      <c r="K19" s="138">
        <v>362.4</v>
      </c>
      <c r="L19" s="138">
        <v>356.3</v>
      </c>
      <c r="M19" s="138">
        <v>357.3</v>
      </c>
      <c r="N19" s="138">
        <v>245.2</v>
      </c>
      <c r="O19" s="138">
        <v>253.6</v>
      </c>
      <c r="P19" s="138">
        <v>250.5</v>
      </c>
      <c r="Q19" s="138">
        <v>252.7</v>
      </c>
      <c r="R19" s="138">
        <v>249.9</v>
      </c>
      <c r="S19" s="138">
        <v>256.39999999999998</v>
      </c>
      <c r="T19" s="138">
        <v>234.8</v>
      </c>
      <c r="U19" s="138">
        <v>249.4</v>
      </c>
      <c r="V19" s="138">
        <v>249.7</v>
      </c>
      <c r="W19" s="138">
        <v>233.9</v>
      </c>
      <c r="X19" s="138">
        <v>236</v>
      </c>
      <c r="Y19" s="138">
        <v>259.7</v>
      </c>
      <c r="Z19" s="138">
        <v>255.5</v>
      </c>
      <c r="AB19" s="759">
        <v>9</v>
      </c>
      <c r="AC19" s="759">
        <v>45</v>
      </c>
      <c r="AD19" s="759">
        <v>15.7</v>
      </c>
      <c r="AQ19" s="830" t="s">
        <v>458</v>
      </c>
      <c r="AR19" s="103">
        <v>14</v>
      </c>
      <c r="AS19" s="103">
        <v>323.94444444444446</v>
      </c>
    </row>
    <row r="20" spans="4:45" s="103" customFormat="1" ht="19.5" customHeight="1" x14ac:dyDescent="0.3">
      <c r="D20" s="623">
        <v>10</v>
      </c>
      <c r="E20" s="623">
        <v>500</v>
      </c>
      <c r="F20" s="623">
        <v>560</v>
      </c>
      <c r="G20" s="624">
        <v>543.5</v>
      </c>
      <c r="H20" s="624">
        <v>583.4</v>
      </c>
      <c r="I20" s="624">
        <v>574.70000000000005</v>
      </c>
      <c r="J20" s="625">
        <v>363.5</v>
      </c>
      <c r="K20" s="625">
        <v>374.1</v>
      </c>
      <c r="L20" s="625">
        <v>366.7</v>
      </c>
      <c r="M20" s="625">
        <v>367.8</v>
      </c>
      <c r="N20" s="625">
        <v>253.3</v>
      </c>
      <c r="O20" s="625">
        <v>264</v>
      </c>
      <c r="P20" s="625">
        <v>260.3</v>
      </c>
      <c r="Q20" s="625">
        <v>261.89999999999998</v>
      </c>
      <c r="R20" s="625">
        <v>258.39999999999998</v>
      </c>
      <c r="S20" s="625">
        <v>267.8</v>
      </c>
      <c r="T20" s="625">
        <v>245</v>
      </c>
      <c r="U20" s="625">
        <v>258.10000000000002</v>
      </c>
      <c r="V20" s="625">
        <v>257</v>
      </c>
      <c r="W20" s="625">
        <v>242.2</v>
      </c>
      <c r="X20" s="625">
        <v>244.6</v>
      </c>
      <c r="Y20" s="625">
        <v>268.8</v>
      </c>
      <c r="Z20" s="625">
        <v>266</v>
      </c>
      <c r="AB20">
        <v>10</v>
      </c>
      <c r="AC20">
        <v>44.6</v>
      </c>
      <c r="AD20">
        <v>15.7</v>
      </c>
      <c r="AN20" s="103">
        <v>0</v>
      </c>
      <c r="AO20" s="103">
        <v>560</v>
      </c>
      <c r="AQ20" s="830" t="s">
        <v>459</v>
      </c>
      <c r="AR20" s="103">
        <v>15</v>
      </c>
      <c r="AS20" s="103">
        <v>330.77777777777777</v>
      </c>
    </row>
    <row r="21" spans="4:45" s="103" customFormat="1" ht="19.5" customHeight="1" x14ac:dyDescent="0.3">
      <c r="D21" s="136">
        <v>11</v>
      </c>
      <c r="E21" s="136">
        <v>500</v>
      </c>
      <c r="F21" s="136">
        <v>560</v>
      </c>
      <c r="G21" s="137">
        <v>548</v>
      </c>
      <c r="H21" s="137">
        <v>586.6</v>
      </c>
      <c r="I21" s="137">
        <v>578.20000000000005</v>
      </c>
      <c r="J21" s="138">
        <v>374.4</v>
      </c>
      <c r="K21" s="138">
        <v>387.1</v>
      </c>
      <c r="L21" s="138">
        <v>378.3</v>
      </c>
      <c r="M21" s="138">
        <v>379.7</v>
      </c>
      <c r="N21" s="138">
        <v>262.5</v>
      </c>
      <c r="O21" s="138">
        <v>273.10000000000002</v>
      </c>
      <c r="P21" s="138">
        <v>268.3</v>
      </c>
      <c r="Q21" s="138">
        <v>271.3</v>
      </c>
      <c r="R21" s="138">
        <v>267.8</v>
      </c>
      <c r="S21" s="138">
        <v>277.8</v>
      </c>
      <c r="T21" s="138">
        <v>253.3</v>
      </c>
      <c r="U21" s="138">
        <v>268</v>
      </c>
      <c r="V21" s="138">
        <v>266.5</v>
      </c>
      <c r="W21" s="138">
        <v>250.8</v>
      </c>
      <c r="X21" s="138">
        <v>252.3</v>
      </c>
      <c r="Y21" s="138">
        <v>278.39999999999998</v>
      </c>
      <c r="Z21" s="138">
        <v>275.2</v>
      </c>
      <c r="AB21">
        <v>11</v>
      </c>
      <c r="AC21">
        <v>45</v>
      </c>
      <c r="AD21">
        <v>15.6</v>
      </c>
      <c r="AN21" s="103">
        <v>120</v>
      </c>
      <c r="AO21" s="103">
        <v>560</v>
      </c>
      <c r="AQ21" s="830" t="s">
        <v>460</v>
      </c>
      <c r="AR21" s="103">
        <v>16</v>
      </c>
      <c r="AS21" s="103">
        <v>338.05555555555554</v>
      </c>
    </row>
    <row r="22" spans="4:45" s="103" customFormat="1" ht="19.5" customHeight="1" x14ac:dyDescent="0.3">
      <c r="D22" s="136">
        <v>12</v>
      </c>
      <c r="E22" s="136">
        <v>500</v>
      </c>
      <c r="F22" s="136">
        <v>560</v>
      </c>
      <c r="G22" s="137">
        <v>553</v>
      </c>
      <c r="H22" s="137">
        <v>589.6</v>
      </c>
      <c r="I22" s="137">
        <v>581.70000000000005</v>
      </c>
      <c r="J22" s="138">
        <v>384.5</v>
      </c>
      <c r="K22" s="138">
        <v>397.2</v>
      </c>
      <c r="L22" s="138">
        <v>390.2</v>
      </c>
      <c r="M22" s="138">
        <v>391.3</v>
      </c>
      <c r="N22" s="138">
        <v>270.2</v>
      </c>
      <c r="O22" s="138">
        <v>283</v>
      </c>
      <c r="P22" s="138">
        <v>278.10000000000002</v>
      </c>
      <c r="Q22" s="138">
        <v>280.60000000000002</v>
      </c>
      <c r="R22" s="138">
        <v>276.89999999999998</v>
      </c>
      <c r="S22" s="138">
        <v>287.10000000000002</v>
      </c>
      <c r="T22" s="138">
        <v>262.7</v>
      </c>
      <c r="U22" s="138">
        <v>276.89999999999998</v>
      </c>
      <c r="V22" s="138">
        <v>274</v>
      </c>
      <c r="W22" s="138">
        <v>258.3</v>
      </c>
      <c r="X22" s="138">
        <v>260.2</v>
      </c>
      <c r="Y22" s="138">
        <v>286.60000000000002</v>
      </c>
      <c r="Z22" s="138">
        <v>284.89999999999998</v>
      </c>
      <c r="AB22">
        <v>12</v>
      </c>
      <c r="AC22">
        <v>45</v>
      </c>
      <c r="AD22">
        <v>15</v>
      </c>
      <c r="AQ22" s="830" t="s">
        <v>461</v>
      </c>
      <c r="AR22" s="103">
        <v>17</v>
      </c>
      <c r="AS22" s="103">
        <v>344.66666666666669</v>
      </c>
    </row>
    <row r="23" spans="4:45" s="103" customFormat="1" ht="19.5" customHeight="1" x14ac:dyDescent="0.3">
      <c r="D23" s="136">
        <v>13</v>
      </c>
      <c r="E23" s="136">
        <v>500</v>
      </c>
      <c r="F23" s="136">
        <v>560</v>
      </c>
      <c r="G23" s="137">
        <v>556</v>
      </c>
      <c r="H23" s="137">
        <v>592.6</v>
      </c>
      <c r="I23" s="137">
        <v>585.1</v>
      </c>
      <c r="J23" s="138">
        <v>394.2</v>
      </c>
      <c r="K23" s="138">
        <v>406</v>
      </c>
      <c r="L23" s="138">
        <v>398.9</v>
      </c>
      <c r="M23" s="138">
        <v>400</v>
      </c>
      <c r="N23" s="138">
        <v>278.8</v>
      </c>
      <c r="O23" s="138">
        <v>291.5</v>
      </c>
      <c r="P23" s="138">
        <v>286.39999999999998</v>
      </c>
      <c r="Q23" s="138">
        <v>288.60000000000002</v>
      </c>
      <c r="R23" s="138">
        <v>286.10000000000002</v>
      </c>
      <c r="S23" s="138">
        <v>296.8</v>
      </c>
      <c r="T23" s="138">
        <v>270.5</v>
      </c>
      <c r="U23" s="138">
        <v>285.8</v>
      </c>
      <c r="V23" s="138">
        <v>283.3</v>
      </c>
      <c r="W23" s="138">
        <v>266.8</v>
      </c>
      <c r="X23" s="138">
        <v>268.2</v>
      </c>
      <c r="Y23" s="138">
        <v>295</v>
      </c>
      <c r="Z23" s="138">
        <v>293.3</v>
      </c>
      <c r="AB23">
        <v>13</v>
      </c>
      <c r="AC23">
        <v>45.2</v>
      </c>
      <c r="AD23">
        <v>15.6</v>
      </c>
      <c r="AQ23" s="830" t="s">
        <v>462</v>
      </c>
      <c r="AR23" s="103">
        <v>18</v>
      </c>
      <c r="AS23" s="103">
        <v>351.44444444444446</v>
      </c>
    </row>
    <row r="24" spans="4:45" s="103" customFormat="1" ht="19.5" customHeight="1" x14ac:dyDescent="0.3">
      <c r="D24" s="136">
        <v>14</v>
      </c>
      <c r="E24" s="136">
        <v>500</v>
      </c>
      <c r="F24" s="136">
        <v>560</v>
      </c>
      <c r="G24" s="137">
        <v>560</v>
      </c>
      <c r="H24" s="137">
        <v>595.6</v>
      </c>
      <c r="I24" s="137">
        <v>588.4</v>
      </c>
      <c r="J24" s="138">
        <v>404</v>
      </c>
      <c r="K24" s="138">
        <v>414.7</v>
      </c>
      <c r="L24" s="138">
        <v>407.3</v>
      </c>
      <c r="M24" s="138">
        <v>408.3</v>
      </c>
      <c r="N24" s="138">
        <v>286.39999999999998</v>
      </c>
      <c r="O24" s="138">
        <v>299.39999999999998</v>
      </c>
      <c r="P24" s="138">
        <v>294.60000000000002</v>
      </c>
      <c r="Q24" s="138">
        <v>296.89999999999998</v>
      </c>
      <c r="R24" s="138">
        <v>294.39999999999998</v>
      </c>
      <c r="S24" s="138">
        <v>305.2</v>
      </c>
      <c r="T24" s="138">
        <v>279.8</v>
      </c>
      <c r="U24" s="138">
        <v>293.89999999999998</v>
      </c>
      <c r="V24" s="138">
        <v>290.89999999999998</v>
      </c>
      <c r="W24" s="138">
        <v>274.39999999999998</v>
      </c>
      <c r="X24" s="138">
        <v>276.10000000000002</v>
      </c>
      <c r="Y24" s="138">
        <v>301.89999999999998</v>
      </c>
      <c r="Z24" s="138">
        <v>300.3</v>
      </c>
      <c r="AB24">
        <v>14</v>
      </c>
      <c r="AC24">
        <v>45.4</v>
      </c>
      <c r="AD24">
        <v>15.6</v>
      </c>
      <c r="AQ24" s="830" t="s">
        <v>463</v>
      </c>
      <c r="AR24" s="103">
        <v>19</v>
      </c>
      <c r="AS24" s="103">
        <v>357.22222222222223</v>
      </c>
    </row>
    <row r="25" spans="4:45" s="103" customFormat="1" ht="19.5" customHeight="1" thickBot="1" x14ac:dyDescent="0.35">
      <c r="D25" s="623">
        <v>15</v>
      </c>
      <c r="E25" s="623">
        <v>500</v>
      </c>
      <c r="F25" s="623">
        <v>560</v>
      </c>
      <c r="G25" s="624">
        <v>563</v>
      </c>
      <c r="H25" s="624">
        <v>598.5</v>
      </c>
      <c r="I25" s="624">
        <v>591.6</v>
      </c>
      <c r="J25" s="625">
        <v>413.2</v>
      </c>
      <c r="K25" s="625">
        <v>424.4</v>
      </c>
      <c r="L25" s="625">
        <v>415.7</v>
      </c>
      <c r="M25" s="625">
        <v>417</v>
      </c>
      <c r="N25" s="625">
        <v>294.10000000000002</v>
      </c>
      <c r="O25" s="625">
        <v>306.89999999999998</v>
      </c>
      <c r="P25" s="625">
        <v>301.60000000000002</v>
      </c>
      <c r="Q25" s="625">
        <v>304.2</v>
      </c>
      <c r="R25" s="625">
        <v>301.89999999999998</v>
      </c>
      <c r="S25" s="625">
        <v>314.5</v>
      </c>
      <c r="T25" s="625">
        <v>287.39999999999998</v>
      </c>
      <c r="U25" s="625">
        <v>300.7</v>
      </c>
      <c r="V25" s="625">
        <v>298.7</v>
      </c>
      <c r="W25" s="625">
        <v>283.10000000000002</v>
      </c>
      <c r="X25" s="625">
        <v>284.10000000000002</v>
      </c>
      <c r="Y25" s="625">
        <v>310</v>
      </c>
      <c r="Z25" s="625">
        <v>308.39999999999998</v>
      </c>
      <c r="AB25" s="759">
        <v>15</v>
      </c>
      <c r="AC25" s="759">
        <v>45.5</v>
      </c>
      <c r="AD25" s="759">
        <v>15</v>
      </c>
      <c r="AQ25" s="830" t="s">
        <v>464</v>
      </c>
      <c r="AR25" s="103">
        <v>20</v>
      </c>
      <c r="AS25" s="103">
        <v>363.72222222222223</v>
      </c>
    </row>
    <row r="26" spans="4:45" s="103" customFormat="1" ht="19.5" customHeight="1" thickBot="1" x14ac:dyDescent="0.35">
      <c r="D26" s="136">
        <v>16</v>
      </c>
      <c r="E26" s="136">
        <v>500</v>
      </c>
      <c r="F26" s="136">
        <v>560</v>
      </c>
      <c r="G26" s="137">
        <v>566</v>
      </c>
      <c r="H26" s="137">
        <v>601.4</v>
      </c>
      <c r="I26" s="137">
        <v>594.79999999999995</v>
      </c>
      <c r="J26" s="138">
        <v>421.9</v>
      </c>
      <c r="K26" s="138">
        <v>433.3</v>
      </c>
      <c r="L26" s="138">
        <v>424.9</v>
      </c>
      <c r="M26" s="138">
        <v>426.3</v>
      </c>
      <c r="N26" s="138">
        <v>301</v>
      </c>
      <c r="O26" s="138">
        <v>314.2</v>
      </c>
      <c r="P26" s="138">
        <v>309.5</v>
      </c>
      <c r="Q26" s="138">
        <v>312.2</v>
      </c>
      <c r="R26" s="138">
        <v>309.7</v>
      </c>
      <c r="S26" s="138">
        <v>322.2</v>
      </c>
      <c r="T26" s="138">
        <v>295.39999999999998</v>
      </c>
      <c r="U26" s="138">
        <v>308.5</v>
      </c>
      <c r="V26" s="138">
        <v>305.2</v>
      </c>
      <c r="W26" s="138">
        <v>290.5</v>
      </c>
      <c r="X26" s="138">
        <v>291.5</v>
      </c>
      <c r="Y26" s="138">
        <v>316.60000000000002</v>
      </c>
      <c r="Z26" s="138">
        <v>315.2</v>
      </c>
      <c r="AB26" s="760">
        <v>16</v>
      </c>
      <c r="AC26" s="760">
        <v>45.5</v>
      </c>
      <c r="AD26" s="760">
        <v>15.1</v>
      </c>
      <c r="AQ26" s="830" t="s">
        <v>465</v>
      </c>
      <c r="AR26" s="103">
        <v>21</v>
      </c>
      <c r="AS26" s="103">
        <v>369.5</v>
      </c>
    </row>
    <row r="27" spans="4:45" s="103" customFormat="1" ht="19.5" customHeight="1" x14ac:dyDescent="0.3">
      <c r="D27" s="136">
        <v>17</v>
      </c>
      <c r="E27" s="136">
        <v>500</v>
      </c>
      <c r="F27" s="136">
        <v>560</v>
      </c>
      <c r="G27" s="137">
        <v>569</v>
      </c>
      <c r="H27" s="137">
        <v>604.4</v>
      </c>
      <c r="I27" s="137">
        <v>598</v>
      </c>
      <c r="J27" s="138">
        <v>430.1</v>
      </c>
      <c r="K27" s="138">
        <v>441.2</v>
      </c>
      <c r="L27" s="138">
        <v>433.3</v>
      </c>
      <c r="M27" s="138">
        <v>434.6</v>
      </c>
      <c r="N27" s="138">
        <v>308</v>
      </c>
      <c r="O27" s="138">
        <v>321.7</v>
      </c>
      <c r="P27" s="138">
        <v>316</v>
      </c>
      <c r="Q27" s="138">
        <v>319.10000000000002</v>
      </c>
      <c r="R27" s="138">
        <v>316.60000000000002</v>
      </c>
      <c r="S27" s="138">
        <v>330</v>
      </c>
      <c r="T27" s="138">
        <v>301.8</v>
      </c>
      <c r="U27" s="138">
        <v>314.89999999999998</v>
      </c>
      <c r="V27" s="138">
        <v>313</v>
      </c>
      <c r="W27" s="138">
        <v>297.89999999999998</v>
      </c>
      <c r="X27" s="138">
        <v>298.39999999999998</v>
      </c>
      <c r="Y27" s="138">
        <v>324.3</v>
      </c>
      <c r="Z27" s="138">
        <v>323.3</v>
      </c>
      <c r="AQ27" s="830" t="s">
        <v>466</v>
      </c>
      <c r="AR27" s="103">
        <v>22</v>
      </c>
      <c r="AS27" s="103">
        <v>375.66666666666669</v>
      </c>
    </row>
    <row r="28" spans="4:45" s="103" customFormat="1" ht="19.5" customHeight="1" x14ac:dyDescent="0.3">
      <c r="D28" s="136">
        <v>18</v>
      </c>
      <c r="E28" s="136">
        <v>500</v>
      </c>
      <c r="F28" s="136">
        <v>560</v>
      </c>
      <c r="G28" s="137">
        <v>572</v>
      </c>
      <c r="H28" s="137">
        <v>607.29999999999995</v>
      </c>
      <c r="I28" s="137">
        <v>601.20000000000005</v>
      </c>
      <c r="J28" s="138">
        <v>438.5</v>
      </c>
      <c r="K28" s="138">
        <v>448.8</v>
      </c>
      <c r="L28" s="138">
        <v>440.7</v>
      </c>
      <c r="M28" s="138">
        <v>442.1</v>
      </c>
      <c r="N28" s="138">
        <v>314.89999999999998</v>
      </c>
      <c r="O28" s="138">
        <v>328.5</v>
      </c>
      <c r="P28" s="138">
        <v>323.7</v>
      </c>
      <c r="Q28" s="138">
        <v>326.39999999999998</v>
      </c>
      <c r="R28" s="138">
        <v>324.2</v>
      </c>
      <c r="S28" s="138">
        <v>338.6</v>
      </c>
      <c r="T28" s="138">
        <v>309.60000000000002</v>
      </c>
      <c r="U28" s="138">
        <v>322.7</v>
      </c>
      <c r="V28" s="138">
        <v>319.2</v>
      </c>
      <c r="W28" s="138">
        <v>304.39999999999998</v>
      </c>
      <c r="X28" s="138">
        <v>304.89999999999998</v>
      </c>
      <c r="Y28" s="138">
        <v>330.8</v>
      </c>
      <c r="Z28" s="138">
        <v>330.2</v>
      </c>
      <c r="AQ28" s="830" t="s">
        <v>467</v>
      </c>
      <c r="AR28" s="103">
        <v>23</v>
      </c>
      <c r="AS28" s="103">
        <v>381.33333333333331</v>
      </c>
    </row>
    <row r="29" spans="4:45" s="103" customFormat="1" ht="19.5" customHeight="1" x14ac:dyDescent="0.3">
      <c r="D29" s="136">
        <v>19</v>
      </c>
      <c r="E29" s="136">
        <v>500</v>
      </c>
      <c r="F29" s="136">
        <v>560</v>
      </c>
      <c r="G29" s="137">
        <v>575</v>
      </c>
      <c r="H29" s="137">
        <v>610.20000000000005</v>
      </c>
      <c r="I29" s="137">
        <v>604.6</v>
      </c>
      <c r="J29" s="138">
        <v>446.5</v>
      </c>
      <c r="K29" s="138">
        <v>457.3</v>
      </c>
      <c r="L29" s="138">
        <v>448</v>
      </c>
      <c r="M29" s="138">
        <v>449.4</v>
      </c>
      <c r="N29" s="138">
        <v>321.3</v>
      </c>
      <c r="O29" s="138">
        <v>336.2</v>
      </c>
      <c r="P29" s="138">
        <v>330.2</v>
      </c>
      <c r="Q29" s="138">
        <v>333.1</v>
      </c>
      <c r="R29" s="138">
        <v>330.8</v>
      </c>
      <c r="S29" s="138">
        <v>346</v>
      </c>
      <c r="T29" s="138">
        <v>315.8</v>
      </c>
      <c r="U29" s="138">
        <v>329.1</v>
      </c>
      <c r="V29" s="138">
        <v>326.5</v>
      </c>
      <c r="W29" s="138">
        <v>311.8</v>
      </c>
      <c r="X29" s="138">
        <v>312</v>
      </c>
      <c r="Y29" s="138">
        <v>338.1</v>
      </c>
      <c r="Z29" s="138">
        <v>338</v>
      </c>
      <c r="AQ29" s="830" t="s">
        <v>468</v>
      </c>
      <c r="AR29" s="103">
        <v>24</v>
      </c>
      <c r="AS29" s="103">
        <v>387.44444444444446</v>
      </c>
    </row>
    <row r="30" spans="4:45" s="103" customFormat="1" ht="19.5" customHeight="1" x14ac:dyDescent="0.3">
      <c r="D30" s="623">
        <v>20</v>
      </c>
      <c r="E30" s="623">
        <v>500</v>
      </c>
      <c r="F30" s="623">
        <v>560</v>
      </c>
      <c r="G30" s="624">
        <v>578</v>
      </c>
      <c r="H30" s="624">
        <v>613.1</v>
      </c>
      <c r="I30" s="624">
        <v>607.9</v>
      </c>
      <c r="J30" s="625">
        <v>454.4</v>
      </c>
      <c r="K30" s="625">
        <v>465.4</v>
      </c>
      <c r="L30" s="625">
        <v>455.9</v>
      </c>
      <c r="M30" s="625">
        <v>457.4</v>
      </c>
      <c r="N30" s="625">
        <v>328.2</v>
      </c>
      <c r="O30" s="625">
        <v>342.6</v>
      </c>
      <c r="P30" s="625">
        <v>337.5</v>
      </c>
      <c r="Q30" s="625">
        <v>340.1</v>
      </c>
      <c r="R30" s="625">
        <v>338.2</v>
      </c>
      <c r="S30" s="625">
        <v>353.6</v>
      </c>
      <c r="T30" s="625">
        <v>323.2</v>
      </c>
      <c r="U30" s="625">
        <v>336.6</v>
      </c>
      <c r="V30" s="625">
        <v>332.5</v>
      </c>
      <c r="W30" s="625">
        <v>317.89999999999998</v>
      </c>
      <c r="X30" s="625">
        <v>318.2</v>
      </c>
      <c r="Y30" s="625">
        <v>344.6</v>
      </c>
      <c r="Z30" s="625">
        <v>344.7</v>
      </c>
      <c r="AQ30" s="830" t="s">
        <v>469</v>
      </c>
      <c r="AR30" s="103">
        <v>25</v>
      </c>
      <c r="AS30" s="103">
        <v>392.88888888888891</v>
      </c>
    </row>
    <row r="31" spans="4:45" s="103" customFormat="1" ht="19.5" customHeight="1" x14ac:dyDescent="0.3">
      <c r="D31" s="136">
        <v>21</v>
      </c>
      <c r="E31" s="136">
        <v>500</v>
      </c>
      <c r="F31" s="136">
        <v>560</v>
      </c>
      <c r="G31" s="137">
        <v>581</v>
      </c>
      <c r="H31" s="137">
        <v>616.1</v>
      </c>
      <c r="I31" s="137">
        <v>611.20000000000005</v>
      </c>
      <c r="J31" s="138">
        <v>462</v>
      </c>
      <c r="K31" s="138">
        <v>472.5</v>
      </c>
      <c r="L31" s="138">
        <v>463.6</v>
      </c>
      <c r="M31" s="138">
        <v>465.2</v>
      </c>
      <c r="N31" s="138">
        <v>334.2</v>
      </c>
      <c r="O31" s="138">
        <v>349.8</v>
      </c>
      <c r="P31" s="138">
        <v>343.9</v>
      </c>
      <c r="Q31" s="138">
        <v>346.8</v>
      </c>
      <c r="R31" s="138">
        <v>345</v>
      </c>
      <c r="S31" s="138">
        <v>360.1</v>
      </c>
      <c r="T31" s="138">
        <v>329.4</v>
      </c>
      <c r="U31" s="138">
        <v>343</v>
      </c>
      <c r="V31" s="138">
        <v>339.7</v>
      </c>
      <c r="W31" s="138">
        <v>325</v>
      </c>
      <c r="X31" s="138">
        <v>324.8</v>
      </c>
      <c r="Y31" s="138">
        <v>350.7</v>
      </c>
      <c r="Z31" s="138">
        <v>351</v>
      </c>
      <c r="AQ31" s="830" t="s">
        <v>470</v>
      </c>
      <c r="AR31" s="103">
        <v>26</v>
      </c>
      <c r="AS31" s="103">
        <v>398.72222222222223</v>
      </c>
    </row>
    <row r="32" spans="4:45" s="103" customFormat="1" ht="19.5" customHeight="1" x14ac:dyDescent="0.3">
      <c r="D32" s="136">
        <v>22</v>
      </c>
      <c r="E32" s="136">
        <v>500</v>
      </c>
      <c r="F32" s="136">
        <v>560</v>
      </c>
      <c r="G32" s="137">
        <v>584</v>
      </c>
      <c r="H32" s="137">
        <v>619.20000000000005</v>
      </c>
      <c r="I32" s="137">
        <v>614.5</v>
      </c>
      <c r="J32" s="138">
        <v>469.5</v>
      </c>
      <c r="K32" s="138">
        <v>479.5</v>
      </c>
      <c r="L32" s="138">
        <v>470.6</v>
      </c>
      <c r="M32" s="138">
        <v>472.3</v>
      </c>
      <c r="N32" s="138">
        <v>340.8</v>
      </c>
      <c r="O32" s="138">
        <v>355.6</v>
      </c>
      <c r="P32" s="138">
        <v>350.3</v>
      </c>
      <c r="Q32" s="138">
        <v>353.2</v>
      </c>
      <c r="R32" s="138">
        <v>351.8</v>
      </c>
      <c r="S32" s="138">
        <v>366.6</v>
      </c>
      <c r="T32" s="138">
        <v>336.6</v>
      </c>
      <c r="U32" s="138">
        <v>349.9</v>
      </c>
      <c r="V32" s="138">
        <v>345.6</v>
      </c>
      <c r="W32" s="138">
        <v>330.7</v>
      </c>
      <c r="X32" s="138">
        <v>330.7</v>
      </c>
      <c r="Y32" s="138">
        <v>356.8</v>
      </c>
      <c r="Z32" s="138">
        <v>357.6</v>
      </c>
      <c r="AQ32" s="830" t="s">
        <v>471</v>
      </c>
      <c r="AR32" s="103">
        <v>27</v>
      </c>
      <c r="AS32" s="103">
        <v>403.88888888888891</v>
      </c>
    </row>
    <row r="33" spans="4:45" s="103" customFormat="1" ht="19.5" customHeight="1" x14ac:dyDescent="0.3">
      <c r="D33" s="136">
        <v>23</v>
      </c>
      <c r="E33" s="136">
        <v>500</v>
      </c>
      <c r="F33" s="136">
        <v>560</v>
      </c>
      <c r="G33" s="137">
        <v>587</v>
      </c>
      <c r="H33" s="137">
        <v>622.29999999999995</v>
      </c>
      <c r="I33" s="137">
        <v>618</v>
      </c>
      <c r="J33" s="138">
        <v>476.7</v>
      </c>
      <c r="K33" s="138">
        <v>486.9</v>
      </c>
      <c r="L33" s="138">
        <v>477.3</v>
      </c>
      <c r="M33" s="138">
        <v>479</v>
      </c>
      <c r="N33" s="138">
        <v>346.4</v>
      </c>
      <c r="O33" s="138">
        <v>362.1</v>
      </c>
      <c r="P33" s="138">
        <v>355.9</v>
      </c>
      <c r="Q33" s="138">
        <v>359.5</v>
      </c>
      <c r="R33" s="138">
        <v>358.2</v>
      </c>
      <c r="S33" s="138">
        <v>374.8</v>
      </c>
      <c r="T33" s="138">
        <v>342.7</v>
      </c>
      <c r="U33" s="138">
        <v>355.6</v>
      </c>
      <c r="V33" s="138">
        <v>352.5</v>
      </c>
      <c r="W33" s="138">
        <v>337.9</v>
      </c>
      <c r="X33" s="138">
        <v>337.5</v>
      </c>
      <c r="Y33" s="138">
        <v>362.5</v>
      </c>
      <c r="Z33" s="138">
        <v>363.7</v>
      </c>
      <c r="AQ33" s="830" t="s">
        <v>472</v>
      </c>
      <c r="AR33" s="103">
        <v>28</v>
      </c>
      <c r="AS33" s="103">
        <v>409.44444444444446</v>
      </c>
    </row>
    <row r="34" spans="4:45" s="103" customFormat="1" ht="19.5" customHeight="1" x14ac:dyDescent="0.3">
      <c r="D34" s="136">
        <v>24</v>
      </c>
      <c r="E34" s="136">
        <v>500</v>
      </c>
      <c r="F34" s="136">
        <v>560</v>
      </c>
      <c r="G34" s="137">
        <v>590</v>
      </c>
      <c r="H34" s="137">
        <v>625.29999999999995</v>
      </c>
      <c r="I34" s="137">
        <v>621.5</v>
      </c>
      <c r="J34" s="138">
        <v>483.7</v>
      </c>
      <c r="K34" s="138">
        <v>494.3</v>
      </c>
      <c r="L34" s="138">
        <v>484.2</v>
      </c>
      <c r="M34" s="138">
        <v>486.1</v>
      </c>
      <c r="N34" s="138">
        <v>352.3</v>
      </c>
      <c r="O34" s="138">
        <v>368</v>
      </c>
      <c r="P34" s="138">
        <v>361.9</v>
      </c>
      <c r="Q34" s="138">
        <v>365.7</v>
      </c>
      <c r="R34" s="138">
        <v>364.6</v>
      </c>
      <c r="S34" s="138">
        <v>382.7</v>
      </c>
      <c r="T34" s="138">
        <v>349.4</v>
      </c>
      <c r="U34" s="138">
        <v>361.9</v>
      </c>
      <c r="V34" s="138">
        <v>358.2</v>
      </c>
      <c r="W34" s="138">
        <v>343.6</v>
      </c>
      <c r="X34" s="138">
        <v>343.1</v>
      </c>
      <c r="Y34" s="138">
        <v>369</v>
      </c>
      <c r="Z34" s="138">
        <v>371</v>
      </c>
      <c r="AQ34" s="830" t="s">
        <v>473</v>
      </c>
      <c r="AR34" s="103">
        <v>29</v>
      </c>
      <c r="AS34" s="103">
        <v>414.61111111111109</v>
      </c>
    </row>
    <row r="35" spans="4:45" s="103" customFormat="1" ht="19.5" customHeight="1" x14ac:dyDescent="0.3">
      <c r="D35" s="136">
        <v>25</v>
      </c>
      <c r="E35" s="136">
        <v>500</v>
      </c>
      <c r="F35" s="136">
        <v>560</v>
      </c>
      <c r="G35" s="137">
        <v>593</v>
      </c>
      <c r="H35" s="137">
        <v>628.4</v>
      </c>
      <c r="I35" s="137">
        <v>624.9</v>
      </c>
      <c r="J35" s="138">
        <v>490.4</v>
      </c>
      <c r="K35" s="138">
        <v>500.6</v>
      </c>
      <c r="L35" s="138">
        <v>491.3</v>
      </c>
      <c r="M35" s="138">
        <v>493.1</v>
      </c>
      <c r="N35" s="138">
        <v>357.5</v>
      </c>
      <c r="O35" s="138">
        <v>375.3</v>
      </c>
      <c r="P35" s="138">
        <v>367.7</v>
      </c>
      <c r="Q35" s="138">
        <v>372.3</v>
      </c>
      <c r="R35" s="138">
        <v>371.2</v>
      </c>
      <c r="S35" s="138">
        <v>390.7</v>
      </c>
      <c r="T35" s="138">
        <v>355</v>
      </c>
      <c r="U35" s="138">
        <v>367.8</v>
      </c>
      <c r="V35" s="138">
        <v>364.6</v>
      </c>
      <c r="W35" s="138">
        <v>350.5</v>
      </c>
      <c r="X35" s="138">
        <v>349.7</v>
      </c>
      <c r="Y35" s="138">
        <v>376.6</v>
      </c>
      <c r="Z35" s="138">
        <v>379</v>
      </c>
      <c r="AQ35" s="830" t="s">
        <v>474</v>
      </c>
      <c r="AR35" s="103">
        <v>30</v>
      </c>
      <c r="AS35" s="103">
        <v>420</v>
      </c>
    </row>
    <row r="36" spans="4:45" s="103" customFormat="1" ht="19.5" customHeight="1" x14ac:dyDescent="0.3">
      <c r="D36" s="136">
        <v>26</v>
      </c>
      <c r="E36" s="136">
        <v>500</v>
      </c>
      <c r="F36" s="136">
        <v>560</v>
      </c>
      <c r="G36" s="137">
        <v>595</v>
      </c>
      <c r="H36" s="137">
        <v>631.4</v>
      </c>
      <c r="I36" s="137">
        <v>628.4</v>
      </c>
      <c r="J36" s="138">
        <v>496.8</v>
      </c>
      <c r="K36" s="138">
        <v>506.4</v>
      </c>
      <c r="L36" s="138">
        <v>497.8</v>
      </c>
      <c r="M36" s="138">
        <v>499.3</v>
      </c>
      <c r="N36" s="138">
        <v>363.2</v>
      </c>
      <c r="O36" s="138">
        <v>382.2</v>
      </c>
      <c r="P36" s="138">
        <v>374.1</v>
      </c>
      <c r="Q36" s="138">
        <v>378.5</v>
      </c>
      <c r="R36" s="138">
        <v>377.7</v>
      </c>
      <c r="S36" s="138">
        <v>397.6</v>
      </c>
      <c r="T36" s="138">
        <v>361.2</v>
      </c>
      <c r="U36" s="138">
        <v>374.9</v>
      </c>
      <c r="V36" s="138">
        <v>370.5</v>
      </c>
      <c r="W36" s="138">
        <v>355.8</v>
      </c>
      <c r="X36" s="138">
        <v>355</v>
      </c>
      <c r="Y36" s="138">
        <v>385</v>
      </c>
      <c r="Z36" s="138">
        <v>387.2</v>
      </c>
      <c r="AQ36" s="830" t="s">
        <v>475</v>
      </c>
      <c r="AR36" s="103">
        <v>31</v>
      </c>
      <c r="AS36" s="103">
        <v>424.94444444444446</v>
      </c>
    </row>
    <row r="37" spans="4:45" s="103" customFormat="1" ht="19.5" customHeight="1" x14ac:dyDescent="0.3">
      <c r="D37" s="136">
        <v>27</v>
      </c>
      <c r="E37" s="136">
        <v>500</v>
      </c>
      <c r="F37" s="136">
        <v>560</v>
      </c>
      <c r="G37" s="137">
        <v>598</v>
      </c>
      <c r="H37" s="137">
        <v>634.4</v>
      </c>
      <c r="I37" s="137">
        <v>631.79999999999995</v>
      </c>
      <c r="J37" s="138">
        <v>502.6</v>
      </c>
      <c r="K37" s="138">
        <v>512.4</v>
      </c>
      <c r="L37" s="138">
        <v>503.3</v>
      </c>
      <c r="M37" s="138">
        <v>505</v>
      </c>
      <c r="N37" s="138">
        <v>368.5</v>
      </c>
      <c r="O37" s="138">
        <v>389</v>
      </c>
      <c r="P37" s="138">
        <v>381.5</v>
      </c>
      <c r="Q37" s="138">
        <v>385.7</v>
      </c>
      <c r="R37" s="138">
        <v>385</v>
      </c>
      <c r="S37" s="138">
        <v>404.1</v>
      </c>
      <c r="T37" s="138">
        <v>366.8</v>
      </c>
      <c r="U37" s="138">
        <v>383.5</v>
      </c>
      <c r="V37" s="138">
        <v>377.3</v>
      </c>
      <c r="W37" s="138">
        <v>362.4</v>
      </c>
      <c r="X37" s="138">
        <v>361.3</v>
      </c>
      <c r="Y37" s="138">
        <v>392.1</v>
      </c>
      <c r="Z37" s="138">
        <v>394.6</v>
      </c>
      <c r="AQ37" s="830" t="s">
        <v>476</v>
      </c>
      <c r="AR37" s="103">
        <v>32</v>
      </c>
      <c r="AS37" s="103">
        <v>430.27777777777777</v>
      </c>
    </row>
    <row r="38" spans="4:45" s="103" customFormat="1" ht="19.5" customHeight="1" x14ac:dyDescent="0.3">
      <c r="D38" s="136">
        <v>28</v>
      </c>
      <c r="E38" s="136">
        <v>500</v>
      </c>
      <c r="F38" s="136">
        <v>560</v>
      </c>
      <c r="G38" s="137">
        <v>600</v>
      </c>
      <c r="H38" s="137">
        <v>637.5</v>
      </c>
      <c r="I38" s="137">
        <v>635.20000000000005</v>
      </c>
      <c r="J38" s="138">
        <v>508.1</v>
      </c>
      <c r="K38" s="138">
        <v>518.70000000000005</v>
      </c>
      <c r="L38" s="138">
        <v>508.7</v>
      </c>
      <c r="M38" s="138">
        <v>510.6</v>
      </c>
      <c r="N38" s="138">
        <v>375.1</v>
      </c>
      <c r="O38" s="138">
        <v>395.6</v>
      </c>
      <c r="P38" s="138">
        <v>388.1</v>
      </c>
      <c r="Q38" s="138">
        <v>391.8</v>
      </c>
      <c r="R38" s="138">
        <v>391.4</v>
      </c>
      <c r="S38" s="138">
        <v>410.6</v>
      </c>
      <c r="T38" s="138">
        <v>373.9</v>
      </c>
      <c r="U38" s="138">
        <v>391</v>
      </c>
      <c r="V38" s="138">
        <v>383.6</v>
      </c>
      <c r="W38" s="138">
        <v>367.8</v>
      </c>
      <c r="X38" s="138">
        <v>366.6</v>
      </c>
      <c r="Y38" s="138">
        <v>397.9</v>
      </c>
      <c r="Z38" s="138">
        <v>400.5</v>
      </c>
      <c r="AQ38" s="830" t="s">
        <v>477</v>
      </c>
      <c r="AR38" s="103">
        <v>33</v>
      </c>
      <c r="AS38" s="103">
        <v>435.33333333333331</v>
      </c>
    </row>
    <row r="39" spans="4:45" s="103" customFormat="1" ht="19.5" customHeight="1" x14ac:dyDescent="0.3">
      <c r="D39" s="136">
        <v>29</v>
      </c>
      <c r="E39" s="136">
        <v>500</v>
      </c>
      <c r="F39" s="136">
        <v>560</v>
      </c>
      <c r="G39" s="137">
        <v>602</v>
      </c>
      <c r="H39" s="137">
        <v>640.79999999999995</v>
      </c>
      <c r="I39" s="137">
        <v>638.79999999999995</v>
      </c>
      <c r="J39" s="138">
        <v>513.70000000000005</v>
      </c>
      <c r="K39" s="138">
        <v>524.4</v>
      </c>
      <c r="L39" s="138">
        <v>514.70000000000005</v>
      </c>
      <c r="M39" s="138">
        <v>516.6</v>
      </c>
      <c r="N39" s="138">
        <v>381.5</v>
      </c>
      <c r="O39" s="138">
        <v>401.3</v>
      </c>
      <c r="P39" s="138">
        <v>394.7</v>
      </c>
      <c r="Q39" s="138">
        <v>396.8</v>
      </c>
      <c r="R39" s="138">
        <v>396.6</v>
      </c>
      <c r="S39" s="138">
        <v>417.4</v>
      </c>
      <c r="T39" s="138">
        <v>381.4</v>
      </c>
      <c r="U39" s="138">
        <v>397.3</v>
      </c>
      <c r="V39" s="138">
        <v>390.3</v>
      </c>
      <c r="W39" s="138">
        <v>374.7</v>
      </c>
      <c r="X39" s="138">
        <v>373.3</v>
      </c>
      <c r="Y39" s="138">
        <v>403.8</v>
      </c>
      <c r="Z39" s="138">
        <v>406.9</v>
      </c>
      <c r="AQ39" s="830" t="s">
        <v>478</v>
      </c>
      <c r="AR39" s="103">
        <v>34</v>
      </c>
      <c r="AS39" s="103">
        <v>440.5</v>
      </c>
    </row>
    <row r="40" spans="4:45" s="103" customFormat="1" ht="19.5" customHeight="1" x14ac:dyDescent="0.3">
      <c r="D40" s="623">
        <v>30</v>
      </c>
      <c r="E40" s="623">
        <v>500</v>
      </c>
      <c r="F40" s="623">
        <v>560</v>
      </c>
      <c r="G40" s="624">
        <v>606</v>
      </c>
      <c r="H40" s="624">
        <v>644.20000000000005</v>
      </c>
      <c r="I40" s="624">
        <v>642.6</v>
      </c>
      <c r="J40" s="625">
        <v>519.1</v>
      </c>
      <c r="K40" s="625">
        <v>529.6</v>
      </c>
      <c r="L40" s="625">
        <v>520.6</v>
      </c>
      <c r="M40" s="625">
        <v>522.4</v>
      </c>
      <c r="N40" s="625">
        <v>388.2</v>
      </c>
      <c r="O40" s="625">
        <v>407.5</v>
      </c>
      <c r="P40" s="625">
        <v>400.2</v>
      </c>
      <c r="Q40" s="625">
        <v>401.6</v>
      </c>
      <c r="R40" s="625">
        <v>401.5</v>
      </c>
      <c r="S40" s="625">
        <v>424.1</v>
      </c>
      <c r="T40" s="625">
        <v>388.5</v>
      </c>
      <c r="U40" s="625">
        <v>402.9</v>
      </c>
      <c r="V40" s="625">
        <v>395.2</v>
      </c>
      <c r="W40" s="625">
        <v>380.8</v>
      </c>
      <c r="X40" s="625">
        <v>379.1</v>
      </c>
      <c r="Y40" s="625">
        <v>409.1</v>
      </c>
      <c r="Z40" s="625">
        <v>412.9</v>
      </c>
      <c r="AQ40" s="830" t="s">
        <v>479</v>
      </c>
      <c r="AR40" s="103">
        <v>35</v>
      </c>
      <c r="AS40" s="103">
        <v>445.77777777777777</v>
      </c>
    </row>
    <row r="41" spans="4:45" s="103" customFormat="1" ht="19.5" customHeight="1" x14ac:dyDescent="0.3">
      <c r="D41" s="136">
        <v>31</v>
      </c>
      <c r="E41" s="136">
        <v>500</v>
      </c>
      <c r="F41" s="136">
        <v>560</v>
      </c>
      <c r="G41" s="137">
        <v>609</v>
      </c>
      <c r="H41" s="137">
        <v>647.6</v>
      </c>
      <c r="I41" s="137">
        <v>646.5</v>
      </c>
      <c r="J41" s="138">
        <v>524.20000000000005</v>
      </c>
      <c r="K41" s="138">
        <v>534.6</v>
      </c>
      <c r="L41" s="138">
        <v>525.70000000000005</v>
      </c>
      <c r="M41" s="138">
        <v>527.4</v>
      </c>
      <c r="N41" s="138">
        <v>393.9</v>
      </c>
      <c r="O41" s="138">
        <v>413.1</v>
      </c>
      <c r="P41" s="138">
        <v>406.1</v>
      </c>
      <c r="Q41" s="138">
        <v>406.3</v>
      </c>
      <c r="R41" s="138">
        <v>406.2</v>
      </c>
      <c r="S41" s="138">
        <v>430.8</v>
      </c>
      <c r="T41" s="138">
        <v>395.3</v>
      </c>
      <c r="U41" s="138">
        <v>408.3</v>
      </c>
      <c r="V41" s="138">
        <v>399.6</v>
      </c>
      <c r="W41" s="138">
        <v>387.6</v>
      </c>
      <c r="X41" s="138">
        <v>385.8</v>
      </c>
      <c r="Y41" s="138">
        <v>415.7</v>
      </c>
      <c r="Z41" s="138">
        <v>419.7</v>
      </c>
      <c r="AQ41" s="830" t="s">
        <v>480</v>
      </c>
      <c r="AR41" s="103">
        <v>36</v>
      </c>
      <c r="AS41" s="103">
        <v>450.83333333333331</v>
      </c>
    </row>
    <row r="42" spans="4:45" s="103" customFormat="1" ht="19.5" customHeight="1" x14ac:dyDescent="0.3">
      <c r="D42" s="136">
        <v>32</v>
      </c>
      <c r="E42" s="136">
        <v>500</v>
      </c>
      <c r="F42" s="136">
        <v>560</v>
      </c>
      <c r="G42" s="137">
        <v>611</v>
      </c>
      <c r="H42" s="137">
        <v>650.9</v>
      </c>
      <c r="I42" s="137">
        <v>650.20000000000005</v>
      </c>
      <c r="J42" s="138">
        <v>528.79999999999995</v>
      </c>
      <c r="K42" s="138">
        <v>539.29999999999995</v>
      </c>
      <c r="L42" s="138">
        <v>530.5</v>
      </c>
      <c r="M42" s="138">
        <v>532.20000000000005</v>
      </c>
      <c r="N42" s="138">
        <v>399.4</v>
      </c>
      <c r="O42" s="138">
        <v>419</v>
      </c>
      <c r="P42" s="138">
        <v>411.5</v>
      </c>
      <c r="Q42" s="138">
        <v>411.1</v>
      </c>
      <c r="R42" s="138">
        <v>411.2</v>
      </c>
      <c r="S42" s="138">
        <v>437.4</v>
      </c>
      <c r="T42" s="138">
        <v>400.7</v>
      </c>
      <c r="U42" s="138">
        <v>414.9</v>
      </c>
      <c r="V42" s="138">
        <v>404.7</v>
      </c>
      <c r="W42" s="138">
        <v>393.1</v>
      </c>
      <c r="X42" s="138">
        <v>391.6</v>
      </c>
      <c r="Y42" s="138">
        <v>422</v>
      </c>
      <c r="Z42" s="138">
        <v>427.1</v>
      </c>
      <c r="AQ42" s="830" t="s">
        <v>481</v>
      </c>
      <c r="AR42" s="103">
        <v>37</v>
      </c>
      <c r="AS42" s="103">
        <v>456.16666666666669</v>
      </c>
    </row>
    <row r="43" spans="4:45" s="103" customFormat="1" ht="19.5" customHeight="1" x14ac:dyDescent="0.3">
      <c r="D43" s="136">
        <v>33</v>
      </c>
      <c r="E43" s="136">
        <v>500</v>
      </c>
      <c r="F43" s="136">
        <v>560</v>
      </c>
      <c r="G43" s="137">
        <v>614</v>
      </c>
      <c r="H43" s="137">
        <v>654.20000000000005</v>
      </c>
      <c r="I43" s="137">
        <v>654</v>
      </c>
      <c r="J43" s="138">
        <v>533.20000000000005</v>
      </c>
      <c r="K43" s="138">
        <v>543.9</v>
      </c>
      <c r="L43" s="138">
        <v>535.20000000000005</v>
      </c>
      <c r="M43" s="138">
        <v>536.70000000000005</v>
      </c>
      <c r="N43" s="138">
        <v>404.7</v>
      </c>
      <c r="O43" s="138">
        <v>425.4</v>
      </c>
      <c r="P43" s="138">
        <v>417.2</v>
      </c>
      <c r="Q43" s="138">
        <v>417.4</v>
      </c>
      <c r="R43" s="138">
        <v>418.2</v>
      </c>
      <c r="S43" s="138">
        <v>443.5</v>
      </c>
      <c r="T43" s="138">
        <v>406.7</v>
      </c>
      <c r="U43" s="138">
        <v>421.4</v>
      </c>
      <c r="V43" s="138">
        <v>409</v>
      </c>
      <c r="W43" s="138">
        <v>397.9</v>
      </c>
      <c r="X43" s="138">
        <v>396.4</v>
      </c>
      <c r="Y43" s="138">
        <v>428.4</v>
      </c>
      <c r="Z43" s="138">
        <v>433.7</v>
      </c>
      <c r="AQ43" s="830" t="s">
        <v>482</v>
      </c>
      <c r="AR43" s="103">
        <v>38</v>
      </c>
      <c r="AS43" s="103">
        <v>461.22222222222223</v>
      </c>
    </row>
    <row r="44" spans="4:45" s="103" customFormat="1" ht="19.5" customHeight="1" x14ac:dyDescent="0.3">
      <c r="D44" s="136">
        <v>34</v>
      </c>
      <c r="E44" s="136">
        <v>500</v>
      </c>
      <c r="F44" s="136">
        <v>560</v>
      </c>
      <c r="G44" s="137">
        <v>617</v>
      </c>
      <c r="H44" s="137">
        <v>657.5</v>
      </c>
      <c r="I44" s="137">
        <v>657.6</v>
      </c>
      <c r="J44" s="138">
        <v>537.4</v>
      </c>
      <c r="K44" s="138">
        <v>548.6</v>
      </c>
      <c r="L44" s="138">
        <v>539.6</v>
      </c>
      <c r="M44" s="138">
        <v>541.20000000000005</v>
      </c>
      <c r="N44" s="138">
        <v>410</v>
      </c>
      <c r="O44" s="138">
        <v>431.3</v>
      </c>
      <c r="P44" s="138">
        <v>423.4</v>
      </c>
      <c r="Q44" s="138">
        <v>425.4</v>
      </c>
      <c r="R44" s="138">
        <v>426.2</v>
      </c>
      <c r="S44" s="138">
        <v>449.7</v>
      </c>
      <c r="T44" s="138">
        <v>412</v>
      </c>
      <c r="U44" s="138">
        <v>428.2</v>
      </c>
      <c r="V44" s="138">
        <v>415.2</v>
      </c>
      <c r="W44" s="138">
        <v>402.5</v>
      </c>
      <c r="X44" s="138">
        <v>400.8</v>
      </c>
      <c r="Y44" s="138">
        <v>434.8</v>
      </c>
      <c r="Z44" s="138">
        <v>439.7</v>
      </c>
      <c r="AQ44" s="830" t="s">
        <v>483</v>
      </c>
      <c r="AR44" s="103">
        <v>39</v>
      </c>
      <c r="AS44" s="103">
        <v>466.33333333333331</v>
      </c>
    </row>
    <row r="45" spans="4:45" s="103" customFormat="1" ht="19.5" customHeight="1" x14ac:dyDescent="0.3">
      <c r="D45" s="136">
        <v>35</v>
      </c>
      <c r="E45" s="136">
        <v>500</v>
      </c>
      <c r="F45" s="136">
        <v>560</v>
      </c>
      <c r="G45" s="137">
        <v>620</v>
      </c>
      <c r="H45" s="137">
        <v>661.5</v>
      </c>
      <c r="I45" s="137">
        <v>662.3</v>
      </c>
      <c r="J45" s="138">
        <v>541.5</v>
      </c>
      <c r="K45" s="138">
        <v>553.1</v>
      </c>
      <c r="L45" s="138">
        <v>543.9</v>
      </c>
      <c r="M45" s="138">
        <v>545.5</v>
      </c>
      <c r="N45" s="138">
        <v>415.6</v>
      </c>
      <c r="O45" s="138">
        <v>437.2</v>
      </c>
      <c r="P45" s="138">
        <v>429.2</v>
      </c>
      <c r="Q45" s="138">
        <v>432.3</v>
      </c>
      <c r="R45" s="138">
        <v>433</v>
      </c>
      <c r="S45" s="138">
        <v>456.5</v>
      </c>
      <c r="T45" s="138">
        <v>418.3</v>
      </c>
      <c r="U45" s="138">
        <v>434.5</v>
      </c>
      <c r="V45" s="138">
        <v>422.4</v>
      </c>
      <c r="W45" s="138">
        <v>406.9</v>
      </c>
      <c r="X45" s="138">
        <v>405.4</v>
      </c>
      <c r="Y45" s="138">
        <v>440.5</v>
      </c>
      <c r="Z45" s="138">
        <v>445.8</v>
      </c>
      <c r="AQ45" s="830" t="s">
        <v>484</v>
      </c>
      <c r="AR45" s="103">
        <v>40</v>
      </c>
      <c r="AS45" s="103">
        <v>471.27777777777777</v>
      </c>
    </row>
    <row r="46" spans="4:45" s="103" customFormat="1" ht="19.5" customHeight="1" x14ac:dyDescent="0.3">
      <c r="D46" s="136">
        <v>36</v>
      </c>
      <c r="E46" s="136">
        <v>500</v>
      </c>
      <c r="F46" s="136">
        <v>560</v>
      </c>
      <c r="G46" s="137">
        <v>622</v>
      </c>
      <c r="H46" s="137">
        <v>665.8</v>
      </c>
      <c r="I46" s="137">
        <v>667.3</v>
      </c>
      <c r="J46" s="138">
        <v>545.29999999999995</v>
      </c>
      <c r="K46" s="138">
        <v>557.29999999999995</v>
      </c>
      <c r="L46" s="138">
        <v>548.20000000000005</v>
      </c>
      <c r="M46" s="138">
        <v>549.79999999999995</v>
      </c>
      <c r="N46" s="138">
        <v>421</v>
      </c>
      <c r="O46" s="138">
        <v>442.9</v>
      </c>
      <c r="P46" s="138">
        <v>435</v>
      </c>
      <c r="Q46" s="138">
        <v>437.3</v>
      </c>
      <c r="R46" s="138">
        <v>438</v>
      </c>
      <c r="S46" s="138">
        <v>463</v>
      </c>
      <c r="T46" s="138">
        <v>425</v>
      </c>
      <c r="U46" s="138">
        <v>440.2</v>
      </c>
      <c r="V46" s="138">
        <v>430</v>
      </c>
      <c r="W46" s="138">
        <v>411.8</v>
      </c>
      <c r="X46" s="138">
        <v>409.8</v>
      </c>
      <c r="Y46" s="138">
        <v>446.1</v>
      </c>
      <c r="Z46" s="138">
        <v>452.6</v>
      </c>
      <c r="AQ46" s="830" t="s">
        <v>485</v>
      </c>
      <c r="AR46" s="103">
        <v>41</v>
      </c>
      <c r="AS46" s="103">
        <v>476.05555555555554</v>
      </c>
    </row>
    <row r="47" spans="4:45" s="103" customFormat="1" ht="19.5" customHeight="1" x14ac:dyDescent="0.3">
      <c r="D47" s="136">
        <v>37</v>
      </c>
      <c r="E47" s="136">
        <v>500</v>
      </c>
      <c r="F47" s="136">
        <v>560</v>
      </c>
      <c r="G47" s="137">
        <v>626</v>
      </c>
      <c r="H47" s="137">
        <v>670.3</v>
      </c>
      <c r="I47" s="137">
        <v>672.1</v>
      </c>
      <c r="J47" s="138">
        <v>549.4</v>
      </c>
      <c r="K47" s="138">
        <v>561.1</v>
      </c>
      <c r="L47" s="138">
        <v>552.4</v>
      </c>
      <c r="M47" s="138">
        <v>554</v>
      </c>
      <c r="N47" s="138">
        <v>427</v>
      </c>
      <c r="O47" s="138">
        <v>448.4</v>
      </c>
      <c r="P47" s="138">
        <v>440.4</v>
      </c>
      <c r="Q47" s="138">
        <v>442.4</v>
      </c>
      <c r="R47" s="138">
        <v>443.4</v>
      </c>
      <c r="S47" s="138">
        <v>469.2</v>
      </c>
      <c r="T47" s="138">
        <v>431.2</v>
      </c>
      <c r="U47" s="138">
        <v>446.1</v>
      </c>
      <c r="V47" s="138">
        <v>435.4</v>
      </c>
      <c r="W47" s="138">
        <v>418.4</v>
      </c>
      <c r="X47" s="138">
        <v>415.3</v>
      </c>
      <c r="Y47" s="138">
        <v>452.4</v>
      </c>
      <c r="Z47" s="138">
        <v>459.2</v>
      </c>
      <c r="AQ47" s="830" t="s">
        <v>486</v>
      </c>
      <c r="AR47" s="103">
        <v>42</v>
      </c>
      <c r="AS47" s="103">
        <v>480.88888888888891</v>
      </c>
    </row>
    <row r="48" spans="4:45" s="103" customFormat="1" ht="19.5" customHeight="1" x14ac:dyDescent="0.3">
      <c r="D48" s="136">
        <v>38</v>
      </c>
      <c r="E48" s="136">
        <v>500</v>
      </c>
      <c r="F48" s="136">
        <v>560</v>
      </c>
      <c r="G48" s="137">
        <v>630</v>
      </c>
      <c r="H48" s="137">
        <v>674.2</v>
      </c>
      <c r="I48" s="137">
        <v>677.2</v>
      </c>
      <c r="J48" s="138">
        <v>553.20000000000005</v>
      </c>
      <c r="K48" s="138">
        <v>564.79999999999995</v>
      </c>
      <c r="L48" s="138">
        <v>556.4</v>
      </c>
      <c r="M48" s="138">
        <v>557.9</v>
      </c>
      <c r="N48" s="138">
        <v>432.5</v>
      </c>
      <c r="O48" s="138">
        <v>454.4</v>
      </c>
      <c r="P48" s="138">
        <v>445.8</v>
      </c>
      <c r="Q48" s="138">
        <v>447.3</v>
      </c>
      <c r="R48" s="138">
        <v>448.5</v>
      </c>
      <c r="S48" s="138">
        <v>475.4</v>
      </c>
      <c r="T48" s="138">
        <v>437.2</v>
      </c>
      <c r="U48" s="138">
        <v>452.4</v>
      </c>
      <c r="V48" s="138">
        <v>440.2</v>
      </c>
      <c r="W48" s="138">
        <v>426.4</v>
      </c>
      <c r="X48" s="138">
        <v>423</v>
      </c>
      <c r="Y48" s="138">
        <v>458.5</v>
      </c>
      <c r="Z48" s="138">
        <v>465.8</v>
      </c>
      <c r="AQ48" s="830" t="s">
        <v>487</v>
      </c>
      <c r="AR48" s="103">
        <v>43</v>
      </c>
      <c r="AS48" s="103">
        <v>485.66666666666669</v>
      </c>
    </row>
    <row r="49" spans="4:45" s="103" customFormat="1" ht="19.5" customHeight="1" x14ac:dyDescent="0.3">
      <c r="D49" s="136">
        <v>39</v>
      </c>
      <c r="E49" s="136">
        <v>500</v>
      </c>
      <c r="F49" s="136">
        <v>560</v>
      </c>
      <c r="G49" s="137">
        <v>632</v>
      </c>
      <c r="H49" s="137">
        <v>679.2</v>
      </c>
      <c r="I49" s="137">
        <v>683</v>
      </c>
      <c r="J49" s="138">
        <v>556.9</v>
      </c>
      <c r="K49" s="138">
        <v>568.20000000000005</v>
      </c>
      <c r="L49" s="138">
        <v>560</v>
      </c>
      <c r="M49" s="138">
        <v>561.4</v>
      </c>
      <c r="N49" s="138">
        <v>438.1</v>
      </c>
      <c r="O49" s="138">
        <v>460.3</v>
      </c>
      <c r="P49" s="138">
        <v>451.6</v>
      </c>
      <c r="Q49" s="138">
        <v>453.4</v>
      </c>
      <c r="R49" s="138">
        <v>454.9</v>
      </c>
      <c r="S49" s="138">
        <v>481.6</v>
      </c>
      <c r="T49" s="138">
        <v>442.7</v>
      </c>
      <c r="U49" s="138">
        <v>458.7</v>
      </c>
      <c r="V49" s="138">
        <v>445.5</v>
      </c>
      <c r="W49" s="138">
        <v>432.8</v>
      </c>
      <c r="X49" s="138">
        <v>429.9</v>
      </c>
      <c r="Y49" s="138">
        <v>464.8</v>
      </c>
      <c r="Z49" s="138">
        <v>472</v>
      </c>
      <c r="AQ49" s="830" t="s">
        <v>488</v>
      </c>
      <c r="AR49" s="103">
        <v>44</v>
      </c>
      <c r="AS49" s="103">
        <v>490.38888888888891</v>
      </c>
    </row>
    <row r="50" spans="4:45" s="103" customFormat="1" ht="19.5" customHeight="1" x14ac:dyDescent="0.3">
      <c r="D50" s="623">
        <v>40</v>
      </c>
      <c r="E50" s="623">
        <v>500</v>
      </c>
      <c r="F50" s="623">
        <v>560</v>
      </c>
      <c r="G50" s="624">
        <v>635</v>
      </c>
      <c r="H50" s="624">
        <v>683.9</v>
      </c>
      <c r="I50" s="624">
        <v>688.5</v>
      </c>
      <c r="J50" s="625">
        <v>560.4</v>
      </c>
      <c r="K50" s="625">
        <v>571.4</v>
      </c>
      <c r="L50" s="625">
        <v>563.5</v>
      </c>
      <c r="M50" s="625">
        <v>564.9</v>
      </c>
      <c r="N50" s="625">
        <v>443.3</v>
      </c>
      <c r="O50" s="625">
        <v>466.1</v>
      </c>
      <c r="P50" s="625">
        <v>457.2</v>
      </c>
      <c r="Q50" s="625">
        <v>459.8</v>
      </c>
      <c r="R50" s="625">
        <v>461.7</v>
      </c>
      <c r="S50" s="625">
        <v>488</v>
      </c>
      <c r="T50" s="625">
        <v>448.2</v>
      </c>
      <c r="U50" s="625">
        <v>465</v>
      </c>
      <c r="V50" s="625">
        <v>450.9</v>
      </c>
      <c r="W50" s="625">
        <v>437.8</v>
      </c>
      <c r="X50" s="625">
        <v>435.4</v>
      </c>
      <c r="Y50" s="625">
        <v>470.8</v>
      </c>
      <c r="Z50" s="625">
        <v>478.4</v>
      </c>
      <c r="AQ50" s="830" t="s">
        <v>489</v>
      </c>
      <c r="AR50" s="103">
        <v>45</v>
      </c>
      <c r="AS50" s="103">
        <v>495.16666666666669</v>
      </c>
    </row>
    <row r="51" spans="4:45" s="103" customFormat="1" ht="18.75" customHeight="1" x14ac:dyDescent="0.3">
      <c r="D51" s="136">
        <v>41</v>
      </c>
      <c r="E51" s="136">
        <v>500</v>
      </c>
      <c r="F51" s="136">
        <v>560</v>
      </c>
      <c r="G51" s="137">
        <v>638</v>
      </c>
      <c r="H51" s="137">
        <v>688.5</v>
      </c>
      <c r="I51" s="137">
        <v>693.9</v>
      </c>
      <c r="J51" s="138">
        <v>563.79999999999995</v>
      </c>
      <c r="K51" s="138">
        <v>574.6</v>
      </c>
      <c r="L51" s="138">
        <v>566.79999999999995</v>
      </c>
      <c r="M51" s="138">
        <v>568.1</v>
      </c>
      <c r="N51" s="138">
        <v>448.5</v>
      </c>
      <c r="O51" s="138">
        <v>471.7</v>
      </c>
      <c r="P51" s="138">
        <v>462.8</v>
      </c>
      <c r="Q51" s="138">
        <v>466.1</v>
      </c>
      <c r="R51" s="138">
        <v>467.8</v>
      </c>
      <c r="S51" s="138">
        <v>494.3</v>
      </c>
      <c r="T51" s="138">
        <v>454.5</v>
      </c>
      <c r="U51" s="138">
        <v>471.2</v>
      </c>
      <c r="V51" s="138">
        <v>457.1</v>
      </c>
      <c r="W51" s="138">
        <v>442.9</v>
      </c>
      <c r="X51" s="138">
        <v>440.3</v>
      </c>
      <c r="Y51" s="138">
        <v>476.5</v>
      </c>
      <c r="Z51" s="138">
        <v>484.8</v>
      </c>
      <c r="AQ51" s="830" t="s">
        <v>490</v>
      </c>
      <c r="AR51" s="103">
        <v>46</v>
      </c>
      <c r="AS51" s="103">
        <v>499.66666666666669</v>
      </c>
    </row>
    <row r="52" spans="4:45" s="103" customFormat="1" ht="18.75" customHeight="1" x14ac:dyDescent="0.3">
      <c r="D52" s="136">
        <v>42</v>
      </c>
      <c r="E52" s="136">
        <v>500</v>
      </c>
      <c r="F52" s="136">
        <v>560</v>
      </c>
      <c r="G52" s="137">
        <v>641</v>
      </c>
      <c r="H52" s="137">
        <v>693</v>
      </c>
      <c r="I52" s="137">
        <v>700.7</v>
      </c>
      <c r="J52" s="138">
        <v>567</v>
      </c>
      <c r="K52" s="138">
        <v>577.79999999999995</v>
      </c>
      <c r="L52" s="138">
        <v>569.9</v>
      </c>
      <c r="M52" s="138">
        <v>571.20000000000005</v>
      </c>
      <c r="N52" s="138">
        <v>454.3</v>
      </c>
      <c r="O52" s="138">
        <v>477.5</v>
      </c>
      <c r="P52" s="138">
        <v>468.5</v>
      </c>
      <c r="Q52" s="138">
        <v>471.2</v>
      </c>
      <c r="R52" s="138">
        <v>473</v>
      </c>
      <c r="S52" s="138">
        <v>500</v>
      </c>
      <c r="T52" s="138">
        <v>460.6</v>
      </c>
      <c r="U52" s="138">
        <v>477.1</v>
      </c>
      <c r="V52" s="138">
        <v>464</v>
      </c>
      <c r="W52" s="138">
        <v>447.8</v>
      </c>
      <c r="X52" s="138">
        <v>445</v>
      </c>
      <c r="Y52" s="138">
        <v>482.4</v>
      </c>
      <c r="Z52" s="138">
        <v>491.3</v>
      </c>
      <c r="AQ52" s="830" t="s">
        <v>491</v>
      </c>
      <c r="AR52" s="103">
        <v>47</v>
      </c>
      <c r="AS52" s="103">
        <v>504.16666666666669</v>
      </c>
    </row>
    <row r="53" spans="4:45" s="103" customFormat="1" ht="18.75" customHeight="1" x14ac:dyDescent="0.3">
      <c r="D53" s="136">
        <v>43</v>
      </c>
      <c r="E53" s="136">
        <v>500</v>
      </c>
      <c r="F53" s="136">
        <v>560</v>
      </c>
      <c r="G53" s="137">
        <v>644</v>
      </c>
      <c r="H53" s="137">
        <v>697.8</v>
      </c>
      <c r="I53" s="137">
        <v>708.3</v>
      </c>
      <c r="J53" s="138">
        <v>570</v>
      </c>
      <c r="K53" s="138">
        <v>580.9</v>
      </c>
      <c r="L53" s="138">
        <v>572.9</v>
      </c>
      <c r="M53" s="138">
        <v>574.20000000000005</v>
      </c>
      <c r="N53" s="138">
        <v>459.9</v>
      </c>
      <c r="O53" s="138">
        <v>483.1</v>
      </c>
      <c r="P53" s="138">
        <v>473.8</v>
      </c>
      <c r="Q53" s="138">
        <v>476.4</v>
      </c>
      <c r="R53" s="138">
        <v>478.3</v>
      </c>
      <c r="S53" s="138">
        <v>505.5</v>
      </c>
      <c r="T53" s="138">
        <v>466.6</v>
      </c>
      <c r="U53" s="138">
        <v>483.2</v>
      </c>
      <c r="V53" s="138">
        <v>469.5</v>
      </c>
      <c r="W53" s="138">
        <v>454.1</v>
      </c>
      <c r="X53" s="138">
        <v>450.5</v>
      </c>
      <c r="Y53" s="138">
        <v>488.5</v>
      </c>
      <c r="Z53" s="138">
        <v>497.5</v>
      </c>
      <c r="AQ53" s="830" t="s">
        <v>492</v>
      </c>
      <c r="AR53" s="103">
        <v>48</v>
      </c>
      <c r="AS53" s="103">
        <v>508.66666666666669</v>
      </c>
    </row>
    <row r="54" spans="4:45" s="103" customFormat="1" ht="18.75" customHeight="1" x14ac:dyDescent="0.3">
      <c r="D54" s="136">
        <v>44</v>
      </c>
      <c r="E54" s="136">
        <v>500</v>
      </c>
      <c r="F54" s="136">
        <v>560</v>
      </c>
      <c r="G54" s="137">
        <v>647</v>
      </c>
      <c r="H54" s="137">
        <v>702.9</v>
      </c>
      <c r="I54" s="137">
        <v>721.3</v>
      </c>
      <c r="J54" s="138">
        <v>573</v>
      </c>
      <c r="K54" s="138">
        <v>584.1</v>
      </c>
      <c r="L54" s="138">
        <v>575.79999999999995</v>
      </c>
      <c r="M54" s="138">
        <v>577.20000000000005</v>
      </c>
      <c r="N54" s="138">
        <v>465.4</v>
      </c>
      <c r="O54" s="138">
        <v>488.8</v>
      </c>
      <c r="P54" s="138">
        <v>479.2</v>
      </c>
      <c r="Q54" s="138">
        <v>481.6</v>
      </c>
      <c r="R54" s="138">
        <v>484.1</v>
      </c>
      <c r="S54" s="138">
        <v>511.1</v>
      </c>
      <c r="T54" s="138">
        <v>472.3</v>
      </c>
      <c r="U54" s="138">
        <v>489.4</v>
      </c>
      <c r="V54" s="138">
        <v>474.7</v>
      </c>
      <c r="W54" s="138">
        <v>460.6</v>
      </c>
      <c r="X54" s="138">
        <v>456.7</v>
      </c>
      <c r="Y54" s="138">
        <v>494.6</v>
      </c>
      <c r="Z54" s="138">
        <v>503.2</v>
      </c>
      <c r="AQ54" s="830" t="s">
        <v>493</v>
      </c>
      <c r="AR54" s="103">
        <v>49</v>
      </c>
      <c r="AS54" s="103">
        <v>513.11111111111109</v>
      </c>
    </row>
    <row r="55" spans="4:45" s="103" customFormat="1" ht="18.75" customHeight="1" x14ac:dyDescent="0.3">
      <c r="D55" s="136">
        <v>45</v>
      </c>
      <c r="E55" s="136">
        <v>500</v>
      </c>
      <c r="F55" s="136">
        <v>560</v>
      </c>
      <c r="G55" s="137">
        <v>650</v>
      </c>
      <c r="H55" s="137">
        <v>708.2</v>
      </c>
      <c r="I55" s="137" t="s">
        <v>17</v>
      </c>
      <c r="J55" s="138">
        <v>576.1</v>
      </c>
      <c r="K55" s="138">
        <v>587</v>
      </c>
      <c r="L55" s="138">
        <v>578.79999999999995</v>
      </c>
      <c r="M55" s="138">
        <v>580.20000000000005</v>
      </c>
      <c r="N55" s="138">
        <v>471</v>
      </c>
      <c r="O55" s="138">
        <v>494.6</v>
      </c>
      <c r="P55" s="138">
        <v>484.6</v>
      </c>
      <c r="Q55" s="138">
        <v>487.4</v>
      </c>
      <c r="R55" s="138">
        <v>490.1</v>
      </c>
      <c r="S55" s="138">
        <v>517</v>
      </c>
      <c r="T55" s="138">
        <v>478.1</v>
      </c>
      <c r="U55" s="138">
        <v>495.6</v>
      </c>
      <c r="V55" s="138">
        <v>480.1</v>
      </c>
      <c r="W55" s="138">
        <v>466.7</v>
      </c>
      <c r="X55" s="138">
        <v>463</v>
      </c>
      <c r="Y55" s="138">
        <v>500.1</v>
      </c>
      <c r="Z55" s="138">
        <v>508.8</v>
      </c>
      <c r="AQ55" s="830" t="s">
        <v>494</v>
      </c>
      <c r="AR55" s="103">
        <v>50</v>
      </c>
      <c r="AS55" s="103">
        <v>517.5</v>
      </c>
    </row>
    <row r="56" spans="4:45" s="103" customFormat="1" ht="18.75" customHeight="1" x14ac:dyDescent="0.3">
      <c r="D56" s="136">
        <v>46</v>
      </c>
      <c r="E56" s="136">
        <v>500</v>
      </c>
      <c r="F56" s="136">
        <v>560</v>
      </c>
      <c r="G56" s="137">
        <v>654</v>
      </c>
      <c r="H56" s="137">
        <v>715.3</v>
      </c>
      <c r="I56" s="137" t="s">
        <v>17</v>
      </c>
      <c r="J56" s="138">
        <v>579.20000000000005</v>
      </c>
      <c r="K56" s="138">
        <v>590</v>
      </c>
      <c r="L56" s="138">
        <v>581.70000000000005</v>
      </c>
      <c r="M56" s="138">
        <v>583.1</v>
      </c>
      <c r="N56" s="138">
        <v>476.4</v>
      </c>
      <c r="O56" s="138">
        <v>499.9</v>
      </c>
      <c r="P56" s="138">
        <v>490.2</v>
      </c>
      <c r="Q56" s="138">
        <v>493.3</v>
      </c>
      <c r="R56" s="138">
        <v>496.1</v>
      </c>
      <c r="S56" s="138">
        <v>522.70000000000005</v>
      </c>
      <c r="T56" s="138">
        <v>483.9</v>
      </c>
      <c r="U56" s="138">
        <v>501.1</v>
      </c>
      <c r="V56" s="138">
        <v>486</v>
      </c>
      <c r="W56" s="138">
        <v>471.9</v>
      </c>
      <c r="X56" s="138">
        <v>468.7</v>
      </c>
      <c r="Y56" s="138">
        <v>505.3</v>
      </c>
      <c r="Z56" s="138">
        <v>514.9</v>
      </c>
      <c r="AQ56" s="830" t="s">
        <v>495</v>
      </c>
      <c r="AR56" s="103">
        <v>51</v>
      </c>
      <c r="AS56" s="103">
        <v>521.83333333333337</v>
      </c>
    </row>
    <row r="57" spans="4:45" s="103" customFormat="1" ht="18.75" customHeight="1" x14ac:dyDescent="0.3">
      <c r="D57" s="136">
        <v>47</v>
      </c>
      <c r="E57" s="136">
        <v>500</v>
      </c>
      <c r="F57" s="136">
        <v>560</v>
      </c>
      <c r="G57" s="137">
        <v>657</v>
      </c>
      <c r="H57" s="137">
        <v>724.1</v>
      </c>
      <c r="I57" s="137" t="s">
        <v>17</v>
      </c>
      <c r="J57" s="138">
        <v>582.4</v>
      </c>
      <c r="K57" s="138">
        <v>592.9</v>
      </c>
      <c r="L57" s="138">
        <v>584.6</v>
      </c>
      <c r="M57" s="138">
        <v>586</v>
      </c>
      <c r="N57" s="138">
        <v>481.9</v>
      </c>
      <c r="O57" s="138">
        <v>504.9</v>
      </c>
      <c r="P57" s="138">
        <v>495.6</v>
      </c>
      <c r="Q57" s="138">
        <v>498.5</v>
      </c>
      <c r="R57" s="138">
        <v>501</v>
      </c>
      <c r="S57" s="138">
        <v>528</v>
      </c>
      <c r="T57" s="138">
        <v>489.8</v>
      </c>
      <c r="U57" s="138">
        <v>506.5</v>
      </c>
      <c r="V57" s="138">
        <v>492</v>
      </c>
      <c r="W57" s="138">
        <v>477.4</v>
      </c>
      <c r="X57" s="138">
        <v>473.9</v>
      </c>
      <c r="Y57" s="138">
        <v>510.6</v>
      </c>
      <c r="Z57" s="138">
        <v>521</v>
      </c>
      <c r="AQ57" s="830" t="s">
        <v>496</v>
      </c>
      <c r="AR57" s="103">
        <v>52</v>
      </c>
      <c r="AS57" s="103">
        <v>526.16666666666663</v>
      </c>
    </row>
    <row r="58" spans="4:45" s="103" customFormat="1" ht="18.75" customHeight="1" x14ac:dyDescent="0.3">
      <c r="D58" s="136">
        <v>48</v>
      </c>
      <c r="E58" s="136">
        <v>500</v>
      </c>
      <c r="F58" s="136">
        <v>560</v>
      </c>
      <c r="G58" s="137">
        <v>661</v>
      </c>
      <c r="H58" s="137" t="s">
        <v>17</v>
      </c>
      <c r="I58" s="137" t="s">
        <v>17</v>
      </c>
      <c r="J58" s="138">
        <v>585.5</v>
      </c>
      <c r="K58" s="138">
        <v>595.70000000000005</v>
      </c>
      <c r="L58" s="138">
        <v>587.4</v>
      </c>
      <c r="M58" s="138">
        <v>588.79999999999995</v>
      </c>
      <c r="N58" s="138">
        <v>487.5</v>
      </c>
      <c r="O58" s="138">
        <v>510</v>
      </c>
      <c r="P58" s="138">
        <v>500.4</v>
      </c>
      <c r="Q58" s="138">
        <v>503.2</v>
      </c>
      <c r="R58" s="138">
        <v>505.8</v>
      </c>
      <c r="S58" s="138">
        <v>533.20000000000005</v>
      </c>
      <c r="T58" s="138">
        <v>495.7</v>
      </c>
      <c r="U58" s="138">
        <v>512.1</v>
      </c>
      <c r="V58" s="138">
        <v>497.6</v>
      </c>
      <c r="W58" s="138">
        <v>482.8</v>
      </c>
      <c r="X58" s="138">
        <v>478.9</v>
      </c>
      <c r="Y58" s="138">
        <v>516.29999999999995</v>
      </c>
      <c r="Z58" s="138">
        <v>526.5</v>
      </c>
      <c r="AQ58" s="830" t="s">
        <v>497</v>
      </c>
      <c r="AR58" s="103">
        <v>53</v>
      </c>
      <c r="AS58" s="103">
        <v>530.44444444444446</v>
      </c>
    </row>
    <row r="59" spans="4:45" s="103" customFormat="1" ht="18.75" customHeight="1" x14ac:dyDescent="0.3">
      <c r="D59" s="136">
        <v>49</v>
      </c>
      <c r="E59" s="136">
        <v>500</v>
      </c>
      <c r="F59" s="136">
        <v>560</v>
      </c>
      <c r="G59" s="137">
        <v>664</v>
      </c>
      <c r="H59" s="137" t="s">
        <v>17</v>
      </c>
      <c r="I59" s="137" t="s">
        <v>17</v>
      </c>
      <c r="J59" s="138">
        <v>588.5</v>
      </c>
      <c r="K59" s="138">
        <v>598.6</v>
      </c>
      <c r="L59" s="138">
        <v>590.1</v>
      </c>
      <c r="M59" s="138">
        <v>591.6</v>
      </c>
      <c r="N59" s="138">
        <v>493.2</v>
      </c>
      <c r="O59" s="138">
        <v>515.4</v>
      </c>
      <c r="P59" s="138">
        <v>505.2</v>
      </c>
      <c r="Q59" s="138">
        <v>507.8</v>
      </c>
      <c r="R59" s="138">
        <v>510.8</v>
      </c>
      <c r="S59" s="138">
        <v>538.1</v>
      </c>
      <c r="T59" s="138">
        <v>501</v>
      </c>
      <c r="U59" s="138">
        <v>517.9</v>
      </c>
      <c r="V59" s="138">
        <v>502.5</v>
      </c>
      <c r="W59" s="138">
        <v>488.9</v>
      </c>
      <c r="X59" s="138">
        <v>484.7</v>
      </c>
      <c r="Y59" s="138">
        <v>521.9</v>
      </c>
      <c r="Z59" s="138">
        <v>531.79999999999995</v>
      </c>
      <c r="AQ59" s="830" t="s">
        <v>498</v>
      </c>
      <c r="AR59" s="103">
        <v>54</v>
      </c>
      <c r="AS59" s="103">
        <v>534.61111111111109</v>
      </c>
    </row>
    <row r="60" spans="4:45" s="103" customFormat="1" ht="18.75" customHeight="1" x14ac:dyDescent="0.3">
      <c r="D60" s="623">
        <v>50</v>
      </c>
      <c r="E60" s="623">
        <v>500</v>
      </c>
      <c r="F60" s="623">
        <v>560</v>
      </c>
      <c r="G60" s="624">
        <v>667</v>
      </c>
      <c r="H60" s="624" t="s">
        <v>17</v>
      </c>
      <c r="I60" s="624" t="s">
        <v>17</v>
      </c>
      <c r="J60" s="625">
        <v>591.6</v>
      </c>
      <c r="K60" s="625">
        <v>601.5</v>
      </c>
      <c r="L60" s="625">
        <v>592.79999999999995</v>
      </c>
      <c r="M60" s="625">
        <v>594.29999999999995</v>
      </c>
      <c r="N60" s="625">
        <v>498.4</v>
      </c>
      <c r="O60" s="625">
        <v>520.79999999999995</v>
      </c>
      <c r="P60" s="625">
        <v>510</v>
      </c>
      <c r="Q60" s="625">
        <v>513.1</v>
      </c>
      <c r="R60" s="625">
        <v>516.29999999999995</v>
      </c>
      <c r="S60" s="625">
        <v>543</v>
      </c>
      <c r="T60" s="625">
        <v>506</v>
      </c>
      <c r="U60" s="625">
        <v>523.6</v>
      </c>
      <c r="V60" s="625">
        <v>507.4</v>
      </c>
      <c r="W60" s="625">
        <v>494.9</v>
      </c>
      <c r="X60" s="625">
        <v>490.6</v>
      </c>
      <c r="Y60" s="625">
        <v>527</v>
      </c>
      <c r="Z60" s="625">
        <v>537</v>
      </c>
      <c r="AQ60" s="830" t="s">
        <v>499</v>
      </c>
      <c r="AR60" s="103">
        <v>55</v>
      </c>
      <c r="AS60" s="103">
        <v>538.66666666666663</v>
      </c>
    </row>
    <row r="61" spans="4:45" s="103" customFormat="1" ht="18.75" customHeight="1" x14ac:dyDescent="0.3">
      <c r="D61" s="136">
        <v>51</v>
      </c>
      <c r="E61" s="136">
        <v>500</v>
      </c>
      <c r="F61" s="136">
        <v>560</v>
      </c>
      <c r="G61" s="137">
        <v>671</v>
      </c>
      <c r="H61" s="137" t="s">
        <v>17</v>
      </c>
      <c r="I61" s="137" t="s">
        <v>17</v>
      </c>
      <c r="J61" s="138">
        <v>594.70000000000005</v>
      </c>
      <c r="K61" s="138">
        <v>604.4</v>
      </c>
      <c r="L61" s="138">
        <v>595.5</v>
      </c>
      <c r="M61" s="138">
        <v>597</v>
      </c>
      <c r="N61" s="138">
        <v>503.4</v>
      </c>
      <c r="O61" s="138">
        <v>525.79999999999995</v>
      </c>
      <c r="P61" s="138">
        <v>515.1</v>
      </c>
      <c r="Q61" s="138">
        <v>518.29999999999995</v>
      </c>
      <c r="R61" s="138">
        <v>521.70000000000005</v>
      </c>
      <c r="S61" s="138">
        <v>547.79999999999995</v>
      </c>
      <c r="T61" s="138">
        <v>511.4</v>
      </c>
      <c r="U61" s="138">
        <v>528.79999999999995</v>
      </c>
      <c r="V61" s="138">
        <v>512.70000000000005</v>
      </c>
      <c r="W61" s="138">
        <v>500.1</v>
      </c>
      <c r="X61" s="138">
        <v>496.4</v>
      </c>
      <c r="Y61" s="138">
        <v>531.9</v>
      </c>
      <c r="Z61" s="138">
        <v>542.1</v>
      </c>
      <c r="AQ61" s="830" t="s">
        <v>500</v>
      </c>
      <c r="AR61" s="103">
        <v>56</v>
      </c>
      <c r="AS61" s="103">
        <v>542.72222222222217</v>
      </c>
    </row>
    <row r="62" spans="4:45" s="103" customFormat="1" ht="18.75" customHeight="1" x14ac:dyDescent="0.3">
      <c r="D62" s="136">
        <v>52</v>
      </c>
      <c r="E62" s="136">
        <v>500</v>
      </c>
      <c r="F62" s="136">
        <v>560</v>
      </c>
      <c r="G62" s="137">
        <v>675</v>
      </c>
      <c r="H62" s="137" t="s">
        <v>17</v>
      </c>
      <c r="I62" s="137" t="s">
        <v>17</v>
      </c>
      <c r="J62" s="138">
        <v>597.79999999999995</v>
      </c>
      <c r="K62" s="138">
        <v>607.4</v>
      </c>
      <c r="L62" s="138">
        <v>598.1</v>
      </c>
      <c r="M62" s="138">
        <v>599.79999999999995</v>
      </c>
      <c r="N62" s="138">
        <v>508.3</v>
      </c>
      <c r="O62" s="138">
        <v>530.6</v>
      </c>
      <c r="P62" s="138">
        <v>520.1</v>
      </c>
      <c r="Q62" s="138">
        <v>523.4</v>
      </c>
      <c r="R62" s="138">
        <v>526.4</v>
      </c>
      <c r="S62" s="138">
        <v>552.6</v>
      </c>
      <c r="T62" s="138">
        <v>517</v>
      </c>
      <c r="U62" s="138">
        <v>533.9</v>
      </c>
      <c r="V62" s="138">
        <v>518.20000000000005</v>
      </c>
      <c r="W62" s="138">
        <v>505</v>
      </c>
      <c r="X62" s="138">
        <v>501.2</v>
      </c>
      <c r="Y62" s="138">
        <v>536.70000000000005</v>
      </c>
      <c r="Z62" s="138">
        <v>547.1</v>
      </c>
      <c r="AQ62" s="830" t="s">
        <v>501</v>
      </c>
      <c r="AR62" s="103">
        <v>57</v>
      </c>
      <c r="AS62" s="103">
        <v>546.72222222222217</v>
      </c>
    </row>
    <row r="63" spans="4:45" s="103" customFormat="1" ht="19.5" customHeight="1" x14ac:dyDescent="0.3">
      <c r="D63" s="136">
        <v>53</v>
      </c>
      <c r="E63" s="136">
        <v>500</v>
      </c>
      <c r="F63" s="136">
        <v>560</v>
      </c>
      <c r="G63" s="137">
        <v>678</v>
      </c>
      <c r="H63" s="137" t="s">
        <v>17</v>
      </c>
      <c r="I63" s="137" t="s">
        <v>17</v>
      </c>
      <c r="J63" s="138">
        <v>601</v>
      </c>
      <c r="K63" s="138">
        <v>610.29999999999995</v>
      </c>
      <c r="L63" s="138">
        <v>600.79999999999995</v>
      </c>
      <c r="M63" s="138">
        <v>602.6</v>
      </c>
      <c r="N63" s="138">
        <v>513.70000000000005</v>
      </c>
      <c r="O63" s="138">
        <v>535.29999999999995</v>
      </c>
      <c r="P63" s="138">
        <v>524.79999999999995</v>
      </c>
      <c r="Q63" s="138">
        <v>527.9</v>
      </c>
      <c r="R63" s="138">
        <v>531.1</v>
      </c>
      <c r="S63" s="138">
        <v>557.20000000000005</v>
      </c>
      <c r="T63" s="138">
        <v>522.5</v>
      </c>
      <c r="U63" s="138">
        <v>538.79999999999995</v>
      </c>
      <c r="V63" s="138">
        <v>523.5</v>
      </c>
      <c r="W63" s="138">
        <v>510</v>
      </c>
      <c r="X63" s="138">
        <v>506</v>
      </c>
      <c r="Y63" s="138">
        <v>541.5</v>
      </c>
      <c r="Z63" s="138">
        <v>552.29999999999995</v>
      </c>
      <c r="AQ63" s="830" t="s">
        <v>502</v>
      </c>
      <c r="AR63" s="103">
        <v>58</v>
      </c>
      <c r="AS63" s="103">
        <v>550.88888888888891</v>
      </c>
    </row>
    <row r="64" spans="4:45" s="103" customFormat="1" ht="19.5" customHeight="1" x14ac:dyDescent="0.3">
      <c r="D64" s="136">
        <v>54</v>
      </c>
      <c r="E64" s="136">
        <v>500</v>
      </c>
      <c r="F64" s="136">
        <v>560</v>
      </c>
      <c r="G64" s="137">
        <v>682</v>
      </c>
      <c r="H64" s="137" t="s">
        <v>17</v>
      </c>
      <c r="I64" s="137" t="s">
        <v>17</v>
      </c>
      <c r="J64" s="138">
        <v>604.29999999999995</v>
      </c>
      <c r="K64" s="138">
        <v>613.29999999999995</v>
      </c>
      <c r="L64" s="138">
        <v>603.6</v>
      </c>
      <c r="M64" s="138">
        <v>605.4</v>
      </c>
      <c r="N64" s="138">
        <v>519.1</v>
      </c>
      <c r="O64" s="138">
        <v>539.9</v>
      </c>
      <c r="P64" s="138">
        <v>529.29999999999995</v>
      </c>
      <c r="Q64" s="138">
        <v>532.4</v>
      </c>
      <c r="R64" s="138">
        <v>535.70000000000005</v>
      </c>
      <c r="S64" s="138">
        <v>561.5</v>
      </c>
      <c r="T64" s="138">
        <v>527.5</v>
      </c>
      <c r="U64" s="138">
        <v>543.79999999999995</v>
      </c>
      <c r="V64" s="138">
        <v>528.29999999999995</v>
      </c>
      <c r="W64" s="138">
        <v>515.5</v>
      </c>
      <c r="X64" s="138">
        <v>511.1</v>
      </c>
      <c r="Y64" s="138">
        <v>546.1</v>
      </c>
      <c r="Z64" s="138">
        <v>557.29999999999995</v>
      </c>
      <c r="AQ64" s="830" t="s">
        <v>503</v>
      </c>
      <c r="AR64" s="103">
        <v>59</v>
      </c>
      <c r="AS64" s="103">
        <v>554.94444444444446</v>
      </c>
    </row>
    <row r="65" spans="4:45" s="103" customFormat="1" ht="19.5" customHeight="1" x14ac:dyDescent="0.3">
      <c r="D65" s="136">
        <v>55</v>
      </c>
      <c r="E65" s="136">
        <v>500</v>
      </c>
      <c r="F65" s="136">
        <v>560</v>
      </c>
      <c r="G65" s="137">
        <v>687</v>
      </c>
      <c r="H65" s="137" t="s">
        <v>17</v>
      </c>
      <c r="I65" s="137" t="s">
        <v>17</v>
      </c>
      <c r="J65" s="138">
        <v>607.6</v>
      </c>
      <c r="K65" s="138">
        <v>616.29999999999995</v>
      </c>
      <c r="L65" s="138">
        <v>606.29999999999995</v>
      </c>
      <c r="M65" s="138">
        <v>608.20000000000005</v>
      </c>
      <c r="N65" s="138">
        <v>524.20000000000005</v>
      </c>
      <c r="O65" s="138">
        <v>544.4</v>
      </c>
      <c r="P65" s="138">
        <v>533.70000000000005</v>
      </c>
      <c r="Q65" s="138">
        <v>536.9</v>
      </c>
      <c r="R65" s="138">
        <v>540.1</v>
      </c>
      <c r="S65" s="138">
        <v>565.79999999999995</v>
      </c>
      <c r="T65" s="138">
        <v>532.4</v>
      </c>
      <c r="U65" s="138">
        <v>548.70000000000005</v>
      </c>
      <c r="V65" s="138">
        <v>533</v>
      </c>
      <c r="W65" s="138">
        <v>521</v>
      </c>
      <c r="X65" s="138">
        <v>516.5</v>
      </c>
      <c r="Y65" s="138">
        <v>551</v>
      </c>
      <c r="Z65" s="138">
        <v>562</v>
      </c>
      <c r="AQ65" s="830" t="s">
        <v>504</v>
      </c>
      <c r="AR65" s="103">
        <v>60</v>
      </c>
      <c r="AS65" s="103">
        <v>558.83333333333337</v>
      </c>
    </row>
    <row r="66" spans="4:45" s="103" customFormat="1" ht="19.5" customHeight="1" x14ac:dyDescent="0.3">
      <c r="D66" s="136">
        <v>56</v>
      </c>
      <c r="E66" s="136">
        <v>500</v>
      </c>
      <c r="F66" s="136">
        <v>560</v>
      </c>
      <c r="G66" s="137">
        <v>691</v>
      </c>
      <c r="H66" s="137" t="s">
        <v>17</v>
      </c>
      <c r="I66" s="137" t="s">
        <v>17</v>
      </c>
      <c r="J66" s="138">
        <v>610.9</v>
      </c>
      <c r="K66" s="138">
        <v>619.4</v>
      </c>
      <c r="L66" s="138">
        <v>609</v>
      </c>
      <c r="M66" s="138">
        <v>611</v>
      </c>
      <c r="N66" s="138">
        <v>529.1</v>
      </c>
      <c r="O66" s="138">
        <v>549</v>
      </c>
      <c r="P66" s="138">
        <v>538</v>
      </c>
      <c r="Q66" s="138">
        <v>541.20000000000005</v>
      </c>
      <c r="R66" s="138">
        <v>544.4</v>
      </c>
      <c r="S66" s="138">
        <v>569.6</v>
      </c>
      <c r="T66" s="138">
        <v>537.29999999999995</v>
      </c>
      <c r="U66" s="138">
        <v>553.70000000000005</v>
      </c>
      <c r="V66" s="138">
        <v>537.6</v>
      </c>
      <c r="W66" s="138">
        <v>526</v>
      </c>
      <c r="X66" s="138">
        <v>521.9</v>
      </c>
      <c r="Y66" s="138">
        <v>555.79999999999995</v>
      </c>
      <c r="Z66" s="138">
        <v>566.6</v>
      </c>
      <c r="AQ66" s="830" t="s">
        <v>505</v>
      </c>
      <c r="AR66" s="103">
        <v>61</v>
      </c>
      <c r="AS66" s="103">
        <v>562.55555555555554</v>
      </c>
    </row>
    <row r="67" spans="4:45" s="103" customFormat="1" x14ac:dyDescent="0.3">
      <c r="D67" s="136">
        <v>57</v>
      </c>
      <c r="E67" s="136">
        <v>500</v>
      </c>
      <c r="F67" s="136">
        <v>560</v>
      </c>
      <c r="G67" s="137">
        <v>694</v>
      </c>
      <c r="H67" s="137" t="s">
        <v>17</v>
      </c>
      <c r="I67" s="137" t="s">
        <v>17</v>
      </c>
      <c r="J67" s="138">
        <v>614.29999999999995</v>
      </c>
      <c r="K67" s="138">
        <v>622.6</v>
      </c>
      <c r="L67" s="138">
        <v>611.70000000000005</v>
      </c>
      <c r="M67" s="138">
        <v>613.9</v>
      </c>
      <c r="N67" s="138">
        <v>533.9</v>
      </c>
      <c r="O67" s="138">
        <v>553.5</v>
      </c>
      <c r="P67" s="138">
        <v>542.20000000000005</v>
      </c>
      <c r="Q67" s="138">
        <v>545.4</v>
      </c>
      <c r="R67" s="138">
        <v>548.79999999999995</v>
      </c>
      <c r="S67" s="138">
        <v>573.4</v>
      </c>
      <c r="T67" s="138">
        <v>542</v>
      </c>
      <c r="U67" s="138">
        <v>558.4</v>
      </c>
      <c r="V67" s="138">
        <v>542.1</v>
      </c>
      <c r="W67" s="138">
        <v>530.70000000000005</v>
      </c>
      <c r="X67" s="138">
        <v>526.6</v>
      </c>
      <c r="Y67" s="138">
        <v>560.20000000000005</v>
      </c>
      <c r="Z67" s="138">
        <v>570.9</v>
      </c>
      <c r="AQ67" s="830" t="s">
        <v>506</v>
      </c>
      <c r="AR67" s="103">
        <v>62</v>
      </c>
      <c r="AS67" s="103">
        <v>566.27777777777783</v>
      </c>
    </row>
    <row r="68" spans="4:45" s="103" customFormat="1" x14ac:dyDescent="0.3">
      <c r="D68" s="136">
        <v>58</v>
      </c>
      <c r="E68" s="136">
        <v>500</v>
      </c>
      <c r="F68" s="136">
        <v>560</v>
      </c>
      <c r="G68" s="137">
        <v>698</v>
      </c>
      <c r="H68" s="137" t="s">
        <v>17</v>
      </c>
      <c r="I68" s="137" t="s">
        <v>17</v>
      </c>
      <c r="J68" s="138">
        <v>617.79999999999995</v>
      </c>
      <c r="K68" s="138">
        <v>625.70000000000005</v>
      </c>
      <c r="L68" s="138">
        <v>614.5</v>
      </c>
      <c r="M68" s="138">
        <v>616.79999999999995</v>
      </c>
      <c r="N68" s="138">
        <v>538.70000000000005</v>
      </c>
      <c r="O68" s="138">
        <v>557.79999999999995</v>
      </c>
      <c r="P68" s="138">
        <v>546.4</v>
      </c>
      <c r="Q68" s="138">
        <v>549.70000000000005</v>
      </c>
      <c r="R68" s="138">
        <v>553.20000000000005</v>
      </c>
      <c r="S68" s="138">
        <v>577.29999999999995</v>
      </c>
      <c r="T68" s="138">
        <v>546.70000000000005</v>
      </c>
      <c r="U68" s="138">
        <v>562.9</v>
      </c>
      <c r="V68" s="138">
        <v>546.70000000000005</v>
      </c>
      <c r="W68" s="138">
        <v>535.4</v>
      </c>
      <c r="X68" s="138">
        <v>531.29999999999995</v>
      </c>
      <c r="Y68" s="138">
        <v>564.5</v>
      </c>
      <c r="Z68" s="138">
        <v>575.29999999999995</v>
      </c>
      <c r="AQ68" s="830" t="s">
        <v>507</v>
      </c>
      <c r="AR68" s="103">
        <v>63</v>
      </c>
      <c r="AS68" s="103">
        <v>569.77777777777783</v>
      </c>
    </row>
    <row r="69" spans="4:45" s="13" customFormat="1" x14ac:dyDescent="0.3">
      <c r="D69" s="136">
        <v>59</v>
      </c>
      <c r="E69" s="136">
        <v>500</v>
      </c>
      <c r="F69" s="136">
        <v>560</v>
      </c>
      <c r="G69" s="137">
        <v>702</v>
      </c>
      <c r="H69" s="137" t="s">
        <v>17</v>
      </c>
      <c r="I69" s="137" t="s">
        <v>17</v>
      </c>
      <c r="J69" s="138">
        <v>621.4</v>
      </c>
      <c r="K69" s="138">
        <v>628.9</v>
      </c>
      <c r="L69" s="138">
        <v>617.29999999999995</v>
      </c>
      <c r="M69" s="138">
        <v>619.70000000000005</v>
      </c>
      <c r="N69" s="138">
        <v>543.29999999999995</v>
      </c>
      <c r="O69" s="138">
        <v>561.79999999999995</v>
      </c>
      <c r="P69" s="138">
        <v>550.5</v>
      </c>
      <c r="Q69" s="138">
        <v>554</v>
      </c>
      <c r="R69" s="138">
        <v>557.4</v>
      </c>
      <c r="S69" s="138">
        <v>581.29999999999995</v>
      </c>
      <c r="T69" s="138">
        <v>551.4</v>
      </c>
      <c r="U69" s="138">
        <v>567.29999999999995</v>
      </c>
      <c r="V69" s="138">
        <v>551.29999999999995</v>
      </c>
      <c r="W69" s="138">
        <v>540</v>
      </c>
      <c r="X69" s="138">
        <v>535.9</v>
      </c>
      <c r="Y69" s="138">
        <v>568.6</v>
      </c>
      <c r="Z69" s="138">
        <v>579.79999999999995</v>
      </c>
      <c r="AQ69" s="830" t="s">
        <v>508</v>
      </c>
      <c r="AR69" s="103">
        <v>64</v>
      </c>
      <c r="AS69" s="13">
        <v>573.22222222222217</v>
      </c>
    </row>
    <row r="70" spans="4:45" s="103" customFormat="1" x14ac:dyDescent="0.3">
      <c r="D70" s="623">
        <v>60</v>
      </c>
      <c r="E70" s="623">
        <v>500</v>
      </c>
      <c r="F70" s="623">
        <v>560</v>
      </c>
      <c r="G70" s="624">
        <v>705</v>
      </c>
      <c r="H70" s="624" t="s">
        <v>17</v>
      </c>
      <c r="I70" s="624" t="s">
        <v>17</v>
      </c>
      <c r="J70" s="625">
        <v>625</v>
      </c>
      <c r="K70" s="625">
        <v>631.9</v>
      </c>
      <c r="L70" s="625">
        <v>620.1</v>
      </c>
      <c r="M70" s="625">
        <v>622.70000000000005</v>
      </c>
      <c r="N70" s="625">
        <v>548.1</v>
      </c>
      <c r="O70" s="625">
        <v>565.79999999999995</v>
      </c>
      <c r="P70" s="625">
        <v>554.6</v>
      </c>
      <c r="Q70" s="625">
        <v>558.1</v>
      </c>
      <c r="R70" s="625">
        <v>561.29999999999995</v>
      </c>
      <c r="S70" s="625">
        <v>585.29999999999995</v>
      </c>
      <c r="T70" s="625">
        <v>556.1</v>
      </c>
      <c r="U70" s="625">
        <v>571.5</v>
      </c>
      <c r="V70" s="625">
        <v>556</v>
      </c>
      <c r="W70" s="625">
        <v>544.5</v>
      </c>
      <c r="X70" s="625">
        <v>540.4</v>
      </c>
      <c r="Y70" s="625">
        <v>572.6</v>
      </c>
      <c r="Z70" s="625">
        <v>584.4</v>
      </c>
      <c r="AQ70" s="830" t="s">
        <v>509</v>
      </c>
      <c r="AR70" s="103">
        <v>65</v>
      </c>
      <c r="AS70" s="103">
        <v>576.77777777777783</v>
      </c>
    </row>
    <row r="71" spans="4:45" s="103" customFormat="1" x14ac:dyDescent="0.3">
      <c r="D71" s="136">
        <v>61</v>
      </c>
      <c r="E71" s="136">
        <v>500</v>
      </c>
      <c r="F71" s="136">
        <v>560</v>
      </c>
      <c r="G71" s="137">
        <v>708</v>
      </c>
      <c r="H71" s="137" t="s">
        <v>17</v>
      </c>
      <c r="I71" s="137" t="s">
        <v>17</v>
      </c>
      <c r="J71" s="138">
        <v>628.6</v>
      </c>
      <c r="K71" s="138">
        <v>635.1</v>
      </c>
      <c r="L71" s="138">
        <v>623</v>
      </c>
      <c r="M71" s="138">
        <v>625.70000000000005</v>
      </c>
      <c r="N71" s="138">
        <v>552.79999999999995</v>
      </c>
      <c r="O71" s="138">
        <v>569.5</v>
      </c>
      <c r="P71" s="138">
        <v>558.5</v>
      </c>
      <c r="Q71" s="138">
        <v>561.9</v>
      </c>
      <c r="R71" s="138">
        <v>565.1</v>
      </c>
      <c r="S71" s="138">
        <v>589.29999999999995</v>
      </c>
      <c r="T71" s="138">
        <v>560.29999999999995</v>
      </c>
      <c r="U71" s="138">
        <v>575.70000000000005</v>
      </c>
      <c r="V71" s="138">
        <v>560.29999999999995</v>
      </c>
      <c r="W71" s="138">
        <v>549.29999999999995</v>
      </c>
      <c r="X71" s="138">
        <v>544.79999999999995</v>
      </c>
      <c r="Y71" s="138">
        <v>576.70000000000005</v>
      </c>
      <c r="Z71" s="138">
        <v>589.1</v>
      </c>
      <c r="AQ71" s="830" t="s">
        <v>510</v>
      </c>
      <c r="AR71" s="103">
        <v>66</v>
      </c>
      <c r="AS71" s="103">
        <v>580.33333333333337</v>
      </c>
    </row>
    <row r="72" spans="4:45" s="103" customFormat="1" x14ac:dyDescent="0.3">
      <c r="D72" s="136">
        <v>62</v>
      </c>
      <c r="E72" s="136">
        <v>500</v>
      </c>
      <c r="F72" s="136">
        <v>560</v>
      </c>
      <c r="G72" s="137">
        <v>713</v>
      </c>
      <c r="H72" s="137" t="s">
        <v>17</v>
      </c>
      <c r="I72" s="137" t="s">
        <v>17</v>
      </c>
      <c r="J72" s="138">
        <v>632</v>
      </c>
      <c r="K72" s="138">
        <v>638.4</v>
      </c>
      <c r="L72" s="138">
        <v>625.79999999999995</v>
      </c>
      <c r="M72" s="138">
        <v>628.70000000000005</v>
      </c>
      <c r="N72" s="138">
        <v>557.4</v>
      </c>
      <c r="O72" s="138">
        <v>573.20000000000005</v>
      </c>
      <c r="P72" s="138">
        <v>562.20000000000005</v>
      </c>
      <c r="Q72" s="138">
        <v>565.70000000000005</v>
      </c>
      <c r="R72" s="138">
        <v>568.70000000000005</v>
      </c>
      <c r="S72" s="138">
        <v>593.29999999999995</v>
      </c>
      <c r="T72" s="138">
        <v>564.5</v>
      </c>
      <c r="U72" s="138">
        <v>580</v>
      </c>
      <c r="V72" s="138">
        <v>564.4</v>
      </c>
      <c r="W72" s="138">
        <v>553.9</v>
      </c>
      <c r="X72" s="138">
        <v>549.4</v>
      </c>
      <c r="Y72" s="138">
        <v>580.9</v>
      </c>
      <c r="Z72" s="138">
        <v>593.79999999999995</v>
      </c>
      <c r="AQ72" s="830" t="s">
        <v>511</v>
      </c>
      <c r="AR72" s="103">
        <v>67</v>
      </c>
      <c r="AS72" s="103">
        <v>583.94444444444446</v>
      </c>
    </row>
    <row r="73" spans="4:45" s="103" customFormat="1" x14ac:dyDescent="0.3">
      <c r="D73" s="136">
        <v>63</v>
      </c>
      <c r="E73" s="136">
        <v>500</v>
      </c>
      <c r="F73" s="136">
        <v>560</v>
      </c>
      <c r="G73" s="137">
        <v>718</v>
      </c>
      <c r="H73" s="137" t="s">
        <v>17</v>
      </c>
      <c r="I73" s="137" t="s">
        <v>17</v>
      </c>
      <c r="J73" s="138">
        <v>635.5</v>
      </c>
      <c r="K73" s="138">
        <v>641.79999999999995</v>
      </c>
      <c r="L73" s="138">
        <v>628.6</v>
      </c>
      <c r="M73" s="138">
        <v>631.6</v>
      </c>
      <c r="N73" s="138">
        <v>561.79999999999995</v>
      </c>
      <c r="O73" s="138">
        <v>577.1</v>
      </c>
      <c r="P73" s="138">
        <v>565.9</v>
      </c>
      <c r="Q73" s="138">
        <v>569.1</v>
      </c>
      <c r="R73" s="138">
        <v>572.20000000000005</v>
      </c>
      <c r="S73" s="138">
        <v>597.29999999999995</v>
      </c>
      <c r="T73" s="138">
        <v>568.5</v>
      </c>
      <c r="U73" s="138">
        <v>584.4</v>
      </c>
      <c r="V73" s="138">
        <v>568.4</v>
      </c>
      <c r="W73" s="138">
        <v>558.4</v>
      </c>
      <c r="X73" s="138">
        <v>554</v>
      </c>
      <c r="Y73" s="138">
        <v>585.1</v>
      </c>
      <c r="Z73" s="138">
        <v>598.6</v>
      </c>
      <c r="AQ73" s="830" t="s">
        <v>512</v>
      </c>
      <c r="AR73" s="103">
        <v>68</v>
      </c>
      <c r="AS73" s="103">
        <v>587.33333333333337</v>
      </c>
    </row>
    <row r="74" spans="4:45" s="103" customFormat="1" x14ac:dyDescent="0.3">
      <c r="D74" s="136">
        <v>64</v>
      </c>
      <c r="E74" s="136">
        <v>500</v>
      </c>
      <c r="F74" s="136">
        <v>560</v>
      </c>
      <c r="G74" s="137">
        <v>720</v>
      </c>
      <c r="H74" s="137" t="s">
        <v>17</v>
      </c>
      <c r="I74" s="137" t="s">
        <v>17</v>
      </c>
      <c r="J74" s="138">
        <v>639.29999999999995</v>
      </c>
      <c r="K74" s="138">
        <v>645.4</v>
      </c>
      <c r="L74" s="138">
        <v>631.4</v>
      </c>
      <c r="M74" s="138">
        <v>634.5</v>
      </c>
      <c r="N74" s="138">
        <v>566.1</v>
      </c>
      <c r="O74" s="138">
        <v>581</v>
      </c>
      <c r="P74" s="138">
        <v>569.29999999999995</v>
      </c>
      <c r="Q74" s="138">
        <v>572.6</v>
      </c>
      <c r="R74" s="138">
        <v>575.70000000000005</v>
      </c>
      <c r="S74" s="138">
        <v>601.5</v>
      </c>
      <c r="T74" s="138">
        <v>572.29999999999995</v>
      </c>
      <c r="U74" s="138">
        <v>588.9</v>
      </c>
      <c r="V74" s="138">
        <v>572.20000000000005</v>
      </c>
      <c r="W74" s="138">
        <v>562.6</v>
      </c>
      <c r="X74" s="138">
        <v>558.4</v>
      </c>
      <c r="Y74" s="138">
        <v>589.4</v>
      </c>
      <c r="Z74" s="138">
        <v>603.6</v>
      </c>
      <c r="AQ74" s="830" t="s">
        <v>513</v>
      </c>
      <c r="AR74" s="103">
        <v>69</v>
      </c>
      <c r="AS74" s="103">
        <v>590.66666666666663</v>
      </c>
    </row>
    <row r="75" spans="4:45" s="103" customFormat="1" x14ac:dyDescent="0.3">
      <c r="D75" s="136">
        <v>65</v>
      </c>
      <c r="E75" s="136">
        <v>500</v>
      </c>
      <c r="F75" s="136">
        <v>560</v>
      </c>
      <c r="G75" s="137" t="s">
        <v>17</v>
      </c>
      <c r="H75" s="137" t="s">
        <v>17</v>
      </c>
      <c r="I75" s="137" t="s">
        <v>17</v>
      </c>
      <c r="J75" s="138">
        <v>643.29999999999995</v>
      </c>
      <c r="K75" s="138">
        <v>648.9</v>
      </c>
      <c r="L75" s="138">
        <v>634.20000000000005</v>
      </c>
      <c r="M75" s="138">
        <v>637.6</v>
      </c>
      <c r="N75" s="138">
        <v>570.20000000000005</v>
      </c>
      <c r="O75" s="138">
        <v>584.9</v>
      </c>
      <c r="P75" s="138">
        <v>572.70000000000005</v>
      </c>
      <c r="Q75" s="138">
        <v>576.1</v>
      </c>
      <c r="R75" s="138">
        <v>579.4</v>
      </c>
      <c r="S75" s="138">
        <v>605.79999999999995</v>
      </c>
      <c r="T75" s="138">
        <v>576.1</v>
      </c>
      <c r="U75" s="138">
        <v>593.29999999999995</v>
      </c>
      <c r="V75" s="138">
        <v>576.20000000000005</v>
      </c>
      <c r="W75" s="138">
        <v>566.79999999999995</v>
      </c>
      <c r="X75" s="138">
        <v>562.6</v>
      </c>
      <c r="Y75" s="138">
        <v>593.79999999999995</v>
      </c>
      <c r="Z75" s="138">
        <v>608.9</v>
      </c>
      <c r="AQ75" s="830" t="s">
        <v>514</v>
      </c>
      <c r="AR75" s="103">
        <v>70</v>
      </c>
      <c r="AS75" s="103">
        <v>594.16666666666663</v>
      </c>
    </row>
    <row r="76" spans="4:45" s="103" customFormat="1" x14ac:dyDescent="0.3">
      <c r="D76" s="136">
        <v>66</v>
      </c>
      <c r="E76" s="136">
        <v>500</v>
      </c>
      <c r="F76" s="136">
        <v>560</v>
      </c>
      <c r="G76" s="137" t="s">
        <v>17</v>
      </c>
      <c r="H76" s="137" t="s">
        <v>17</v>
      </c>
      <c r="I76" s="137" t="s">
        <v>17</v>
      </c>
      <c r="J76" s="138">
        <v>647.4</v>
      </c>
      <c r="K76" s="138">
        <v>652.4</v>
      </c>
      <c r="L76" s="138">
        <v>637.1</v>
      </c>
      <c r="M76" s="138">
        <v>640.70000000000005</v>
      </c>
      <c r="N76" s="138">
        <v>574.20000000000005</v>
      </c>
      <c r="O76" s="138">
        <v>588.79999999999995</v>
      </c>
      <c r="P76" s="138">
        <v>576.20000000000005</v>
      </c>
      <c r="Q76" s="138">
        <v>579.70000000000005</v>
      </c>
      <c r="R76" s="138">
        <v>583.1</v>
      </c>
      <c r="S76" s="138">
        <v>610.29999999999995</v>
      </c>
      <c r="T76" s="138">
        <v>580.1</v>
      </c>
      <c r="U76" s="138">
        <v>597.9</v>
      </c>
      <c r="V76" s="138">
        <v>580.20000000000005</v>
      </c>
      <c r="W76" s="138">
        <v>570.70000000000005</v>
      </c>
      <c r="X76" s="138">
        <v>566.79999999999995</v>
      </c>
      <c r="Y76" s="138">
        <v>598.20000000000005</v>
      </c>
      <c r="Z76" s="138">
        <v>614.20000000000005</v>
      </c>
      <c r="AQ76" s="830" t="s">
        <v>515</v>
      </c>
      <c r="AR76" s="103">
        <v>71</v>
      </c>
      <c r="AS76" s="103">
        <v>597.77777777777783</v>
      </c>
    </row>
    <row r="77" spans="4:45" s="103" customFormat="1" x14ac:dyDescent="0.3">
      <c r="D77" s="136">
        <v>67</v>
      </c>
      <c r="E77" s="136">
        <v>500</v>
      </c>
      <c r="F77" s="136">
        <v>560</v>
      </c>
      <c r="G77" s="137" t="s">
        <v>17</v>
      </c>
      <c r="H77" s="137" t="s">
        <v>17</v>
      </c>
      <c r="I77" s="137" t="s">
        <v>17</v>
      </c>
      <c r="J77" s="138">
        <v>651.4</v>
      </c>
      <c r="K77" s="138">
        <v>655.8</v>
      </c>
      <c r="L77" s="138">
        <v>640</v>
      </c>
      <c r="M77" s="138">
        <v>644</v>
      </c>
      <c r="N77" s="138">
        <v>578.5</v>
      </c>
      <c r="O77" s="138">
        <v>592.79999999999995</v>
      </c>
      <c r="P77" s="138">
        <v>579.79999999999995</v>
      </c>
      <c r="Q77" s="138">
        <v>583.4</v>
      </c>
      <c r="R77" s="138">
        <v>586.79999999999995</v>
      </c>
      <c r="S77" s="138">
        <v>614.79999999999995</v>
      </c>
      <c r="T77" s="138">
        <v>584.1</v>
      </c>
      <c r="U77" s="138">
        <v>602.70000000000005</v>
      </c>
      <c r="V77" s="138">
        <v>584.4</v>
      </c>
      <c r="W77" s="138">
        <v>574.6</v>
      </c>
      <c r="X77" s="138">
        <v>570.6</v>
      </c>
      <c r="Y77" s="138">
        <v>602.79999999999995</v>
      </c>
      <c r="Z77" s="138">
        <v>620</v>
      </c>
      <c r="AQ77" s="830" t="s">
        <v>516</v>
      </c>
      <c r="AR77" s="103">
        <v>72</v>
      </c>
      <c r="AS77" s="103">
        <v>601.5</v>
      </c>
    </row>
    <row r="78" spans="4:45" s="103" customFormat="1" x14ac:dyDescent="0.3">
      <c r="D78" s="136">
        <v>68</v>
      </c>
      <c r="E78" s="136">
        <v>500</v>
      </c>
      <c r="F78" s="136">
        <v>560</v>
      </c>
      <c r="G78" s="137" t="s">
        <v>17</v>
      </c>
      <c r="H78" s="137" t="s">
        <v>17</v>
      </c>
      <c r="I78" s="137" t="s">
        <v>17</v>
      </c>
      <c r="J78" s="138">
        <v>655.20000000000005</v>
      </c>
      <c r="K78" s="138">
        <v>659.7</v>
      </c>
      <c r="L78" s="138">
        <v>643.1</v>
      </c>
      <c r="M78" s="138">
        <v>647.4</v>
      </c>
      <c r="N78" s="138">
        <v>582.9</v>
      </c>
      <c r="O78" s="138">
        <v>596.70000000000005</v>
      </c>
      <c r="P78" s="138">
        <v>583.5</v>
      </c>
      <c r="Q78" s="138">
        <v>587</v>
      </c>
      <c r="R78" s="138">
        <v>590.5</v>
      </c>
      <c r="S78" s="138">
        <v>619.6</v>
      </c>
      <c r="T78" s="138">
        <v>588.20000000000005</v>
      </c>
      <c r="U78" s="138">
        <v>607.70000000000005</v>
      </c>
      <c r="V78" s="138">
        <v>588.5</v>
      </c>
      <c r="W78" s="138">
        <v>578.79999999999995</v>
      </c>
      <c r="X78" s="138">
        <v>574.5</v>
      </c>
      <c r="Y78" s="138">
        <v>607.70000000000005</v>
      </c>
      <c r="Z78" s="138">
        <v>626</v>
      </c>
      <c r="AQ78" s="830" t="s">
        <v>517</v>
      </c>
      <c r="AR78" s="103">
        <v>73</v>
      </c>
      <c r="AS78" s="103">
        <v>605.33333333333337</v>
      </c>
    </row>
    <row r="79" spans="4:45" x14ac:dyDescent="0.3">
      <c r="D79" s="136">
        <v>69</v>
      </c>
      <c r="E79" s="136">
        <v>500</v>
      </c>
      <c r="F79" s="136">
        <v>560</v>
      </c>
      <c r="G79" s="137" t="s">
        <v>17</v>
      </c>
      <c r="H79" s="137" t="s">
        <v>17</v>
      </c>
      <c r="I79" s="137" t="s">
        <v>17</v>
      </c>
      <c r="J79" s="138">
        <v>659.4</v>
      </c>
      <c r="K79" s="138">
        <v>664.3</v>
      </c>
      <c r="L79" s="138">
        <v>646.20000000000005</v>
      </c>
      <c r="M79" s="138">
        <v>650.5</v>
      </c>
      <c r="N79" s="138">
        <v>587.20000000000005</v>
      </c>
      <c r="O79" s="138">
        <v>600.79999999999995</v>
      </c>
      <c r="P79" s="138">
        <v>587</v>
      </c>
      <c r="Q79" s="138">
        <v>590.6</v>
      </c>
      <c r="R79" s="138">
        <v>594.20000000000005</v>
      </c>
      <c r="S79" s="138">
        <v>624.6</v>
      </c>
      <c r="T79" s="138">
        <v>592.29999999999995</v>
      </c>
      <c r="U79" s="138">
        <v>612.70000000000005</v>
      </c>
      <c r="V79" s="138">
        <v>592.6</v>
      </c>
      <c r="W79" s="138">
        <v>583</v>
      </c>
      <c r="X79" s="138">
        <v>578.6</v>
      </c>
      <c r="Y79" s="138">
        <v>612.5</v>
      </c>
      <c r="Z79" s="138">
        <v>632.1</v>
      </c>
      <c r="AQ79" s="830" t="s">
        <v>518</v>
      </c>
      <c r="AR79" s="103">
        <v>74</v>
      </c>
      <c r="AS79" s="7">
        <v>609.22222222222217</v>
      </c>
    </row>
    <row r="80" spans="4:45" x14ac:dyDescent="0.3">
      <c r="D80" s="623">
        <v>70</v>
      </c>
      <c r="E80" s="623">
        <v>500</v>
      </c>
      <c r="F80" s="623">
        <v>560</v>
      </c>
      <c r="G80" s="624" t="s">
        <v>17</v>
      </c>
      <c r="H80" s="624" t="s">
        <v>17</v>
      </c>
      <c r="I80" s="624" t="s">
        <v>17</v>
      </c>
      <c r="J80" s="625">
        <v>664.4</v>
      </c>
      <c r="K80" s="625">
        <v>669.1</v>
      </c>
      <c r="L80" s="625">
        <v>649.20000000000005</v>
      </c>
      <c r="M80" s="625">
        <v>653.70000000000005</v>
      </c>
      <c r="N80" s="625">
        <v>591.6</v>
      </c>
      <c r="O80" s="625">
        <v>605.1</v>
      </c>
      <c r="P80" s="625">
        <v>590.6</v>
      </c>
      <c r="Q80" s="625">
        <v>594.4</v>
      </c>
      <c r="R80" s="625">
        <v>598</v>
      </c>
      <c r="S80" s="625">
        <v>629.6</v>
      </c>
      <c r="T80" s="625">
        <v>596.29999999999995</v>
      </c>
      <c r="U80" s="625">
        <v>618.1</v>
      </c>
      <c r="V80" s="625">
        <v>596.79999999999995</v>
      </c>
      <c r="W80" s="625">
        <v>587.1</v>
      </c>
      <c r="X80" s="625">
        <v>582.79999999999995</v>
      </c>
      <c r="Y80" s="625">
        <v>617.70000000000005</v>
      </c>
      <c r="Z80" s="625">
        <v>638.70000000000005</v>
      </c>
      <c r="AQ80" s="830" t="s">
        <v>519</v>
      </c>
      <c r="AR80" s="103">
        <v>75</v>
      </c>
      <c r="AS80" s="7">
        <v>612.88888888888891</v>
      </c>
    </row>
    <row r="81" spans="4:45" x14ac:dyDescent="0.3">
      <c r="D81" s="136">
        <v>71</v>
      </c>
      <c r="E81" s="136">
        <v>500</v>
      </c>
      <c r="F81" s="136">
        <v>560</v>
      </c>
      <c r="G81" s="137" t="s">
        <v>17</v>
      </c>
      <c r="H81" s="137" t="s">
        <v>17</v>
      </c>
      <c r="I81" s="137" t="s">
        <v>17</v>
      </c>
      <c r="J81" s="138">
        <v>669.7</v>
      </c>
      <c r="K81" s="138">
        <v>673.5</v>
      </c>
      <c r="L81" s="138">
        <v>652.20000000000005</v>
      </c>
      <c r="M81" s="138">
        <v>656.8</v>
      </c>
      <c r="N81" s="138">
        <v>596</v>
      </c>
      <c r="O81" s="138">
        <v>609.5</v>
      </c>
      <c r="P81" s="138">
        <v>594.29999999999995</v>
      </c>
      <c r="Q81" s="138">
        <v>598</v>
      </c>
      <c r="R81" s="138">
        <v>601.79999999999995</v>
      </c>
      <c r="S81" s="138">
        <v>634.79999999999995</v>
      </c>
      <c r="T81" s="138">
        <v>600.5</v>
      </c>
      <c r="U81" s="138">
        <v>623.70000000000005</v>
      </c>
      <c r="V81" s="138">
        <v>601.1</v>
      </c>
      <c r="W81" s="138">
        <v>591.4</v>
      </c>
      <c r="X81" s="138">
        <v>586.9</v>
      </c>
      <c r="Y81" s="138">
        <v>623.29999999999995</v>
      </c>
      <c r="Z81" s="138">
        <v>645.9</v>
      </c>
      <c r="AQ81" s="830" t="s">
        <v>520</v>
      </c>
      <c r="AR81" s="103">
        <v>76</v>
      </c>
      <c r="AS81" s="7">
        <v>616.77777777777783</v>
      </c>
    </row>
    <row r="82" spans="4:45" x14ac:dyDescent="0.3">
      <c r="D82" s="136">
        <v>72</v>
      </c>
      <c r="E82" s="136">
        <v>500</v>
      </c>
      <c r="F82" s="136">
        <v>560</v>
      </c>
      <c r="G82" s="137" t="s">
        <v>17</v>
      </c>
      <c r="H82" s="137" t="s">
        <v>17</v>
      </c>
      <c r="I82" s="137" t="s">
        <v>17</v>
      </c>
      <c r="J82" s="138">
        <v>674.4</v>
      </c>
      <c r="K82" s="138">
        <v>678.6</v>
      </c>
      <c r="L82" s="138">
        <v>655.1</v>
      </c>
      <c r="M82" s="138">
        <v>660.6</v>
      </c>
      <c r="N82" s="138">
        <v>600.5</v>
      </c>
      <c r="O82" s="138">
        <v>614</v>
      </c>
      <c r="P82" s="138">
        <v>598</v>
      </c>
      <c r="Q82" s="138">
        <v>601.79999999999995</v>
      </c>
      <c r="R82" s="138">
        <v>605.9</v>
      </c>
      <c r="S82" s="138">
        <v>640.29999999999995</v>
      </c>
      <c r="T82" s="138">
        <v>604.9</v>
      </c>
      <c r="U82" s="138">
        <v>629.5</v>
      </c>
      <c r="V82" s="138">
        <v>605.6</v>
      </c>
      <c r="W82" s="138">
        <v>595.70000000000005</v>
      </c>
      <c r="X82" s="138">
        <v>591.20000000000005</v>
      </c>
      <c r="Y82" s="138">
        <v>628.79999999999995</v>
      </c>
      <c r="Z82" s="138">
        <v>653.4</v>
      </c>
      <c r="AQ82" s="830" t="s">
        <v>521</v>
      </c>
      <c r="AR82" s="103">
        <v>77</v>
      </c>
      <c r="AS82" s="7">
        <v>620.83333333333337</v>
      </c>
    </row>
    <row r="83" spans="4:45" x14ac:dyDescent="0.3">
      <c r="D83" s="136">
        <v>73</v>
      </c>
      <c r="E83" s="136">
        <v>500</v>
      </c>
      <c r="F83" s="136">
        <v>560</v>
      </c>
      <c r="G83" s="137" t="s">
        <v>17</v>
      </c>
      <c r="H83" s="137" t="s">
        <v>17</v>
      </c>
      <c r="I83" s="137" t="s">
        <v>17</v>
      </c>
      <c r="J83" s="138">
        <v>680</v>
      </c>
      <c r="K83" s="138">
        <v>683.9</v>
      </c>
      <c r="L83" s="138">
        <v>658.1</v>
      </c>
      <c r="M83" s="138">
        <v>664.8</v>
      </c>
      <c r="N83" s="138">
        <v>605.29999999999995</v>
      </c>
      <c r="O83" s="138">
        <v>618.9</v>
      </c>
      <c r="P83" s="138">
        <v>601.79999999999995</v>
      </c>
      <c r="Q83" s="138">
        <v>605.79999999999995</v>
      </c>
      <c r="R83" s="138">
        <v>610</v>
      </c>
      <c r="S83" s="138">
        <v>646.29999999999995</v>
      </c>
      <c r="T83" s="138">
        <v>609.4</v>
      </c>
      <c r="U83" s="138">
        <v>635.4</v>
      </c>
      <c r="V83" s="138">
        <v>610.20000000000005</v>
      </c>
      <c r="W83" s="138">
        <v>600</v>
      </c>
      <c r="X83" s="138">
        <v>595.4</v>
      </c>
      <c r="Y83" s="138">
        <v>634.5</v>
      </c>
      <c r="Z83" s="138">
        <v>661.7</v>
      </c>
      <c r="AQ83" s="830" t="s">
        <v>522</v>
      </c>
      <c r="AR83" s="103">
        <v>78</v>
      </c>
      <c r="AS83" s="7">
        <v>625.16666666666663</v>
      </c>
    </row>
    <row r="84" spans="4:45" x14ac:dyDescent="0.3">
      <c r="D84" s="139">
        <v>74</v>
      </c>
      <c r="E84" s="139">
        <v>500</v>
      </c>
      <c r="F84" s="139">
        <v>560</v>
      </c>
      <c r="G84" s="140" t="s">
        <v>17</v>
      </c>
      <c r="H84" s="140" t="s">
        <v>17</v>
      </c>
      <c r="I84" s="140" t="s">
        <v>17</v>
      </c>
      <c r="J84" s="123">
        <v>685.4</v>
      </c>
      <c r="K84" s="123">
        <v>689.1</v>
      </c>
      <c r="L84" s="123">
        <v>661.9</v>
      </c>
      <c r="M84" s="123">
        <v>669.2</v>
      </c>
      <c r="N84" s="123">
        <v>610.29999999999995</v>
      </c>
      <c r="O84" s="123">
        <v>623.9</v>
      </c>
      <c r="P84" s="123">
        <v>605.79999999999995</v>
      </c>
      <c r="Q84" s="123">
        <v>609.9</v>
      </c>
      <c r="R84" s="123">
        <v>614.20000000000005</v>
      </c>
      <c r="S84" s="123">
        <v>652.4</v>
      </c>
      <c r="T84" s="123">
        <v>614</v>
      </c>
      <c r="U84" s="123">
        <v>641.9</v>
      </c>
      <c r="V84" s="123">
        <v>615</v>
      </c>
      <c r="W84" s="123">
        <v>604.70000000000005</v>
      </c>
      <c r="X84" s="123">
        <v>599.79999999999995</v>
      </c>
      <c r="Y84" s="123">
        <v>640.70000000000005</v>
      </c>
      <c r="Z84" s="123">
        <v>671.8</v>
      </c>
      <c r="AQ84" s="830" t="s">
        <v>523</v>
      </c>
      <c r="AR84" s="103">
        <v>79</v>
      </c>
      <c r="AS84" s="7">
        <v>629.61111111111109</v>
      </c>
    </row>
    <row r="85" spans="4:45" x14ac:dyDescent="0.3">
      <c r="D85" s="136">
        <v>75</v>
      </c>
      <c r="E85" s="136">
        <v>500</v>
      </c>
      <c r="F85" s="136">
        <v>560</v>
      </c>
      <c r="G85" s="141" t="s">
        <v>17</v>
      </c>
      <c r="H85" s="141" t="s">
        <v>17</v>
      </c>
      <c r="I85" s="141" t="s">
        <v>17</v>
      </c>
      <c r="J85" s="121">
        <v>691</v>
      </c>
      <c r="K85" s="121">
        <v>693.9</v>
      </c>
      <c r="L85" s="121">
        <v>665.7</v>
      </c>
      <c r="M85" s="121">
        <v>673.1</v>
      </c>
      <c r="N85" s="121">
        <v>615.29999999999995</v>
      </c>
      <c r="O85" s="121">
        <v>628.9</v>
      </c>
      <c r="P85" s="121">
        <v>609.9</v>
      </c>
      <c r="Q85" s="121">
        <v>614</v>
      </c>
      <c r="R85" s="121">
        <v>618.6</v>
      </c>
      <c r="S85" s="121">
        <v>658.5</v>
      </c>
      <c r="T85" s="121">
        <v>618.9</v>
      </c>
      <c r="U85" s="121">
        <v>648.9</v>
      </c>
      <c r="V85" s="121">
        <v>620</v>
      </c>
      <c r="W85" s="121">
        <v>609.5</v>
      </c>
      <c r="X85" s="121">
        <v>604.4</v>
      </c>
      <c r="Y85" s="121">
        <v>647.5</v>
      </c>
      <c r="Z85" s="121">
        <v>683.2</v>
      </c>
      <c r="AQ85" s="830" t="s">
        <v>524</v>
      </c>
      <c r="AR85" s="103">
        <v>80</v>
      </c>
      <c r="AS85" s="7">
        <v>633.88888888888891</v>
      </c>
    </row>
    <row r="86" spans="4:45" x14ac:dyDescent="0.3">
      <c r="D86" s="136">
        <v>76</v>
      </c>
      <c r="E86" s="136">
        <v>500</v>
      </c>
      <c r="F86" s="136">
        <v>560</v>
      </c>
      <c r="G86" s="141" t="s">
        <v>17</v>
      </c>
      <c r="H86" s="141" t="s">
        <v>17</v>
      </c>
      <c r="I86" s="141" t="s">
        <v>17</v>
      </c>
      <c r="J86" s="121">
        <v>696</v>
      </c>
      <c r="K86" s="121">
        <v>699.8</v>
      </c>
      <c r="L86" s="121">
        <v>669.7</v>
      </c>
      <c r="M86" s="121">
        <v>677.4</v>
      </c>
      <c r="N86" s="121">
        <v>620.9</v>
      </c>
      <c r="O86" s="121">
        <v>634.1</v>
      </c>
      <c r="P86" s="121">
        <v>614.1</v>
      </c>
      <c r="Q86" s="121">
        <v>618.29999999999995</v>
      </c>
      <c r="R86" s="121">
        <v>623.29999999999995</v>
      </c>
      <c r="S86" s="121">
        <v>666.5</v>
      </c>
      <c r="T86" s="121">
        <v>624</v>
      </c>
      <c r="U86" s="121">
        <v>655.9</v>
      </c>
      <c r="V86" s="121">
        <v>625.20000000000005</v>
      </c>
      <c r="W86" s="121">
        <v>614.29999999999995</v>
      </c>
      <c r="X86" s="121">
        <v>609.20000000000005</v>
      </c>
      <c r="Y86" s="121">
        <v>654.4</v>
      </c>
      <c r="Z86" s="121">
        <v>694.9</v>
      </c>
      <c r="AQ86" s="830" t="s">
        <v>525</v>
      </c>
      <c r="AR86" s="103">
        <v>81</v>
      </c>
      <c r="AS86" s="7">
        <v>638.44444444444446</v>
      </c>
    </row>
    <row r="87" spans="4:45" x14ac:dyDescent="0.3">
      <c r="D87" s="136">
        <v>77</v>
      </c>
      <c r="E87" s="136">
        <v>500</v>
      </c>
      <c r="F87" s="136">
        <v>560</v>
      </c>
      <c r="G87" s="141" t="s">
        <v>17</v>
      </c>
      <c r="H87" s="141" t="s">
        <v>17</v>
      </c>
      <c r="I87" s="141" t="s">
        <v>17</v>
      </c>
      <c r="J87" s="121">
        <v>702.3</v>
      </c>
      <c r="K87" s="121">
        <v>705.2</v>
      </c>
      <c r="L87" s="121">
        <v>673.1</v>
      </c>
      <c r="M87" s="121">
        <v>682.2</v>
      </c>
      <c r="N87" s="121">
        <v>626.4</v>
      </c>
      <c r="O87" s="121">
        <v>639.6</v>
      </c>
      <c r="P87" s="121">
        <v>618.6</v>
      </c>
      <c r="Q87" s="121">
        <v>622.9</v>
      </c>
      <c r="R87" s="121">
        <v>628</v>
      </c>
      <c r="S87" s="121">
        <v>674.3</v>
      </c>
      <c r="T87" s="121">
        <v>629.20000000000005</v>
      </c>
      <c r="U87" s="121">
        <v>664.6</v>
      </c>
      <c r="V87" s="121">
        <v>630.5</v>
      </c>
      <c r="W87" s="121">
        <v>619.5</v>
      </c>
      <c r="X87" s="121">
        <v>614</v>
      </c>
      <c r="Y87" s="121">
        <v>662.4</v>
      </c>
      <c r="Z87" s="121">
        <v>710.1</v>
      </c>
      <c r="AQ87" s="830" t="s">
        <v>526</v>
      </c>
      <c r="AR87" s="103">
        <v>82</v>
      </c>
      <c r="AS87" s="7">
        <v>643.33333333333337</v>
      </c>
    </row>
    <row r="88" spans="4:45" x14ac:dyDescent="0.3">
      <c r="D88" s="136">
        <v>78</v>
      </c>
      <c r="E88" s="136">
        <v>500</v>
      </c>
      <c r="F88" s="136">
        <v>560</v>
      </c>
      <c r="G88" s="141" t="s">
        <v>17</v>
      </c>
      <c r="H88" s="141" t="s">
        <v>17</v>
      </c>
      <c r="I88" s="141" t="s">
        <v>17</v>
      </c>
      <c r="J88" s="121">
        <v>708.5</v>
      </c>
      <c r="K88" s="121">
        <v>712.1</v>
      </c>
      <c r="L88" s="121">
        <v>676.9</v>
      </c>
      <c r="M88" s="121">
        <v>686.5</v>
      </c>
      <c r="N88" s="121">
        <v>632.1</v>
      </c>
      <c r="O88" s="121">
        <v>645.70000000000005</v>
      </c>
      <c r="P88" s="121">
        <v>623.20000000000005</v>
      </c>
      <c r="Q88" s="121">
        <v>627.4</v>
      </c>
      <c r="R88" s="121">
        <v>632.70000000000005</v>
      </c>
      <c r="S88" s="121">
        <v>683.4</v>
      </c>
      <c r="T88" s="121">
        <v>634.5</v>
      </c>
      <c r="U88" s="121">
        <v>674</v>
      </c>
      <c r="V88" s="121">
        <v>635.9</v>
      </c>
      <c r="W88" s="121">
        <v>624.9</v>
      </c>
      <c r="X88" s="121">
        <v>619.20000000000005</v>
      </c>
      <c r="Y88" s="121">
        <v>671.9</v>
      </c>
      <c r="Z88" s="121" t="s">
        <v>17</v>
      </c>
      <c r="AQ88" s="830" t="s">
        <v>527</v>
      </c>
      <c r="AR88" s="103">
        <v>83</v>
      </c>
      <c r="AS88" s="7">
        <v>648.66666666666663</v>
      </c>
    </row>
    <row r="89" spans="4:45" x14ac:dyDescent="0.3">
      <c r="D89" s="136">
        <v>79</v>
      </c>
      <c r="E89" s="136">
        <v>500</v>
      </c>
      <c r="F89" s="136">
        <v>560</v>
      </c>
      <c r="G89" s="141" t="s">
        <v>17</v>
      </c>
      <c r="H89" s="141" t="s">
        <v>17</v>
      </c>
      <c r="I89" s="141" t="s">
        <v>17</v>
      </c>
      <c r="J89" s="121">
        <v>716.3</v>
      </c>
      <c r="K89" s="121">
        <v>720.3</v>
      </c>
      <c r="L89" s="121">
        <v>681.3</v>
      </c>
      <c r="M89" s="121">
        <v>691.2</v>
      </c>
      <c r="N89" s="121">
        <v>638</v>
      </c>
      <c r="O89" s="121">
        <v>651.9</v>
      </c>
      <c r="P89" s="121">
        <v>628</v>
      </c>
      <c r="Q89" s="121">
        <v>632.1</v>
      </c>
      <c r="R89" s="121">
        <v>637.79999999999995</v>
      </c>
      <c r="S89" s="121">
        <v>692</v>
      </c>
      <c r="T89" s="121">
        <v>640.29999999999995</v>
      </c>
      <c r="U89" s="121">
        <v>685</v>
      </c>
      <c r="V89" s="121">
        <v>641.9</v>
      </c>
      <c r="W89" s="121">
        <v>630.4</v>
      </c>
      <c r="X89" s="121">
        <v>624.6</v>
      </c>
      <c r="Y89" s="121">
        <v>682.7</v>
      </c>
      <c r="Z89" s="121" t="s">
        <v>17</v>
      </c>
      <c r="AQ89" s="830" t="s">
        <v>528</v>
      </c>
      <c r="AR89" s="103">
        <v>84</v>
      </c>
      <c r="AS89" s="7">
        <v>654.22222222222217</v>
      </c>
    </row>
    <row r="90" spans="4:45" x14ac:dyDescent="0.3">
      <c r="D90" s="623">
        <v>80</v>
      </c>
      <c r="E90" s="623">
        <v>500</v>
      </c>
      <c r="F90" s="623">
        <v>560</v>
      </c>
      <c r="G90" s="626" t="s">
        <v>17</v>
      </c>
      <c r="H90" s="626" t="s">
        <v>17</v>
      </c>
      <c r="I90" s="626" t="s">
        <v>17</v>
      </c>
      <c r="J90" s="627" t="s">
        <v>17</v>
      </c>
      <c r="K90" s="627">
        <v>733.8</v>
      </c>
      <c r="L90" s="627">
        <v>685</v>
      </c>
      <c r="M90" s="627">
        <v>694.8</v>
      </c>
      <c r="N90" s="627">
        <v>644.6</v>
      </c>
      <c r="O90" s="627">
        <v>658</v>
      </c>
      <c r="P90" s="627">
        <v>632.79999999999995</v>
      </c>
      <c r="Q90" s="627">
        <v>637</v>
      </c>
      <c r="R90" s="627">
        <v>643.29999999999995</v>
      </c>
      <c r="S90" s="627">
        <v>700.8</v>
      </c>
      <c r="T90" s="627">
        <v>646.70000000000005</v>
      </c>
      <c r="U90" s="627">
        <v>695.6</v>
      </c>
      <c r="V90" s="627">
        <v>648.29999999999995</v>
      </c>
      <c r="W90" s="627">
        <v>636.1</v>
      </c>
      <c r="X90" s="627">
        <v>630.20000000000005</v>
      </c>
      <c r="Y90" s="627">
        <v>693.7</v>
      </c>
      <c r="Z90" s="627" t="s">
        <v>17</v>
      </c>
      <c r="AQ90" s="830" t="s">
        <v>529</v>
      </c>
      <c r="AR90" s="103">
        <v>85</v>
      </c>
      <c r="AS90" s="7">
        <v>659.88888888888891</v>
      </c>
    </row>
    <row r="91" spans="4:45" x14ac:dyDescent="0.3">
      <c r="D91" s="136">
        <v>81</v>
      </c>
      <c r="E91" s="136">
        <v>500</v>
      </c>
      <c r="F91" s="136">
        <v>560</v>
      </c>
      <c r="G91" s="141" t="s">
        <v>17</v>
      </c>
      <c r="H91" s="141" t="s">
        <v>17</v>
      </c>
      <c r="I91" s="141" t="s">
        <v>17</v>
      </c>
      <c r="J91" s="121" t="s">
        <v>17</v>
      </c>
      <c r="K91" s="121" t="s">
        <v>17</v>
      </c>
      <c r="L91" s="121">
        <v>688.9</v>
      </c>
      <c r="M91" s="121">
        <v>699.9</v>
      </c>
      <c r="N91" s="121">
        <v>651.6</v>
      </c>
      <c r="O91" s="121">
        <v>666.2</v>
      </c>
      <c r="P91" s="121">
        <v>638</v>
      </c>
      <c r="Q91" s="121">
        <v>642.29999999999995</v>
      </c>
      <c r="R91" s="121">
        <v>649.1</v>
      </c>
      <c r="S91" s="121">
        <v>709.7</v>
      </c>
      <c r="T91" s="121">
        <v>653.20000000000005</v>
      </c>
      <c r="U91" s="121">
        <v>708</v>
      </c>
      <c r="V91" s="121">
        <v>654.70000000000005</v>
      </c>
      <c r="W91" s="121">
        <v>642.4</v>
      </c>
      <c r="X91" s="121">
        <v>635.79999999999995</v>
      </c>
      <c r="Y91" s="121">
        <v>707</v>
      </c>
      <c r="Z91" s="121" t="s">
        <v>17</v>
      </c>
      <c r="AQ91" s="830" t="s">
        <v>530</v>
      </c>
      <c r="AR91" s="103">
        <v>86</v>
      </c>
      <c r="AS91" s="7">
        <v>667.05555555555554</v>
      </c>
    </row>
    <row r="92" spans="4:45" x14ac:dyDescent="0.3">
      <c r="D92" s="136">
        <v>82</v>
      </c>
      <c r="E92" s="136">
        <v>500</v>
      </c>
      <c r="F92" s="136">
        <v>560</v>
      </c>
      <c r="G92" s="141" t="s">
        <v>17</v>
      </c>
      <c r="H92" s="141" t="s">
        <v>17</v>
      </c>
      <c r="I92" s="141" t="s">
        <v>17</v>
      </c>
      <c r="J92" s="121" t="s">
        <v>17</v>
      </c>
      <c r="K92" s="121" t="s">
        <v>17</v>
      </c>
      <c r="L92" s="121">
        <v>692.4</v>
      </c>
      <c r="M92" s="121">
        <v>704</v>
      </c>
      <c r="N92" s="121">
        <v>658.6</v>
      </c>
      <c r="O92" s="121">
        <v>674.4</v>
      </c>
      <c r="P92" s="121">
        <v>643.70000000000005</v>
      </c>
      <c r="Q92" s="121">
        <v>648</v>
      </c>
      <c r="R92" s="121">
        <v>655</v>
      </c>
      <c r="S92" s="121">
        <v>720</v>
      </c>
      <c r="T92" s="121">
        <v>660.3</v>
      </c>
      <c r="U92" s="121">
        <v>723.5</v>
      </c>
      <c r="V92" s="121">
        <v>662.1</v>
      </c>
      <c r="W92" s="121">
        <v>649.1</v>
      </c>
      <c r="X92" s="121">
        <v>642.1</v>
      </c>
      <c r="Y92" s="121">
        <v>726.7</v>
      </c>
      <c r="Z92" s="121" t="s">
        <v>17</v>
      </c>
      <c r="AQ92" s="830" t="s">
        <v>531</v>
      </c>
      <c r="AR92" s="103">
        <v>87</v>
      </c>
      <c r="AS92" s="7">
        <v>674.27777777777783</v>
      </c>
    </row>
    <row r="93" spans="4:45" x14ac:dyDescent="0.3">
      <c r="D93" s="136">
        <v>83</v>
      </c>
      <c r="E93" s="136">
        <v>500</v>
      </c>
      <c r="F93" s="136">
        <v>560</v>
      </c>
      <c r="G93" s="141" t="s">
        <v>17</v>
      </c>
      <c r="H93" s="141" t="s">
        <v>17</v>
      </c>
      <c r="I93" s="141" t="s">
        <v>17</v>
      </c>
      <c r="J93" s="121" t="s">
        <v>17</v>
      </c>
      <c r="K93" s="121" t="s">
        <v>17</v>
      </c>
      <c r="L93" s="121">
        <v>695.7</v>
      </c>
      <c r="M93" s="121">
        <v>708.8</v>
      </c>
      <c r="N93" s="121">
        <v>667.9</v>
      </c>
      <c r="O93" s="121">
        <v>684</v>
      </c>
      <c r="P93" s="121">
        <v>649.70000000000005</v>
      </c>
      <c r="Q93" s="121">
        <v>653.70000000000005</v>
      </c>
      <c r="R93" s="121">
        <v>661.7</v>
      </c>
      <c r="S93" s="121">
        <v>731.5</v>
      </c>
      <c r="T93" s="121">
        <v>669.6</v>
      </c>
      <c r="U93" s="121" t="s">
        <v>17</v>
      </c>
      <c r="V93" s="121">
        <v>670.9</v>
      </c>
      <c r="W93" s="121">
        <v>655.9</v>
      </c>
      <c r="X93" s="121">
        <v>648.79999999999995</v>
      </c>
      <c r="Y93" s="121" t="s">
        <v>17</v>
      </c>
      <c r="Z93" s="121" t="s">
        <v>17</v>
      </c>
      <c r="AQ93" s="830" t="s">
        <v>532</v>
      </c>
      <c r="AR93" s="103">
        <v>88</v>
      </c>
      <c r="AS93" s="7">
        <v>683.27777777777783</v>
      </c>
    </row>
    <row r="94" spans="4:45" x14ac:dyDescent="0.3">
      <c r="D94" s="136">
        <v>84</v>
      </c>
      <c r="E94" s="136">
        <v>500</v>
      </c>
      <c r="F94" s="136">
        <v>560</v>
      </c>
      <c r="G94" s="141" t="s">
        <v>17</v>
      </c>
      <c r="H94" s="141" t="s">
        <v>17</v>
      </c>
      <c r="I94" s="141" t="s">
        <v>17</v>
      </c>
      <c r="J94" s="121" t="s">
        <v>17</v>
      </c>
      <c r="K94" s="121" t="s">
        <v>17</v>
      </c>
      <c r="L94" s="121">
        <v>700</v>
      </c>
      <c r="M94" s="121">
        <v>714.2</v>
      </c>
      <c r="N94" s="121">
        <v>677.4</v>
      </c>
      <c r="O94" s="121">
        <v>693</v>
      </c>
      <c r="P94" s="121">
        <v>655.7</v>
      </c>
      <c r="Q94" s="121">
        <v>659.8</v>
      </c>
      <c r="R94" s="121">
        <v>669.8</v>
      </c>
      <c r="S94" s="121"/>
      <c r="T94" s="121">
        <v>679.2</v>
      </c>
      <c r="U94" s="121" t="s">
        <v>17</v>
      </c>
      <c r="V94" s="121">
        <v>680.3</v>
      </c>
      <c r="W94" s="121">
        <v>664.1</v>
      </c>
      <c r="X94" s="121">
        <v>655.6</v>
      </c>
      <c r="Y94" s="121" t="s">
        <v>17</v>
      </c>
      <c r="Z94" s="121" t="s">
        <v>17</v>
      </c>
      <c r="AQ94" s="830" t="s">
        <v>533</v>
      </c>
      <c r="AR94" s="103">
        <v>89</v>
      </c>
      <c r="AS94" s="7">
        <v>692.83333333333337</v>
      </c>
    </row>
    <row r="95" spans="4:45" x14ac:dyDescent="0.3">
      <c r="D95" s="136">
        <v>85</v>
      </c>
      <c r="E95" s="136">
        <v>500</v>
      </c>
      <c r="F95" s="136">
        <v>560</v>
      </c>
      <c r="G95" s="141" t="s">
        <v>17</v>
      </c>
      <c r="H95" s="141" t="s">
        <v>17</v>
      </c>
      <c r="I95" s="141" t="s">
        <v>17</v>
      </c>
      <c r="J95" s="121" t="s">
        <v>17</v>
      </c>
      <c r="K95" s="121" t="s">
        <v>17</v>
      </c>
      <c r="L95" s="121">
        <v>703.3</v>
      </c>
      <c r="M95" s="121">
        <v>719.8</v>
      </c>
      <c r="N95" s="121">
        <v>688.1</v>
      </c>
      <c r="O95" s="121">
        <v>702.7</v>
      </c>
      <c r="P95" s="121">
        <v>662.9</v>
      </c>
      <c r="Q95" s="121">
        <v>667.5</v>
      </c>
      <c r="R95" s="121">
        <v>678</v>
      </c>
      <c r="S95" s="121"/>
      <c r="T95" s="121">
        <v>690.1</v>
      </c>
      <c r="U95" s="121" t="s">
        <v>17</v>
      </c>
      <c r="V95" s="121">
        <v>690.2</v>
      </c>
      <c r="W95" s="121">
        <v>673.3</v>
      </c>
      <c r="X95" s="121">
        <v>663.8</v>
      </c>
      <c r="Y95" s="121" t="s">
        <v>17</v>
      </c>
      <c r="Z95" s="121" t="s">
        <v>17</v>
      </c>
      <c r="AQ95" s="830" t="s">
        <v>534</v>
      </c>
      <c r="AR95" s="103">
        <v>90</v>
      </c>
      <c r="AS95" s="7">
        <v>705.27777777777783</v>
      </c>
    </row>
    <row r="96" spans="4:45" x14ac:dyDescent="0.3">
      <c r="D96" s="136">
        <v>86</v>
      </c>
      <c r="E96" s="136">
        <v>500</v>
      </c>
      <c r="F96" s="136">
        <v>560</v>
      </c>
      <c r="G96" s="141" t="s">
        <v>17</v>
      </c>
      <c r="H96" s="141" t="s">
        <v>17</v>
      </c>
      <c r="I96" s="141" t="s">
        <v>17</v>
      </c>
      <c r="J96" s="121" t="s">
        <v>17</v>
      </c>
      <c r="K96" s="121" t="s">
        <v>17</v>
      </c>
      <c r="L96" s="121">
        <v>706.7</v>
      </c>
      <c r="M96" s="121">
        <v>726.2</v>
      </c>
      <c r="N96" s="121">
        <v>698.6</v>
      </c>
      <c r="O96" s="121">
        <v>713.1</v>
      </c>
      <c r="P96" s="121">
        <v>671.4</v>
      </c>
      <c r="Q96" s="121">
        <v>675</v>
      </c>
      <c r="R96" s="121">
        <v>687.2</v>
      </c>
      <c r="S96" s="121"/>
      <c r="T96" s="121">
        <v>701.7</v>
      </c>
      <c r="U96" s="121" t="s">
        <v>17</v>
      </c>
      <c r="V96" s="121">
        <v>700.4</v>
      </c>
      <c r="W96" s="121">
        <v>683.7</v>
      </c>
      <c r="X96" s="121">
        <v>672.9</v>
      </c>
      <c r="Y96" s="121" t="s">
        <v>17</v>
      </c>
      <c r="Z96" s="121" t="s">
        <v>17</v>
      </c>
      <c r="AQ96" s="830" t="s">
        <v>535</v>
      </c>
      <c r="AR96" s="103">
        <v>91</v>
      </c>
      <c r="AS96" s="7">
        <v>726.05555555555554</v>
      </c>
    </row>
    <row r="97" spans="4:44" x14ac:dyDescent="0.3">
      <c r="D97" s="136">
        <v>87</v>
      </c>
      <c r="E97" s="136">
        <v>500</v>
      </c>
      <c r="F97" s="136">
        <v>560</v>
      </c>
      <c r="G97" s="141" t="s">
        <v>17</v>
      </c>
      <c r="H97" s="141" t="s">
        <v>17</v>
      </c>
      <c r="I97" s="141" t="s">
        <v>17</v>
      </c>
      <c r="J97" s="121" t="s">
        <v>17</v>
      </c>
      <c r="K97" s="121" t="s">
        <v>17</v>
      </c>
      <c r="L97" s="121">
        <v>710.8</v>
      </c>
      <c r="M97" s="121">
        <v>733.5</v>
      </c>
      <c r="N97" s="121">
        <v>709.6</v>
      </c>
      <c r="O97" s="121">
        <v>724.8</v>
      </c>
      <c r="P97" s="121">
        <v>680.7</v>
      </c>
      <c r="Q97" s="121">
        <v>684.1</v>
      </c>
      <c r="R97" s="121">
        <v>696.5</v>
      </c>
      <c r="S97" s="121"/>
      <c r="T97" s="121">
        <v>716.1</v>
      </c>
      <c r="U97" s="121" t="s">
        <v>17</v>
      </c>
      <c r="V97" s="121">
        <v>712.3</v>
      </c>
      <c r="W97" s="121">
        <v>694</v>
      </c>
      <c r="X97" s="121">
        <v>683.3</v>
      </c>
      <c r="Y97" s="121" t="s">
        <v>17</v>
      </c>
      <c r="Z97" s="121" t="s">
        <v>17</v>
      </c>
      <c r="AQ97" s="830" t="s">
        <v>536</v>
      </c>
      <c r="AR97" s="103">
        <v>92</v>
      </c>
    </row>
    <row r="98" spans="4:44" x14ac:dyDescent="0.3">
      <c r="D98" s="136">
        <v>88</v>
      </c>
      <c r="E98" s="136">
        <v>500</v>
      </c>
      <c r="F98" s="136">
        <v>560</v>
      </c>
      <c r="G98" s="141" t="s">
        <v>17</v>
      </c>
      <c r="H98" s="141" t="s">
        <v>17</v>
      </c>
      <c r="I98" s="141" t="s">
        <v>17</v>
      </c>
      <c r="J98" s="121" t="s">
        <v>17</v>
      </c>
      <c r="K98" s="121" t="s">
        <v>17</v>
      </c>
      <c r="L98" s="121">
        <v>714.7</v>
      </c>
      <c r="M98" s="121" t="s">
        <v>17</v>
      </c>
      <c r="N98" s="121">
        <v>722.6</v>
      </c>
      <c r="O98" s="121"/>
      <c r="P98" s="121">
        <v>690.4</v>
      </c>
      <c r="Q98" s="121">
        <v>692.8</v>
      </c>
      <c r="R98" s="121">
        <v>707.3</v>
      </c>
      <c r="S98" s="121"/>
      <c r="T98" s="121" t="s">
        <v>17</v>
      </c>
      <c r="U98" s="121" t="s">
        <v>17</v>
      </c>
      <c r="V98" s="121">
        <v>726.7</v>
      </c>
      <c r="W98" s="121">
        <v>706</v>
      </c>
      <c r="X98" s="121">
        <v>693.6</v>
      </c>
      <c r="Y98" s="121" t="s">
        <v>17</v>
      </c>
      <c r="Z98" s="121" t="s">
        <v>17</v>
      </c>
      <c r="AQ98" s="830" t="s">
        <v>537</v>
      </c>
      <c r="AR98" s="103">
        <v>93</v>
      </c>
    </row>
    <row r="99" spans="4:44" x14ac:dyDescent="0.3">
      <c r="D99" s="136">
        <v>89</v>
      </c>
      <c r="E99" s="136">
        <v>500</v>
      </c>
      <c r="F99" s="136">
        <v>560</v>
      </c>
      <c r="G99" s="141" t="s">
        <v>17</v>
      </c>
      <c r="H99" s="141" t="s">
        <v>17</v>
      </c>
      <c r="I99" s="141" t="s">
        <v>17</v>
      </c>
      <c r="J99" s="121" t="s">
        <v>17</v>
      </c>
      <c r="K99" s="121" t="s">
        <v>17</v>
      </c>
      <c r="L99" s="121">
        <v>718.6</v>
      </c>
      <c r="M99" s="121" t="s">
        <v>17</v>
      </c>
      <c r="N99" s="121" t="s">
        <v>17</v>
      </c>
      <c r="O99" s="121"/>
      <c r="P99" s="121">
        <v>700.8</v>
      </c>
      <c r="Q99" s="121">
        <v>702.5</v>
      </c>
      <c r="R99" s="121">
        <v>721.2</v>
      </c>
      <c r="S99" s="121"/>
      <c r="T99" s="121" t="s">
        <v>17</v>
      </c>
      <c r="U99" s="121" t="s">
        <v>17</v>
      </c>
      <c r="V99" s="121" t="s">
        <v>17</v>
      </c>
      <c r="W99" s="121">
        <v>721.5</v>
      </c>
      <c r="X99" s="121">
        <v>705.3</v>
      </c>
      <c r="Y99" s="121" t="s">
        <v>17</v>
      </c>
      <c r="Z99" s="121" t="s">
        <v>17</v>
      </c>
      <c r="AQ99" s="830" t="s">
        <v>538</v>
      </c>
      <c r="AR99" s="103">
        <v>94</v>
      </c>
    </row>
    <row r="100" spans="4:44" x14ac:dyDescent="0.3">
      <c r="D100" s="623">
        <v>90</v>
      </c>
      <c r="E100" s="623">
        <v>500</v>
      </c>
      <c r="F100" s="623">
        <v>560</v>
      </c>
      <c r="G100" s="626" t="s">
        <v>17</v>
      </c>
      <c r="H100" s="626" t="s">
        <v>17</v>
      </c>
      <c r="I100" s="626" t="s">
        <v>17</v>
      </c>
      <c r="J100" s="627" t="s">
        <v>17</v>
      </c>
      <c r="K100" s="627" t="s">
        <v>17</v>
      </c>
      <c r="L100" s="627">
        <v>722.6</v>
      </c>
      <c r="M100" s="627" t="s">
        <v>17</v>
      </c>
      <c r="N100" s="627" t="s">
        <v>17</v>
      </c>
      <c r="O100" s="627"/>
      <c r="P100" s="627">
        <v>712.8</v>
      </c>
      <c r="Q100" s="627">
        <v>713.8</v>
      </c>
      <c r="R100" s="627" t="s">
        <v>17</v>
      </c>
      <c r="S100" s="627"/>
      <c r="T100" s="627" t="s">
        <v>17</v>
      </c>
      <c r="U100" s="627" t="s">
        <v>17</v>
      </c>
      <c r="V100" s="627" t="s">
        <v>17</v>
      </c>
      <c r="W100" s="627" t="s">
        <v>17</v>
      </c>
      <c r="X100" s="627">
        <v>720</v>
      </c>
      <c r="Y100" s="627" t="s">
        <v>17</v>
      </c>
      <c r="Z100" s="627" t="s">
        <v>17</v>
      </c>
      <c r="AQ100" s="830" t="s">
        <v>539</v>
      </c>
      <c r="AR100" s="103">
        <v>95</v>
      </c>
    </row>
    <row r="101" spans="4:44" x14ac:dyDescent="0.3">
      <c r="D101" s="136">
        <v>91</v>
      </c>
      <c r="E101" s="136">
        <v>500</v>
      </c>
      <c r="F101" s="136">
        <v>560</v>
      </c>
      <c r="G101" s="121" t="s">
        <v>17</v>
      </c>
      <c r="H101" s="121" t="s">
        <v>17</v>
      </c>
      <c r="I101" s="121" t="s">
        <v>17</v>
      </c>
      <c r="J101" s="121" t="s">
        <v>17</v>
      </c>
      <c r="K101" s="121" t="s">
        <v>17</v>
      </c>
      <c r="L101" s="121">
        <v>726.7</v>
      </c>
      <c r="M101" s="121" t="s">
        <v>17</v>
      </c>
      <c r="N101" s="121" t="s">
        <v>17</v>
      </c>
      <c r="O101" s="121"/>
      <c r="P101" s="121">
        <v>729.3</v>
      </c>
      <c r="Q101" s="121">
        <v>727.5</v>
      </c>
      <c r="R101" s="121" t="s">
        <v>17</v>
      </c>
      <c r="S101" s="121"/>
      <c r="T101" s="121" t="s">
        <v>17</v>
      </c>
      <c r="U101" s="121" t="s">
        <v>17</v>
      </c>
      <c r="V101" s="121" t="s">
        <v>17</v>
      </c>
      <c r="W101" s="121" t="s">
        <v>17</v>
      </c>
      <c r="X101" s="121"/>
      <c r="Y101" s="121" t="s">
        <v>17</v>
      </c>
      <c r="Z101" s="121" t="s">
        <v>17</v>
      </c>
      <c r="AQ101" s="830" t="s">
        <v>540</v>
      </c>
      <c r="AR101" s="103">
        <v>96</v>
      </c>
    </row>
    <row r="102" spans="4:44" x14ac:dyDescent="0.3">
      <c r="D102" s="136">
        <v>92</v>
      </c>
      <c r="E102" s="136">
        <v>500</v>
      </c>
      <c r="F102" s="136">
        <v>560</v>
      </c>
      <c r="G102" s="121" t="s">
        <v>17</v>
      </c>
      <c r="H102" s="121" t="s">
        <v>17</v>
      </c>
      <c r="I102" s="121" t="s">
        <v>17</v>
      </c>
      <c r="J102" s="121" t="s">
        <v>17</v>
      </c>
      <c r="K102" s="121" t="s">
        <v>17</v>
      </c>
      <c r="L102" s="121">
        <v>730.9</v>
      </c>
      <c r="M102" s="121" t="s">
        <v>17</v>
      </c>
      <c r="N102" s="121" t="s">
        <v>17</v>
      </c>
      <c r="O102" s="121"/>
      <c r="P102" s="121">
        <v>724.8</v>
      </c>
      <c r="Q102" s="121" t="s">
        <v>17</v>
      </c>
      <c r="R102" s="121" t="s">
        <v>17</v>
      </c>
      <c r="S102" s="121"/>
      <c r="T102" s="121" t="s">
        <v>17</v>
      </c>
      <c r="U102" s="121" t="s">
        <v>17</v>
      </c>
      <c r="V102" s="121" t="s">
        <v>17</v>
      </c>
      <c r="W102" s="121" t="s">
        <v>17</v>
      </c>
      <c r="X102" s="121"/>
      <c r="Y102" s="121" t="s">
        <v>17</v>
      </c>
      <c r="Z102" s="121" t="s">
        <v>17</v>
      </c>
      <c r="AQ102" s="830" t="s">
        <v>541</v>
      </c>
      <c r="AR102" s="103">
        <v>97</v>
      </c>
    </row>
    <row r="103" spans="4:44" x14ac:dyDescent="0.3">
      <c r="D103" s="136">
        <v>93</v>
      </c>
      <c r="E103" s="136">
        <v>500</v>
      </c>
      <c r="F103" s="136">
        <v>560</v>
      </c>
      <c r="G103" s="121" t="s">
        <v>17</v>
      </c>
      <c r="H103" s="121" t="s">
        <v>17</v>
      </c>
      <c r="I103" s="121" t="s">
        <v>17</v>
      </c>
      <c r="J103" s="121" t="s">
        <v>17</v>
      </c>
      <c r="K103" s="121" t="s">
        <v>17</v>
      </c>
      <c r="L103" s="121" t="s">
        <v>17</v>
      </c>
      <c r="M103" s="121" t="s">
        <v>17</v>
      </c>
      <c r="N103" s="121" t="s">
        <v>17</v>
      </c>
      <c r="O103" s="121"/>
      <c r="P103" s="121"/>
      <c r="Q103" s="121" t="s">
        <v>17</v>
      </c>
      <c r="R103" s="121" t="s">
        <v>17</v>
      </c>
      <c r="S103" s="121"/>
      <c r="T103" s="121" t="s">
        <v>17</v>
      </c>
      <c r="U103" s="121" t="s">
        <v>17</v>
      </c>
      <c r="V103" s="121" t="s">
        <v>17</v>
      </c>
      <c r="W103" s="121" t="s">
        <v>17</v>
      </c>
      <c r="X103" s="121"/>
      <c r="Y103" s="121" t="s">
        <v>17</v>
      </c>
      <c r="Z103" s="121" t="s">
        <v>17</v>
      </c>
      <c r="AQ103" s="830" t="s">
        <v>542</v>
      </c>
      <c r="AR103" s="103">
        <v>98</v>
      </c>
    </row>
    <row r="104" spans="4:44" x14ac:dyDescent="0.3">
      <c r="D104" s="136">
        <v>94</v>
      </c>
      <c r="E104" s="136">
        <v>500</v>
      </c>
      <c r="F104" s="136">
        <v>560</v>
      </c>
      <c r="G104" s="121" t="s">
        <v>17</v>
      </c>
      <c r="H104" s="121" t="s">
        <v>17</v>
      </c>
      <c r="I104" s="121" t="s">
        <v>17</v>
      </c>
      <c r="J104" s="121" t="s">
        <v>17</v>
      </c>
      <c r="K104" s="121" t="s">
        <v>17</v>
      </c>
      <c r="L104" s="121" t="s">
        <v>17</v>
      </c>
      <c r="M104" s="121" t="s">
        <v>17</v>
      </c>
      <c r="N104" s="121" t="s">
        <v>17</v>
      </c>
      <c r="O104" s="121"/>
      <c r="P104" s="121"/>
      <c r="Q104" s="121" t="s">
        <v>17</v>
      </c>
      <c r="R104" s="121" t="s">
        <v>17</v>
      </c>
      <c r="S104" s="121"/>
      <c r="T104" s="121" t="s">
        <v>17</v>
      </c>
      <c r="U104" s="121" t="s">
        <v>17</v>
      </c>
      <c r="V104" s="121" t="s">
        <v>17</v>
      </c>
      <c r="W104" s="121" t="s">
        <v>17</v>
      </c>
      <c r="X104" s="121"/>
      <c r="Y104" s="121" t="s">
        <v>17</v>
      </c>
      <c r="Z104" s="121" t="s">
        <v>17</v>
      </c>
      <c r="AQ104" s="831" t="s">
        <v>543</v>
      </c>
      <c r="AR104" s="103">
        <v>99</v>
      </c>
    </row>
    <row r="105" spans="4:44" x14ac:dyDescent="0.3">
      <c r="D105" s="623">
        <v>95</v>
      </c>
      <c r="E105" s="623">
        <v>500</v>
      </c>
      <c r="F105" s="623">
        <v>560</v>
      </c>
      <c r="G105" s="627" t="s">
        <v>17</v>
      </c>
      <c r="H105" s="627" t="s">
        <v>17</v>
      </c>
      <c r="I105" s="627" t="s">
        <v>17</v>
      </c>
      <c r="J105" s="627" t="s">
        <v>17</v>
      </c>
      <c r="K105" s="627" t="s">
        <v>17</v>
      </c>
      <c r="L105" s="627" t="s">
        <v>17</v>
      </c>
      <c r="M105" s="627" t="s">
        <v>17</v>
      </c>
      <c r="N105" s="627" t="s">
        <v>17</v>
      </c>
      <c r="O105" s="627"/>
      <c r="P105" s="627"/>
      <c r="Q105" s="627" t="s">
        <v>17</v>
      </c>
      <c r="R105" s="627" t="s">
        <v>17</v>
      </c>
      <c r="S105" s="627"/>
      <c r="T105" s="627" t="s">
        <v>17</v>
      </c>
      <c r="U105" s="627" t="s">
        <v>17</v>
      </c>
      <c r="V105" s="627" t="s">
        <v>17</v>
      </c>
      <c r="W105" s="627" t="s">
        <v>17</v>
      </c>
      <c r="X105" s="627"/>
      <c r="Y105" s="627" t="s">
        <v>17</v>
      </c>
      <c r="Z105" s="627" t="s">
        <v>17</v>
      </c>
    </row>
    <row r="106" spans="4:44" x14ac:dyDescent="0.3">
      <c r="D106" s="136">
        <v>96</v>
      </c>
      <c r="E106" s="136">
        <v>500</v>
      </c>
      <c r="F106" s="136">
        <v>560</v>
      </c>
      <c r="G106" s="121" t="s">
        <v>17</v>
      </c>
      <c r="H106" s="121" t="s">
        <v>17</v>
      </c>
      <c r="I106" s="121" t="s">
        <v>17</v>
      </c>
      <c r="J106" s="121" t="s">
        <v>17</v>
      </c>
      <c r="K106" s="121" t="s">
        <v>17</v>
      </c>
      <c r="L106" s="121" t="s">
        <v>17</v>
      </c>
      <c r="M106" s="121" t="s">
        <v>17</v>
      </c>
      <c r="N106" s="121" t="s">
        <v>17</v>
      </c>
      <c r="O106" s="121"/>
      <c r="P106" s="121"/>
      <c r="Q106" s="121" t="s">
        <v>17</v>
      </c>
      <c r="R106" s="121" t="s">
        <v>17</v>
      </c>
      <c r="S106" s="121"/>
      <c r="T106" s="121" t="s">
        <v>17</v>
      </c>
      <c r="U106" s="121" t="s">
        <v>17</v>
      </c>
      <c r="V106" s="121" t="s">
        <v>17</v>
      </c>
      <c r="W106" s="121" t="s">
        <v>17</v>
      </c>
      <c r="X106" s="121"/>
      <c r="Y106" s="121" t="s">
        <v>17</v>
      </c>
      <c r="Z106" s="121" t="s">
        <v>17</v>
      </c>
    </row>
    <row r="107" spans="4:44" x14ac:dyDescent="0.3">
      <c r="D107" s="136">
        <v>97</v>
      </c>
      <c r="E107" s="136">
        <v>500</v>
      </c>
      <c r="F107" s="136">
        <v>560</v>
      </c>
      <c r="G107" s="121" t="s">
        <v>17</v>
      </c>
      <c r="H107" s="121" t="s">
        <v>17</v>
      </c>
      <c r="I107" s="121" t="s">
        <v>17</v>
      </c>
      <c r="J107" s="121" t="s">
        <v>17</v>
      </c>
      <c r="K107" s="121" t="s">
        <v>17</v>
      </c>
      <c r="L107" s="121" t="s">
        <v>17</v>
      </c>
      <c r="M107" s="121" t="s">
        <v>17</v>
      </c>
      <c r="N107" s="121" t="s">
        <v>17</v>
      </c>
      <c r="O107" s="121"/>
      <c r="P107" s="121"/>
      <c r="Q107" s="121" t="s">
        <v>17</v>
      </c>
      <c r="R107" s="121" t="s">
        <v>17</v>
      </c>
      <c r="S107" s="121"/>
      <c r="T107" s="121" t="s">
        <v>17</v>
      </c>
      <c r="U107" s="121" t="s">
        <v>17</v>
      </c>
      <c r="V107" s="121" t="s">
        <v>17</v>
      </c>
      <c r="W107" s="121" t="s">
        <v>17</v>
      </c>
      <c r="X107" s="121"/>
      <c r="Y107" s="121" t="s">
        <v>17</v>
      </c>
      <c r="Z107" s="121" t="s">
        <v>17</v>
      </c>
    </row>
    <row r="108" spans="4:44" x14ac:dyDescent="0.3">
      <c r="D108" s="136">
        <v>98</v>
      </c>
      <c r="E108" s="136">
        <v>500</v>
      </c>
      <c r="F108" s="136">
        <v>560</v>
      </c>
      <c r="G108" s="121" t="s">
        <v>17</v>
      </c>
      <c r="H108" s="121" t="s">
        <v>17</v>
      </c>
      <c r="I108" s="121" t="s">
        <v>17</v>
      </c>
      <c r="J108" s="121" t="s">
        <v>17</v>
      </c>
      <c r="K108" s="121" t="s">
        <v>17</v>
      </c>
      <c r="L108" s="121" t="s">
        <v>17</v>
      </c>
      <c r="M108" s="121" t="s">
        <v>17</v>
      </c>
      <c r="N108" s="121" t="s">
        <v>17</v>
      </c>
      <c r="O108" s="121"/>
      <c r="P108" s="121"/>
      <c r="Q108" s="121" t="s">
        <v>17</v>
      </c>
      <c r="R108" s="121" t="s">
        <v>17</v>
      </c>
      <c r="S108" s="121"/>
      <c r="T108" s="121" t="s">
        <v>17</v>
      </c>
      <c r="U108" s="121" t="s">
        <v>17</v>
      </c>
      <c r="V108" s="121" t="s">
        <v>17</v>
      </c>
      <c r="W108" s="121" t="s">
        <v>17</v>
      </c>
      <c r="X108" s="121"/>
      <c r="Y108" s="121" t="s">
        <v>17</v>
      </c>
      <c r="Z108" s="121" t="s">
        <v>17</v>
      </c>
    </row>
    <row r="109" spans="4:44" x14ac:dyDescent="0.3">
      <c r="D109" s="136">
        <v>99</v>
      </c>
      <c r="E109" s="136">
        <v>500</v>
      </c>
      <c r="F109" s="136">
        <v>560</v>
      </c>
      <c r="G109" s="121" t="s">
        <v>17</v>
      </c>
      <c r="H109" s="121" t="s">
        <v>17</v>
      </c>
      <c r="I109" s="121" t="s">
        <v>17</v>
      </c>
      <c r="J109" s="121" t="s">
        <v>17</v>
      </c>
      <c r="K109" s="121" t="s">
        <v>17</v>
      </c>
      <c r="L109" s="121" t="s">
        <v>17</v>
      </c>
      <c r="M109" s="121" t="s">
        <v>17</v>
      </c>
      <c r="N109" s="121" t="s">
        <v>17</v>
      </c>
      <c r="O109" s="121"/>
      <c r="P109" s="121"/>
      <c r="Q109" s="121" t="s">
        <v>17</v>
      </c>
      <c r="R109" s="121" t="s">
        <v>17</v>
      </c>
      <c r="S109" s="121"/>
      <c r="T109" s="121" t="s">
        <v>17</v>
      </c>
      <c r="U109" s="121" t="s">
        <v>17</v>
      </c>
      <c r="V109" s="121" t="s">
        <v>17</v>
      </c>
      <c r="W109" s="121" t="s">
        <v>17</v>
      </c>
      <c r="X109" s="121"/>
      <c r="Y109" s="121" t="s">
        <v>17</v>
      </c>
      <c r="Z109" s="121" t="s">
        <v>17</v>
      </c>
    </row>
    <row r="110" spans="4:44" x14ac:dyDescent="0.3">
      <c r="D110" s="623">
        <v>100</v>
      </c>
      <c r="E110" s="623">
        <v>500</v>
      </c>
      <c r="F110" s="623">
        <v>560</v>
      </c>
      <c r="G110" s="627" t="s">
        <v>17</v>
      </c>
      <c r="H110" s="627" t="s">
        <v>17</v>
      </c>
      <c r="I110" s="627" t="s">
        <v>17</v>
      </c>
      <c r="J110" s="627" t="s">
        <v>17</v>
      </c>
      <c r="K110" s="627" t="s">
        <v>17</v>
      </c>
      <c r="L110" s="627" t="s">
        <v>17</v>
      </c>
      <c r="M110" s="627" t="s">
        <v>17</v>
      </c>
      <c r="N110" s="627" t="s">
        <v>17</v>
      </c>
      <c r="O110" s="627"/>
      <c r="P110" s="627"/>
      <c r="Q110" s="627" t="s">
        <v>17</v>
      </c>
      <c r="R110" s="627" t="s">
        <v>17</v>
      </c>
      <c r="S110" s="627"/>
      <c r="T110" s="627" t="s">
        <v>17</v>
      </c>
      <c r="U110" s="627" t="s">
        <v>17</v>
      </c>
      <c r="V110" s="627" t="s">
        <v>17</v>
      </c>
      <c r="W110" s="627" t="s">
        <v>17</v>
      </c>
      <c r="X110" s="627"/>
      <c r="Y110" s="627" t="s">
        <v>17</v>
      </c>
      <c r="Z110" s="627" t="s">
        <v>17</v>
      </c>
    </row>
    <row r="111" spans="4:44" x14ac:dyDescent="0.3">
      <c r="J111" s="206"/>
      <c r="N111" s="206"/>
      <c r="T111" s="206"/>
    </row>
    <row r="112" spans="4:44" x14ac:dyDescent="0.3">
      <c r="J112" s="221"/>
      <c r="N112" s="221"/>
      <c r="T112" s="221"/>
    </row>
    <row r="113" spans="4:31" x14ac:dyDescent="0.3">
      <c r="J113" s="212">
        <v>1</v>
      </c>
      <c r="K113" s="213">
        <v>2</v>
      </c>
      <c r="L113" s="213">
        <v>3</v>
      </c>
      <c r="M113" s="213">
        <v>4</v>
      </c>
      <c r="N113" s="212">
        <v>5</v>
      </c>
      <c r="O113" s="213">
        <v>6</v>
      </c>
      <c r="P113" s="215">
        <v>7</v>
      </c>
      <c r="Q113" s="215">
        <v>8</v>
      </c>
      <c r="R113" s="215">
        <v>9</v>
      </c>
      <c r="S113" s="215">
        <v>10</v>
      </c>
      <c r="T113" s="218">
        <v>11</v>
      </c>
      <c r="U113" s="215">
        <v>12</v>
      </c>
      <c r="V113" s="215">
        <v>13</v>
      </c>
      <c r="W113" s="215">
        <v>14</v>
      </c>
      <c r="X113" s="215">
        <v>15</v>
      </c>
      <c r="Y113" s="215">
        <v>16</v>
      </c>
      <c r="Z113" s="1609"/>
      <c r="AA113" s="1609"/>
      <c r="AB113" s="1609"/>
      <c r="AC113" s="1609"/>
      <c r="AD113" s="1609"/>
      <c r="AE113" s="1609"/>
    </row>
    <row r="114" spans="4:31" ht="18" thickBot="1" x14ac:dyDescent="0.35">
      <c r="D114" s="143" t="s">
        <v>0</v>
      </c>
      <c r="J114" s="222"/>
      <c r="N114" s="222"/>
      <c r="T114" s="222"/>
    </row>
    <row r="115" spans="4:31" x14ac:dyDescent="0.3">
      <c r="D115" s="134" t="s">
        <v>92</v>
      </c>
      <c r="E115" s="135"/>
      <c r="F115" s="135"/>
      <c r="G115" s="135"/>
      <c r="H115" s="135"/>
      <c r="I115" s="135"/>
      <c r="J115" s="622">
        <v>45856</v>
      </c>
      <c r="K115" s="622">
        <v>45857</v>
      </c>
      <c r="L115" s="622">
        <v>45858</v>
      </c>
      <c r="M115" s="622">
        <v>45859</v>
      </c>
      <c r="N115" s="622">
        <v>45860</v>
      </c>
      <c r="O115" s="622">
        <v>45861</v>
      </c>
      <c r="P115" s="622">
        <v>45862</v>
      </c>
      <c r="Q115" s="622">
        <v>45863</v>
      </c>
      <c r="R115" s="622">
        <v>45864</v>
      </c>
      <c r="S115" s="622">
        <v>45865</v>
      </c>
      <c r="T115" s="622">
        <v>45866</v>
      </c>
      <c r="U115" s="622">
        <v>45867</v>
      </c>
      <c r="V115" s="622">
        <v>45868</v>
      </c>
      <c r="W115" s="622">
        <v>45869</v>
      </c>
      <c r="X115" s="622">
        <v>45870</v>
      </c>
      <c r="Y115" s="622">
        <v>45871</v>
      </c>
      <c r="Z115" s="622">
        <v>45872</v>
      </c>
      <c r="AA115" s="12"/>
      <c r="AB115" s="12"/>
      <c r="AC115" s="12"/>
      <c r="AD115" s="12"/>
      <c r="AE115" s="12"/>
    </row>
    <row r="116" spans="4:31" x14ac:dyDescent="0.3">
      <c r="D116" s="136">
        <v>0</v>
      </c>
      <c r="E116" s="630"/>
      <c r="F116" s="630"/>
      <c r="G116" s="631"/>
      <c r="H116" s="631"/>
      <c r="I116" s="631"/>
      <c r="J116" s="138">
        <v>56.4</v>
      </c>
      <c r="K116" s="138">
        <v>24.9</v>
      </c>
      <c r="L116" s="138">
        <v>6.2</v>
      </c>
      <c r="M116" s="138">
        <v>34.299999999999997</v>
      </c>
      <c r="N116" s="138">
        <v>55.5</v>
      </c>
      <c r="O116" s="138">
        <v>60.5</v>
      </c>
      <c r="P116" s="138">
        <v>56</v>
      </c>
      <c r="Q116" s="138">
        <v>56.3</v>
      </c>
      <c r="R116" s="138">
        <v>56.4</v>
      </c>
      <c r="S116" s="138">
        <v>56.9</v>
      </c>
      <c r="T116" s="138">
        <v>35.200000000000003</v>
      </c>
      <c r="U116" s="138">
        <v>55</v>
      </c>
      <c r="V116" s="138">
        <v>54.4</v>
      </c>
      <c r="W116" s="138">
        <v>56.2</v>
      </c>
      <c r="X116" s="138">
        <v>56</v>
      </c>
      <c r="Y116" s="138">
        <v>35</v>
      </c>
      <c r="Z116" s="138">
        <v>74.099999999999994</v>
      </c>
      <c r="AA116" s="12"/>
      <c r="AB116" s="12"/>
      <c r="AC116" s="12"/>
      <c r="AD116" s="12"/>
      <c r="AE116" s="12"/>
    </row>
    <row r="117" spans="4:31" x14ac:dyDescent="0.3">
      <c r="D117" s="136">
        <v>1</v>
      </c>
      <c r="E117" s="630"/>
      <c r="F117" s="630"/>
      <c r="G117" s="631"/>
      <c r="H117" s="631"/>
      <c r="I117" s="631"/>
      <c r="J117" s="138">
        <v>68.400000000000006</v>
      </c>
      <c r="K117" s="138">
        <v>35.5</v>
      </c>
      <c r="L117" s="138">
        <v>24.8</v>
      </c>
      <c r="M117" s="138">
        <v>36</v>
      </c>
      <c r="N117" s="138">
        <v>60.9</v>
      </c>
      <c r="O117" s="138">
        <v>68.2</v>
      </c>
      <c r="P117" s="138">
        <v>67.599999999999994</v>
      </c>
      <c r="Q117" s="138">
        <v>67.7</v>
      </c>
      <c r="R117" s="138">
        <v>67.7</v>
      </c>
      <c r="S117" s="138">
        <v>68</v>
      </c>
      <c r="T117" s="138">
        <v>55.4</v>
      </c>
      <c r="U117" s="138">
        <v>66.8</v>
      </c>
      <c r="V117" s="138">
        <v>61.4</v>
      </c>
      <c r="W117" s="138">
        <v>67.599999999999994</v>
      </c>
      <c r="X117" s="138">
        <v>67.400000000000006</v>
      </c>
      <c r="Y117" s="138">
        <v>52.7</v>
      </c>
      <c r="Z117" s="138">
        <v>89.4</v>
      </c>
      <c r="AA117" s="180"/>
      <c r="AB117" s="180"/>
      <c r="AC117" s="180"/>
      <c r="AD117" s="180"/>
      <c r="AE117" s="180"/>
    </row>
    <row r="118" spans="4:31" x14ac:dyDescent="0.3">
      <c r="D118" s="136">
        <v>2</v>
      </c>
      <c r="E118" s="630"/>
      <c r="F118" s="630"/>
      <c r="G118" s="631"/>
      <c r="H118" s="631"/>
      <c r="I118" s="631"/>
      <c r="J118" s="138">
        <v>89.8</v>
      </c>
      <c r="K118" s="138">
        <v>56.2</v>
      </c>
      <c r="L118" s="138">
        <v>35.799999999999997</v>
      </c>
      <c r="M118" s="138">
        <v>57.3</v>
      </c>
      <c r="N118" s="138">
        <v>68.5</v>
      </c>
      <c r="O118" s="138">
        <v>87.1</v>
      </c>
      <c r="P118" s="138">
        <v>76.400000000000006</v>
      </c>
      <c r="Q118" s="138">
        <v>75.3</v>
      </c>
      <c r="R118" s="138">
        <v>82.8</v>
      </c>
      <c r="S118" s="138">
        <v>82.7</v>
      </c>
      <c r="T118" s="138">
        <v>67</v>
      </c>
      <c r="U118" s="138">
        <v>74.7</v>
      </c>
      <c r="V118" s="138">
        <v>74.3</v>
      </c>
      <c r="W118" s="138">
        <v>81.099999999999994</v>
      </c>
      <c r="X118" s="138">
        <v>74.3</v>
      </c>
      <c r="Y118" s="138">
        <v>60.7</v>
      </c>
      <c r="Z118" s="138">
        <v>98.2</v>
      </c>
      <c r="AA118" s="180"/>
      <c r="AB118" s="180"/>
      <c r="AC118" s="180"/>
      <c r="AD118" s="180"/>
      <c r="AE118" s="180"/>
    </row>
    <row r="119" spans="4:31" x14ac:dyDescent="0.3">
      <c r="D119" s="136">
        <v>3</v>
      </c>
      <c r="E119" s="630"/>
      <c r="F119" s="630"/>
      <c r="G119" s="631"/>
      <c r="H119" s="631"/>
      <c r="I119" s="631"/>
      <c r="J119" s="138">
        <v>97.9</v>
      </c>
      <c r="K119" s="138">
        <v>67.599999999999994</v>
      </c>
      <c r="L119" s="138">
        <v>55.7</v>
      </c>
      <c r="M119" s="138">
        <v>68.2</v>
      </c>
      <c r="N119" s="138">
        <v>82.8</v>
      </c>
      <c r="O119" s="138">
        <v>92.4</v>
      </c>
      <c r="P119" s="138">
        <v>87.6</v>
      </c>
      <c r="Q119" s="138">
        <v>87.4</v>
      </c>
      <c r="R119" s="138">
        <v>89.3</v>
      </c>
      <c r="S119" s="138">
        <v>87.9</v>
      </c>
      <c r="T119" s="138">
        <v>68.400000000000006</v>
      </c>
      <c r="U119" s="138">
        <v>87.7</v>
      </c>
      <c r="V119" s="138">
        <v>87.8</v>
      </c>
      <c r="W119" s="138">
        <v>87.7</v>
      </c>
      <c r="X119" s="138">
        <v>87.4</v>
      </c>
      <c r="Y119" s="138">
        <v>68.3</v>
      </c>
      <c r="Z119" s="138">
        <v>105.6</v>
      </c>
      <c r="AA119" s="180"/>
      <c r="AB119" s="180"/>
      <c r="AC119" s="180"/>
      <c r="AD119" s="180"/>
      <c r="AE119" s="180"/>
    </row>
    <row r="120" spans="4:31" x14ac:dyDescent="0.3">
      <c r="D120" s="136">
        <v>4</v>
      </c>
      <c r="E120" s="630"/>
      <c r="F120" s="630"/>
      <c r="G120" s="631"/>
      <c r="H120" s="631"/>
      <c r="I120" s="631"/>
      <c r="J120" s="138">
        <v>98.3</v>
      </c>
      <c r="K120" s="138">
        <v>68.7</v>
      </c>
      <c r="L120" s="138">
        <v>60.8</v>
      </c>
      <c r="M120" s="138">
        <v>69.099999999999994</v>
      </c>
      <c r="N120" s="138">
        <v>87.7</v>
      </c>
      <c r="O120" s="138">
        <v>98</v>
      </c>
      <c r="P120" s="138">
        <v>91.8</v>
      </c>
      <c r="Q120" s="138">
        <v>90.7</v>
      </c>
      <c r="R120" s="138">
        <v>97.1</v>
      </c>
      <c r="S120" s="138">
        <v>92</v>
      </c>
      <c r="T120" s="138">
        <v>74.5</v>
      </c>
      <c r="U120" s="138">
        <v>92.3</v>
      </c>
      <c r="V120" s="138">
        <v>92.7</v>
      </c>
      <c r="W120" s="138">
        <v>91.6</v>
      </c>
      <c r="X120" s="138">
        <v>90.4</v>
      </c>
      <c r="Y120" s="138">
        <v>69.900000000000006</v>
      </c>
      <c r="Z120" s="138">
        <v>116.6</v>
      </c>
      <c r="AA120" s="180"/>
      <c r="AB120" s="180"/>
      <c r="AC120" s="180"/>
      <c r="AD120" s="180"/>
      <c r="AE120" s="180"/>
    </row>
    <row r="121" spans="4:31" x14ac:dyDescent="0.3">
      <c r="D121" s="623">
        <v>5</v>
      </c>
      <c r="E121" s="630"/>
      <c r="F121" s="630"/>
      <c r="G121" s="631"/>
      <c r="H121" s="631"/>
      <c r="I121" s="631"/>
      <c r="J121" s="625">
        <v>98.6</v>
      </c>
      <c r="K121" s="625">
        <v>74.8</v>
      </c>
      <c r="L121" s="625">
        <v>68.099999999999994</v>
      </c>
      <c r="M121" s="625">
        <v>83.2</v>
      </c>
      <c r="N121" s="625">
        <v>90.5</v>
      </c>
      <c r="O121" s="625">
        <v>101.4</v>
      </c>
      <c r="P121" s="625">
        <v>98</v>
      </c>
      <c r="Q121" s="625">
        <v>97.8</v>
      </c>
      <c r="R121" s="625">
        <v>98</v>
      </c>
      <c r="S121" s="625">
        <v>98</v>
      </c>
      <c r="T121" s="625">
        <v>86.6</v>
      </c>
      <c r="U121" s="625">
        <v>97.9</v>
      </c>
      <c r="V121" s="625">
        <v>98.2</v>
      </c>
      <c r="W121" s="625">
        <v>98</v>
      </c>
      <c r="X121" s="625">
        <v>97.8</v>
      </c>
      <c r="Y121" s="625">
        <v>83</v>
      </c>
      <c r="Z121" s="625">
        <v>118</v>
      </c>
      <c r="AA121" s="180"/>
      <c r="AB121" s="180"/>
      <c r="AC121" s="180"/>
      <c r="AD121" s="180"/>
      <c r="AE121" s="180"/>
    </row>
    <row r="122" spans="4:31" x14ac:dyDescent="0.3">
      <c r="D122" s="136">
        <v>6</v>
      </c>
      <c r="E122" s="630"/>
      <c r="F122" s="630"/>
      <c r="G122" s="631"/>
      <c r="H122" s="631"/>
      <c r="I122" s="631"/>
      <c r="J122" s="138">
        <v>98.9</v>
      </c>
      <c r="K122" s="138">
        <v>86.7</v>
      </c>
      <c r="L122" s="138">
        <v>68.8</v>
      </c>
      <c r="M122" s="138">
        <v>88</v>
      </c>
      <c r="N122" s="138">
        <v>97.9</v>
      </c>
      <c r="O122" s="138">
        <v>105.9</v>
      </c>
      <c r="P122" s="138">
        <v>98.5</v>
      </c>
      <c r="Q122" s="138">
        <v>98.3</v>
      </c>
      <c r="R122" s="138">
        <v>100.5</v>
      </c>
      <c r="S122" s="138">
        <v>98.5</v>
      </c>
      <c r="T122" s="138">
        <v>88.3</v>
      </c>
      <c r="U122" s="138">
        <v>98.4</v>
      </c>
      <c r="V122" s="138">
        <v>101.3</v>
      </c>
      <c r="W122" s="138">
        <v>98.5</v>
      </c>
      <c r="X122" s="138">
        <v>98.4</v>
      </c>
      <c r="Y122" s="138">
        <v>87.6</v>
      </c>
      <c r="Z122" s="138">
        <v>122.3</v>
      </c>
      <c r="AA122" s="180"/>
      <c r="AB122" s="180"/>
      <c r="AC122" s="180"/>
      <c r="AD122" s="180"/>
      <c r="AE122" s="180"/>
    </row>
    <row r="123" spans="4:31" x14ac:dyDescent="0.3">
      <c r="D123" s="136">
        <v>7</v>
      </c>
      <c r="E123" s="630"/>
      <c r="F123" s="630"/>
      <c r="G123" s="631"/>
      <c r="H123" s="631"/>
      <c r="I123" s="631"/>
      <c r="J123" s="138">
        <v>99.1</v>
      </c>
      <c r="K123" s="138">
        <v>89.4</v>
      </c>
      <c r="L123" s="138">
        <v>74.599999999999994</v>
      </c>
      <c r="M123" s="138">
        <v>90.7</v>
      </c>
      <c r="N123" s="138">
        <v>98.5</v>
      </c>
      <c r="O123" s="138">
        <v>114.4</v>
      </c>
      <c r="P123" s="138">
        <v>101.9</v>
      </c>
      <c r="Q123" s="138">
        <v>101.6</v>
      </c>
      <c r="R123" s="138">
        <v>102.5</v>
      </c>
      <c r="S123" s="138">
        <v>101.8</v>
      </c>
      <c r="T123" s="138">
        <v>90.5</v>
      </c>
      <c r="U123" s="138">
        <v>102</v>
      </c>
      <c r="V123" s="138">
        <v>105.5</v>
      </c>
      <c r="W123" s="138">
        <v>101.8</v>
      </c>
      <c r="X123" s="138">
        <v>99.1</v>
      </c>
      <c r="Y123" s="138">
        <v>90.3</v>
      </c>
      <c r="Z123" s="138">
        <v>126.4</v>
      </c>
      <c r="AA123" s="181"/>
      <c r="AB123" s="181"/>
      <c r="AC123" s="181"/>
      <c r="AD123" s="181"/>
      <c r="AE123" s="181"/>
    </row>
    <row r="124" spans="4:31" x14ac:dyDescent="0.3">
      <c r="D124" s="136">
        <v>8</v>
      </c>
      <c r="E124" s="630"/>
      <c r="F124" s="630"/>
      <c r="G124" s="631"/>
      <c r="H124" s="631"/>
      <c r="I124" s="631"/>
      <c r="J124" s="138">
        <v>99.3</v>
      </c>
      <c r="K124" s="138">
        <v>92.1</v>
      </c>
      <c r="L124" s="138">
        <v>83.5</v>
      </c>
      <c r="M124" s="138">
        <v>98.1</v>
      </c>
      <c r="N124" s="138">
        <v>101.7</v>
      </c>
      <c r="O124" s="138">
        <v>117</v>
      </c>
      <c r="P124" s="138">
        <v>107.6</v>
      </c>
      <c r="Q124" s="138">
        <v>105.5</v>
      </c>
      <c r="R124" s="138">
        <v>112.4</v>
      </c>
      <c r="S124" s="138">
        <v>106</v>
      </c>
      <c r="T124" s="138">
        <v>97.5</v>
      </c>
      <c r="U124" s="138">
        <v>112.2</v>
      </c>
      <c r="V124" s="138">
        <v>114.5</v>
      </c>
      <c r="W124" s="138">
        <v>106.9</v>
      </c>
      <c r="X124" s="138">
        <v>102.4</v>
      </c>
      <c r="Y124" s="138">
        <v>97.1</v>
      </c>
      <c r="Z124" s="138">
        <v>126.9</v>
      </c>
      <c r="AA124" s="18"/>
      <c r="AB124" s="18"/>
      <c r="AC124" s="18"/>
      <c r="AD124" s="18"/>
      <c r="AE124" s="18"/>
    </row>
    <row r="125" spans="4:31" x14ac:dyDescent="0.3">
      <c r="D125" s="136">
        <v>9</v>
      </c>
      <c r="E125" s="630"/>
      <c r="F125" s="630"/>
      <c r="G125" s="631"/>
      <c r="H125" s="631"/>
      <c r="I125" s="631"/>
      <c r="J125" s="138">
        <v>99.4</v>
      </c>
      <c r="K125" s="138">
        <v>98</v>
      </c>
      <c r="L125" s="138">
        <v>87.7</v>
      </c>
      <c r="M125" s="138">
        <v>98.7</v>
      </c>
      <c r="N125" s="138">
        <v>102.8</v>
      </c>
      <c r="O125" s="138">
        <v>118.4</v>
      </c>
      <c r="P125" s="138">
        <v>112.9</v>
      </c>
      <c r="Q125" s="138">
        <v>112.9</v>
      </c>
      <c r="R125" s="138">
        <v>116.5</v>
      </c>
      <c r="S125" s="138">
        <v>113.4</v>
      </c>
      <c r="T125" s="138">
        <v>98.1</v>
      </c>
      <c r="U125" s="138">
        <v>116.5</v>
      </c>
      <c r="V125" s="138">
        <v>117.2</v>
      </c>
      <c r="W125" s="138">
        <v>114.6</v>
      </c>
      <c r="X125" s="138">
        <v>112.3</v>
      </c>
      <c r="Y125" s="138">
        <v>98.2</v>
      </c>
      <c r="Z125" s="138">
        <v>132.5</v>
      </c>
    </row>
    <row r="126" spans="4:31" x14ac:dyDescent="0.3">
      <c r="D126" s="623">
        <v>10</v>
      </c>
      <c r="E126" s="630"/>
      <c r="F126" s="630"/>
      <c r="G126" s="631"/>
      <c r="H126" s="631"/>
      <c r="I126" s="631"/>
      <c r="J126" s="625">
        <v>99.6</v>
      </c>
      <c r="K126" s="625">
        <v>98.5</v>
      </c>
      <c r="L126" s="625">
        <v>90.3</v>
      </c>
      <c r="M126" s="625">
        <v>101.7</v>
      </c>
      <c r="N126" s="625">
        <v>112.7</v>
      </c>
      <c r="O126" s="625">
        <v>122</v>
      </c>
      <c r="P126" s="625">
        <v>116.8</v>
      </c>
      <c r="Q126" s="625">
        <v>116.9</v>
      </c>
      <c r="R126" s="625">
        <v>117.3</v>
      </c>
      <c r="S126" s="625">
        <v>117</v>
      </c>
      <c r="T126" s="625">
        <v>98.5</v>
      </c>
      <c r="U126" s="625">
        <v>117.3</v>
      </c>
      <c r="V126" s="625">
        <v>118.4</v>
      </c>
      <c r="W126" s="625">
        <v>117.1</v>
      </c>
      <c r="X126" s="625">
        <v>116.6</v>
      </c>
      <c r="Y126" s="625">
        <v>98.6</v>
      </c>
      <c r="Z126" s="625">
        <v>134</v>
      </c>
    </row>
    <row r="127" spans="4:31" x14ac:dyDescent="0.3">
      <c r="D127" s="136">
        <v>11</v>
      </c>
      <c r="E127" s="630"/>
      <c r="F127" s="630"/>
      <c r="G127" s="631"/>
      <c r="H127" s="631"/>
      <c r="I127" s="631"/>
      <c r="J127" s="138">
        <v>99.7</v>
      </c>
      <c r="K127" s="138">
        <v>99.1</v>
      </c>
      <c r="L127" s="138">
        <v>97.5</v>
      </c>
      <c r="M127" s="138">
        <v>102.8</v>
      </c>
      <c r="N127" s="138">
        <v>116.8</v>
      </c>
      <c r="O127" s="138">
        <v>126.2</v>
      </c>
      <c r="P127" s="138">
        <v>117.6</v>
      </c>
      <c r="Q127" s="138">
        <v>117.6</v>
      </c>
      <c r="R127" s="138">
        <v>118.7</v>
      </c>
      <c r="S127" s="138">
        <v>117.8</v>
      </c>
      <c r="T127" s="138">
        <v>101.5</v>
      </c>
      <c r="U127" s="138">
        <v>118.6</v>
      </c>
      <c r="V127" s="138">
        <v>121.9</v>
      </c>
      <c r="W127" s="138">
        <v>117.9</v>
      </c>
      <c r="X127" s="138">
        <v>117.4</v>
      </c>
      <c r="Y127" s="138">
        <v>101.7</v>
      </c>
      <c r="Z127" s="138">
        <v>138</v>
      </c>
    </row>
    <row r="128" spans="4:31" x14ac:dyDescent="0.3">
      <c r="D128" s="136">
        <v>12</v>
      </c>
      <c r="E128" s="630"/>
      <c r="F128" s="630"/>
      <c r="G128" s="631"/>
      <c r="H128" s="631"/>
      <c r="I128" s="631"/>
      <c r="J128" s="138">
        <v>99.9</v>
      </c>
      <c r="K128" s="138">
        <v>102.3</v>
      </c>
      <c r="L128" s="138">
        <v>98.3</v>
      </c>
      <c r="M128" s="138">
        <v>112.8</v>
      </c>
      <c r="N128" s="138">
        <v>117.7</v>
      </c>
      <c r="O128" s="138">
        <v>126.8</v>
      </c>
      <c r="P128" s="138">
        <v>119</v>
      </c>
      <c r="Q128" s="138">
        <v>119</v>
      </c>
      <c r="R128" s="138">
        <v>122.6</v>
      </c>
      <c r="S128" s="138">
        <v>119.1</v>
      </c>
      <c r="T128" s="138">
        <v>102.4</v>
      </c>
      <c r="U128" s="138">
        <v>122</v>
      </c>
      <c r="V128" s="138">
        <v>126.3</v>
      </c>
      <c r="W128" s="138">
        <v>119.2</v>
      </c>
      <c r="X128" s="138">
        <v>118.4</v>
      </c>
      <c r="Y128" s="138">
        <v>102.5</v>
      </c>
      <c r="Z128" s="138">
        <v>140.5</v>
      </c>
    </row>
    <row r="129" spans="4:26" x14ac:dyDescent="0.3">
      <c r="D129" s="136">
        <v>13</v>
      </c>
      <c r="E129" s="630"/>
      <c r="F129" s="630"/>
      <c r="G129" s="631"/>
      <c r="H129" s="631"/>
      <c r="I129" s="631"/>
      <c r="J129" s="138">
        <v>100</v>
      </c>
      <c r="K129" s="138">
        <v>112</v>
      </c>
      <c r="L129" s="138">
        <v>98.7</v>
      </c>
      <c r="M129" s="138">
        <v>116.9</v>
      </c>
      <c r="N129" s="138">
        <v>119.2</v>
      </c>
      <c r="O129" s="138">
        <v>127.2</v>
      </c>
      <c r="P129" s="138">
        <v>123</v>
      </c>
      <c r="Q129" s="138">
        <v>123.2</v>
      </c>
      <c r="R129" s="138">
        <v>126.3</v>
      </c>
      <c r="S129" s="138">
        <v>123</v>
      </c>
      <c r="T129" s="138">
        <v>112</v>
      </c>
      <c r="U129" s="138">
        <v>126.2</v>
      </c>
      <c r="V129" s="138">
        <v>126.9</v>
      </c>
      <c r="W129" s="138">
        <v>123.4</v>
      </c>
      <c r="X129" s="138">
        <v>119.6</v>
      </c>
      <c r="Y129" s="138">
        <v>111.9</v>
      </c>
      <c r="Z129" s="138">
        <v>143</v>
      </c>
    </row>
    <row r="130" spans="4:26" x14ac:dyDescent="0.3">
      <c r="D130" s="136">
        <v>14</v>
      </c>
      <c r="E130" s="630"/>
      <c r="F130" s="630"/>
      <c r="G130" s="631"/>
      <c r="H130" s="631"/>
      <c r="I130" s="631"/>
      <c r="J130" s="138">
        <v>100.1</v>
      </c>
      <c r="K130" s="138">
        <v>115.5</v>
      </c>
      <c r="L130" s="138">
        <v>101.8</v>
      </c>
      <c r="M130" s="138">
        <v>117.9</v>
      </c>
      <c r="N130" s="138">
        <v>125.2</v>
      </c>
      <c r="O130" s="138">
        <v>132.80000000000001</v>
      </c>
      <c r="P130" s="138">
        <v>126.5</v>
      </c>
      <c r="Q130" s="138">
        <v>126.5</v>
      </c>
      <c r="R130" s="138">
        <v>126.8</v>
      </c>
      <c r="S130" s="138">
        <v>126.6</v>
      </c>
      <c r="T130" s="138">
        <v>115.2</v>
      </c>
      <c r="U130" s="138">
        <v>126.7</v>
      </c>
      <c r="V130" s="138">
        <v>127.3</v>
      </c>
      <c r="W130" s="138">
        <v>126.6</v>
      </c>
      <c r="X130" s="138">
        <v>125.2</v>
      </c>
      <c r="Y130" s="138">
        <v>116.3</v>
      </c>
      <c r="Z130" s="138">
        <v>144.6</v>
      </c>
    </row>
    <row r="131" spans="4:26" x14ac:dyDescent="0.3">
      <c r="D131" s="623">
        <v>15</v>
      </c>
      <c r="E131" s="630"/>
      <c r="F131" s="630"/>
      <c r="G131" s="631"/>
      <c r="H131" s="631"/>
      <c r="I131" s="631"/>
      <c r="J131" s="625">
        <v>100.2</v>
      </c>
      <c r="K131" s="625">
        <v>117.3</v>
      </c>
      <c r="L131" s="625">
        <v>105.3</v>
      </c>
      <c r="M131" s="625">
        <v>119.7</v>
      </c>
      <c r="N131" s="625">
        <v>126.7</v>
      </c>
      <c r="O131" s="625">
        <v>134.30000000000001</v>
      </c>
      <c r="P131" s="625">
        <v>127</v>
      </c>
      <c r="Q131" s="625">
        <v>126.9</v>
      </c>
      <c r="R131" s="625">
        <v>127.1</v>
      </c>
      <c r="S131" s="625">
        <v>127.1</v>
      </c>
      <c r="T131" s="625">
        <v>117.1</v>
      </c>
      <c r="U131" s="625">
        <v>127.1</v>
      </c>
      <c r="V131" s="625">
        <v>133</v>
      </c>
      <c r="W131" s="625">
        <v>127.1</v>
      </c>
      <c r="X131" s="625">
        <v>126.7</v>
      </c>
      <c r="Y131" s="625">
        <v>117.3</v>
      </c>
      <c r="Z131" s="625">
        <v>146</v>
      </c>
    </row>
    <row r="132" spans="4:26" x14ac:dyDescent="0.3">
      <c r="D132" s="136">
        <v>16</v>
      </c>
      <c r="E132" s="630"/>
      <c r="F132" s="630"/>
      <c r="G132" s="631"/>
      <c r="H132" s="631"/>
      <c r="I132" s="631"/>
      <c r="J132" s="138">
        <v>100.3</v>
      </c>
      <c r="K132" s="138">
        <v>118.9</v>
      </c>
      <c r="L132" s="138">
        <v>112.7</v>
      </c>
      <c r="M132" s="138">
        <v>126.1</v>
      </c>
      <c r="N132" s="138">
        <v>127.1</v>
      </c>
      <c r="O132" s="138">
        <v>138.19999999999999</v>
      </c>
      <c r="P132" s="138">
        <v>127.4</v>
      </c>
      <c r="Q132" s="138">
        <v>127.3</v>
      </c>
      <c r="R132" s="138">
        <v>132.6</v>
      </c>
      <c r="S132" s="138">
        <v>127.4</v>
      </c>
      <c r="T132" s="138">
        <v>117.8</v>
      </c>
      <c r="U132" s="138">
        <v>132</v>
      </c>
      <c r="V132" s="138">
        <v>134.30000000000001</v>
      </c>
      <c r="W132" s="138">
        <v>127.4</v>
      </c>
      <c r="X132" s="138">
        <v>127.1</v>
      </c>
      <c r="Y132" s="138">
        <v>118.1</v>
      </c>
      <c r="Z132" s="138">
        <v>150.5</v>
      </c>
    </row>
    <row r="133" spans="4:26" x14ac:dyDescent="0.3">
      <c r="D133" s="136">
        <v>17</v>
      </c>
      <c r="E133" s="630"/>
      <c r="F133" s="630"/>
      <c r="G133" s="631"/>
      <c r="H133" s="631"/>
      <c r="I133" s="631"/>
      <c r="J133" s="138">
        <v>100.4</v>
      </c>
      <c r="K133" s="138">
        <v>124</v>
      </c>
      <c r="L133" s="138">
        <v>116.8</v>
      </c>
      <c r="M133" s="138">
        <v>126.8</v>
      </c>
      <c r="N133" s="138">
        <v>132.6</v>
      </c>
      <c r="O133" s="138">
        <v>140.5</v>
      </c>
      <c r="P133" s="138">
        <v>132.80000000000001</v>
      </c>
      <c r="Q133" s="138">
        <v>132.80000000000001</v>
      </c>
      <c r="R133" s="138">
        <v>134</v>
      </c>
      <c r="S133" s="138">
        <v>132.5</v>
      </c>
      <c r="T133" s="138">
        <v>119</v>
      </c>
      <c r="U133" s="138">
        <v>133.6</v>
      </c>
      <c r="V133" s="138">
        <v>138.1</v>
      </c>
      <c r="W133" s="138">
        <v>132.9</v>
      </c>
      <c r="X133" s="138">
        <v>127.5</v>
      </c>
      <c r="Y133" s="138">
        <v>119.3</v>
      </c>
      <c r="Z133" s="138">
        <v>151.69999999999999</v>
      </c>
    </row>
    <row r="134" spans="4:26" x14ac:dyDescent="0.3">
      <c r="D134" s="136">
        <v>18</v>
      </c>
      <c r="E134" s="630"/>
      <c r="F134" s="630"/>
      <c r="G134" s="631"/>
      <c r="H134" s="631"/>
      <c r="I134" s="631"/>
      <c r="J134" s="138">
        <v>100.5</v>
      </c>
      <c r="K134" s="138">
        <v>126.6</v>
      </c>
      <c r="L134" s="138">
        <v>117.7</v>
      </c>
      <c r="M134" s="138">
        <v>127.6</v>
      </c>
      <c r="N134" s="138">
        <v>134.1</v>
      </c>
      <c r="O134" s="138">
        <v>142.80000000000001</v>
      </c>
      <c r="P134" s="138">
        <v>134.1</v>
      </c>
      <c r="Q134" s="138">
        <v>134.1</v>
      </c>
      <c r="R134" s="138">
        <v>137.80000000000001</v>
      </c>
      <c r="S134" s="138">
        <v>133.9</v>
      </c>
      <c r="T134" s="138">
        <v>122.7</v>
      </c>
      <c r="U134" s="138">
        <v>135.6</v>
      </c>
      <c r="V134" s="138">
        <v>140.69999999999999</v>
      </c>
      <c r="W134" s="138">
        <v>134.1</v>
      </c>
      <c r="X134" s="138">
        <v>132.9</v>
      </c>
      <c r="Y134" s="138">
        <v>123.4</v>
      </c>
      <c r="Z134" s="138">
        <v>152.1</v>
      </c>
    </row>
    <row r="135" spans="4:26" x14ac:dyDescent="0.3">
      <c r="D135" s="136">
        <v>19</v>
      </c>
      <c r="E135" s="630"/>
      <c r="F135" s="630"/>
      <c r="G135" s="631"/>
      <c r="H135" s="631"/>
      <c r="I135" s="631"/>
      <c r="J135" s="138">
        <v>100.6</v>
      </c>
      <c r="K135" s="138">
        <v>127.1</v>
      </c>
      <c r="L135" s="138">
        <v>119.2</v>
      </c>
      <c r="M135" s="138">
        <v>133.4</v>
      </c>
      <c r="N135" s="138">
        <v>138.19999999999999</v>
      </c>
      <c r="O135" s="138">
        <v>144.4</v>
      </c>
      <c r="P135" s="138">
        <v>138</v>
      </c>
      <c r="Q135" s="138">
        <v>137.9</v>
      </c>
      <c r="R135" s="138">
        <v>140.30000000000001</v>
      </c>
      <c r="S135" s="138">
        <v>136.6</v>
      </c>
      <c r="T135" s="138">
        <v>126.3</v>
      </c>
      <c r="U135" s="138">
        <v>138.69999999999999</v>
      </c>
      <c r="V135" s="138">
        <v>143</v>
      </c>
      <c r="W135" s="138">
        <v>137.5</v>
      </c>
      <c r="X135" s="138">
        <v>134.1</v>
      </c>
      <c r="Y135" s="138">
        <v>126.6</v>
      </c>
      <c r="Z135" s="138">
        <v>152.5</v>
      </c>
    </row>
    <row r="136" spans="4:26" x14ac:dyDescent="0.3">
      <c r="D136" s="623">
        <v>20</v>
      </c>
      <c r="E136" s="630"/>
      <c r="F136" s="630"/>
      <c r="G136" s="631"/>
      <c r="H136" s="631"/>
      <c r="I136" s="631"/>
      <c r="J136" s="625">
        <v>100.7</v>
      </c>
      <c r="K136" s="625">
        <v>132.9</v>
      </c>
      <c r="L136" s="625">
        <v>125.8</v>
      </c>
      <c r="M136" s="625">
        <v>137.69999999999999</v>
      </c>
      <c r="N136" s="625">
        <v>140.6</v>
      </c>
      <c r="O136" s="625">
        <v>145.69999999999999</v>
      </c>
      <c r="P136" s="625">
        <v>140.4</v>
      </c>
      <c r="Q136" s="625">
        <v>140.4</v>
      </c>
      <c r="R136" s="625">
        <v>142.5</v>
      </c>
      <c r="S136" s="625">
        <v>140</v>
      </c>
      <c r="T136" s="625">
        <v>126.8</v>
      </c>
      <c r="U136" s="625">
        <v>140.69999999999999</v>
      </c>
      <c r="V136" s="625">
        <v>144.69999999999999</v>
      </c>
      <c r="W136" s="625">
        <v>140.30000000000001</v>
      </c>
      <c r="X136" s="625">
        <v>136.4</v>
      </c>
      <c r="Y136" s="625">
        <v>127.1</v>
      </c>
      <c r="Z136" s="625">
        <v>156.69999999999999</v>
      </c>
    </row>
    <row r="137" spans="4:26" x14ac:dyDescent="0.3">
      <c r="D137" s="136">
        <v>21</v>
      </c>
      <c r="E137" s="630"/>
      <c r="F137" s="630"/>
      <c r="G137" s="631"/>
      <c r="H137" s="631"/>
      <c r="I137" s="631"/>
      <c r="J137" s="138">
        <v>100.9</v>
      </c>
      <c r="K137" s="138">
        <v>135.80000000000001</v>
      </c>
      <c r="L137" s="138">
        <v>126.8</v>
      </c>
      <c r="M137" s="138">
        <v>140.4</v>
      </c>
      <c r="N137" s="138">
        <v>143</v>
      </c>
      <c r="O137" s="138">
        <v>147.5</v>
      </c>
      <c r="P137" s="138">
        <v>142.5</v>
      </c>
      <c r="Q137" s="138">
        <v>142.4</v>
      </c>
      <c r="R137" s="138">
        <v>143.6</v>
      </c>
      <c r="S137" s="138">
        <v>141</v>
      </c>
      <c r="T137" s="138">
        <v>127.1</v>
      </c>
      <c r="U137" s="138">
        <v>143</v>
      </c>
      <c r="V137" s="138">
        <v>146</v>
      </c>
      <c r="W137" s="138">
        <v>141.4</v>
      </c>
      <c r="X137" s="138">
        <v>140.1</v>
      </c>
      <c r="Y137" s="138">
        <v>127.4</v>
      </c>
      <c r="Z137" s="138">
        <v>159.4</v>
      </c>
    </row>
    <row r="138" spans="4:26" x14ac:dyDescent="0.3">
      <c r="D138" s="136">
        <v>22</v>
      </c>
      <c r="E138" s="630"/>
      <c r="F138" s="630"/>
      <c r="G138" s="631"/>
      <c r="H138" s="631"/>
      <c r="I138" s="631"/>
      <c r="J138" s="138">
        <v>112.1</v>
      </c>
      <c r="K138" s="138">
        <v>140.19999999999999</v>
      </c>
      <c r="L138" s="138">
        <v>127.2</v>
      </c>
      <c r="M138" s="138">
        <v>142.9</v>
      </c>
      <c r="N138" s="138">
        <v>144.80000000000001</v>
      </c>
      <c r="O138" s="138">
        <v>151.6</v>
      </c>
      <c r="P138" s="138">
        <v>143.69999999999999</v>
      </c>
      <c r="Q138" s="138">
        <v>143.6</v>
      </c>
      <c r="R138" s="138">
        <v>145.1</v>
      </c>
      <c r="S138" s="138">
        <v>143.30000000000001</v>
      </c>
      <c r="T138" s="138">
        <v>130.9</v>
      </c>
      <c r="U138" s="138">
        <v>144.5</v>
      </c>
      <c r="V138" s="138">
        <v>149.80000000000001</v>
      </c>
      <c r="W138" s="138">
        <v>143.5</v>
      </c>
      <c r="X138" s="138">
        <v>141</v>
      </c>
      <c r="Y138" s="138">
        <v>132.80000000000001</v>
      </c>
      <c r="Z138" s="138">
        <v>160.80000000000001</v>
      </c>
    </row>
    <row r="139" spans="4:26" x14ac:dyDescent="0.3">
      <c r="D139" s="136">
        <v>23</v>
      </c>
      <c r="E139" s="630"/>
      <c r="F139" s="630"/>
      <c r="G139" s="631"/>
      <c r="H139" s="631"/>
      <c r="I139" s="631"/>
      <c r="J139" s="138">
        <v>116.9</v>
      </c>
      <c r="K139" s="138">
        <v>142.6</v>
      </c>
      <c r="L139" s="138">
        <v>133</v>
      </c>
      <c r="M139" s="138">
        <v>144.69999999999999</v>
      </c>
      <c r="N139" s="138">
        <v>146.4</v>
      </c>
      <c r="O139" s="138">
        <v>152.1</v>
      </c>
      <c r="P139" s="138">
        <v>145.19999999999999</v>
      </c>
      <c r="Q139" s="138">
        <v>145.1</v>
      </c>
      <c r="R139" s="138">
        <v>146.80000000000001</v>
      </c>
      <c r="S139" s="138">
        <v>144.80000000000001</v>
      </c>
      <c r="T139" s="138">
        <v>133.30000000000001</v>
      </c>
      <c r="U139" s="138">
        <v>145.69999999999999</v>
      </c>
      <c r="V139" s="138">
        <v>151.80000000000001</v>
      </c>
      <c r="W139" s="138">
        <v>145</v>
      </c>
      <c r="X139" s="138">
        <v>143.30000000000001</v>
      </c>
      <c r="Y139" s="138">
        <v>134</v>
      </c>
      <c r="Z139" s="138">
        <v>162.6</v>
      </c>
    </row>
    <row r="140" spans="4:26" x14ac:dyDescent="0.3">
      <c r="D140" s="136">
        <v>24</v>
      </c>
      <c r="E140" s="630"/>
      <c r="F140" s="630"/>
      <c r="G140" s="631"/>
      <c r="H140" s="631"/>
      <c r="I140" s="631"/>
      <c r="J140" s="138">
        <v>123</v>
      </c>
      <c r="K140" s="138">
        <v>144.6</v>
      </c>
      <c r="L140" s="138">
        <v>136</v>
      </c>
      <c r="M140" s="138">
        <v>146.80000000000001</v>
      </c>
      <c r="N140" s="138">
        <v>151.30000000000001</v>
      </c>
      <c r="O140" s="138">
        <v>152.5</v>
      </c>
      <c r="P140" s="138">
        <v>146.9</v>
      </c>
      <c r="Q140" s="138">
        <v>146.80000000000001</v>
      </c>
      <c r="R140" s="138">
        <v>151.19999999999999</v>
      </c>
      <c r="S140" s="138">
        <v>146</v>
      </c>
      <c r="T140" s="138">
        <v>135.1</v>
      </c>
      <c r="U140" s="138">
        <v>147.4</v>
      </c>
      <c r="V140" s="138">
        <v>152.30000000000001</v>
      </c>
      <c r="W140" s="138">
        <v>146.30000000000001</v>
      </c>
      <c r="X140" s="138">
        <v>144.80000000000001</v>
      </c>
      <c r="Y140" s="138">
        <v>137</v>
      </c>
      <c r="Z140" s="138">
        <v>164.2</v>
      </c>
    </row>
    <row r="141" spans="4:26" x14ac:dyDescent="0.3">
      <c r="D141" s="136">
        <v>25</v>
      </c>
      <c r="E141" s="630"/>
      <c r="F141" s="630"/>
      <c r="G141" s="631"/>
      <c r="H141" s="631"/>
      <c r="I141" s="631"/>
      <c r="J141" s="138">
        <v>126.7</v>
      </c>
      <c r="K141" s="138">
        <v>146.5</v>
      </c>
      <c r="L141" s="138">
        <v>140.30000000000001</v>
      </c>
      <c r="M141" s="138">
        <v>151.5</v>
      </c>
      <c r="N141" s="138">
        <v>152</v>
      </c>
      <c r="O141" s="138">
        <v>155.80000000000001</v>
      </c>
      <c r="P141" s="138">
        <v>151.30000000000001</v>
      </c>
      <c r="Q141" s="138">
        <v>151.19999999999999</v>
      </c>
      <c r="R141" s="138">
        <v>151.80000000000001</v>
      </c>
      <c r="S141" s="138">
        <v>147.9</v>
      </c>
      <c r="T141" s="138">
        <v>138.30000000000001</v>
      </c>
      <c r="U141" s="138">
        <v>151.5</v>
      </c>
      <c r="V141" s="138">
        <v>152.80000000000001</v>
      </c>
      <c r="W141" s="138">
        <v>150.30000000000001</v>
      </c>
      <c r="X141" s="138">
        <v>145.9</v>
      </c>
      <c r="Y141" s="138">
        <v>140.19999999999999</v>
      </c>
      <c r="Z141" s="138">
        <v>166.2</v>
      </c>
    </row>
    <row r="142" spans="4:26" x14ac:dyDescent="0.3">
      <c r="D142" s="136">
        <v>26</v>
      </c>
      <c r="E142" s="630"/>
      <c r="F142" s="630"/>
      <c r="G142" s="631"/>
      <c r="H142" s="631"/>
      <c r="I142" s="631"/>
      <c r="J142" s="138">
        <v>137</v>
      </c>
      <c r="K142" s="138">
        <v>151.4</v>
      </c>
      <c r="L142" s="138">
        <v>142.6</v>
      </c>
      <c r="M142" s="138">
        <v>152</v>
      </c>
      <c r="N142" s="138">
        <v>152.5</v>
      </c>
      <c r="O142" s="138">
        <v>159</v>
      </c>
      <c r="P142" s="138">
        <v>152</v>
      </c>
      <c r="Q142" s="138">
        <v>151.9</v>
      </c>
      <c r="R142" s="138">
        <v>152.19999999999999</v>
      </c>
      <c r="S142" s="138">
        <v>151.69999999999999</v>
      </c>
      <c r="T142" s="138">
        <v>140.6</v>
      </c>
      <c r="U142" s="138">
        <v>152</v>
      </c>
      <c r="V142" s="138">
        <v>157.1</v>
      </c>
      <c r="W142" s="138">
        <v>151.9</v>
      </c>
      <c r="X142" s="138">
        <v>147.69999999999999</v>
      </c>
      <c r="Y142" s="138">
        <v>141.19999999999999</v>
      </c>
      <c r="Z142" s="138">
        <v>166.8</v>
      </c>
    </row>
    <row r="143" spans="4:26" x14ac:dyDescent="0.3">
      <c r="D143" s="136">
        <v>27</v>
      </c>
      <c r="E143" s="630"/>
      <c r="F143" s="630"/>
      <c r="G143" s="631"/>
      <c r="H143" s="631"/>
      <c r="I143" s="631"/>
      <c r="J143" s="138">
        <v>140.4</v>
      </c>
      <c r="K143" s="138">
        <v>152.1</v>
      </c>
      <c r="L143" s="138">
        <v>144.5</v>
      </c>
      <c r="M143" s="138">
        <v>154</v>
      </c>
      <c r="N143" s="138">
        <v>156.80000000000001</v>
      </c>
      <c r="O143" s="138">
        <v>160.80000000000001</v>
      </c>
      <c r="P143" s="138">
        <v>152.4</v>
      </c>
      <c r="Q143" s="138">
        <v>152.30000000000001</v>
      </c>
      <c r="R143" s="138">
        <v>153.6</v>
      </c>
      <c r="S143" s="138">
        <v>152.30000000000001</v>
      </c>
      <c r="T143" s="138">
        <v>142.80000000000001</v>
      </c>
      <c r="U143" s="138">
        <v>152.30000000000001</v>
      </c>
      <c r="V143" s="138">
        <v>159.80000000000001</v>
      </c>
      <c r="W143" s="138">
        <v>152.4</v>
      </c>
      <c r="X143" s="138">
        <v>151.69999999999999</v>
      </c>
      <c r="Y143" s="138">
        <v>143.4</v>
      </c>
      <c r="Z143" s="138">
        <v>168.3</v>
      </c>
    </row>
    <row r="144" spans="4:26" x14ac:dyDescent="0.3">
      <c r="D144" s="136">
        <v>28</v>
      </c>
      <c r="E144" s="630"/>
      <c r="F144" s="630"/>
      <c r="G144" s="631"/>
      <c r="H144" s="631"/>
      <c r="I144" s="631"/>
      <c r="J144" s="138">
        <v>144.80000000000001</v>
      </c>
      <c r="K144" s="138">
        <v>154.1</v>
      </c>
      <c r="L144" s="138">
        <v>146.30000000000001</v>
      </c>
      <c r="M144" s="138">
        <v>158.6</v>
      </c>
      <c r="N144" s="138">
        <v>159.80000000000001</v>
      </c>
      <c r="O144" s="138">
        <v>162.69999999999999</v>
      </c>
      <c r="P144" s="138">
        <v>153.6</v>
      </c>
      <c r="Q144" s="138">
        <v>153.19999999999999</v>
      </c>
      <c r="R144" s="138">
        <v>157.19999999999999</v>
      </c>
      <c r="S144" s="138">
        <v>152.6</v>
      </c>
      <c r="T144" s="138">
        <v>144.19999999999999</v>
      </c>
      <c r="U144" s="138">
        <v>153.9</v>
      </c>
      <c r="V144" s="138">
        <v>161.4</v>
      </c>
      <c r="W144" s="138">
        <v>152.69999999999999</v>
      </c>
      <c r="X144" s="138">
        <v>152.19999999999999</v>
      </c>
      <c r="Y144" s="138">
        <v>145</v>
      </c>
      <c r="Z144" s="138">
        <v>170.1</v>
      </c>
    </row>
    <row r="145" spans="4:26" x14ac:dyDescent="0.3">
      <c r="D145" s="136">
        <v>29</v>
      </c>
      <c r="E145" s="630"/>
      <c r="F145" s="630"/>
      <c r="G145" s="631"/>
      <c r="H145" s="631"/>
      <c r="I145" s="631"/>
      <c r="J145" s="138">
        <v>150.69999999999999</v>
      </c>
      <c r="K145" s="138">
        <v>159</v>
      </c>
      <c r="L145" s="138">
        <v>151.4</v>
      </c>
      <c r="M145" s="138">
        <v>160.9</v>
      </c>
      <c r="N145" s="138">
        <v>161.80000000000001</v>
      </c>
      <c r="O145" s="138">
        <v>164.1</v>
      </c>
      <c r="P145" s="138">
        <v>157.19999999999999</v>
      </c>
      <c r="Q145" s="138">
        <v>157.1</v>
      </c>
      <c r="R145" s="138">
        <v>159.69999999999999</v>
      </c>
      <c r="S145" s="138">
        <v>154.19999999999999</v>
      </c>
      <c r="T145" s="138">
        <v>145.4</v>
      </c>
      <c r="U145" s="138">
        <v>157.6</v>
      </c>
      <c r="V145" s="138">
        <v>163</v>
      </c>
      <c r="W145" s="138">
        <v>156.30000000000001</v>
      </c>
      <c r="X145" s="138">
        <v>152.5</v>
      </c>
      <c r="Y145" s="138">
        <v>146.4</v>
      </c>
      <c r="Z145" s="138">
        <v>172.8</v>
      </c>
    </row>
    <row r="146" spans="4:26" x14ac:dyDescent="0.3">
      <c r="D146" s="623">
        <v>30</v>
      </c>
      <c r="E146" s="630"/>
      <c r="F146" s="630"/>
      <c r="G146" s="631"/>
      <c r="H146" s="631"/>
      <c r="I146" s="631"/>
      <c r="J146" s="625">
        <v>152.9</v>
      </c>
      <c r="K146" s="625">
        <v>160.9</v>
      </c>
      <c r="L146" s="625">
        <v>152.1</v>
      </c>
      <c r="M146" s="625">
        <v>162.80000000000001</v>
      </c>
      <c r="N146" s="625">
        <v>163.19999999999999</v>
      </c>
      <c r="O146" s="625">
        <v>166.3</v>
      </c>
      <c r="P146" s="625">
        <v>159.80000000000001</v>
      </c>
      <c r="Q146" s="625">
        <v>159.69999999999999</v>
      </c>
      <c r="R146" s="625">
        <v>161.5</v>
      </c>
      <c r="S146" s="625">
        <v>157.80000000000001</v>
      </c>
      <c r="T146" s="625">
        <v>147</v>
      </c>
      <c r="U146" s="625">
        <v>159.9</v>
      </c>
      <c r="V146" s="625">
        <v>165.8</v>
      </c>
      <c r="W146" s="625">
        <v>159.30000000000001</v>
      </c>
      <c r="X146" s="625">
        <v>154.19999999999999</v>
      </c>
      <c r="Y146" s="625">
        <v>150.6</v>
      </c>
      <c r="Z146" s="625">
        <v>174.7</v>
      </c>
    </row>
    <row r="147" spans="4:26" x14ac:dyDescent="0.3">
      <c r="D147" s="136">
        <v>31</v>
      </c>
      <c r="E147" s="630"/>
      <c r="F147" s="630"/>
      <c r="G147" s="631"/>
      <c r="H147" s="631"/>
      <c r="I147" s="631"/>
      <c r="J147" s="138">
        <v>158.5</v>
      </c>
      <c r="K147" s="138">
        <v>162.6</v>
      </c>
      <c r="L147" s="138">
        <v>153.9</v>
      </c>
      <c r="M147" s="138">
        <v>165.8</v>
      </c>
      <c r="N147" s="138">
        <v>166.2</v>
      </c>
      <c r="O147" s="138">
        <v>166.9</v>
      </c>
      <c r="P147" s="138">
        <v>161.69999999999999</v>
      </c>
      <c r="Q147" s="138">
        <v>161.4</v>
      </c>
      <c r="R147" s="138">
        <v>162.9</v>
      </c>
      <c r="S147" s="138">
        <v>160.1</v>
      </c>
      <c r="T147" s="138">
        <v>151.4</v>
      </c>
      <c r="U147" s="138">
        <v>161.6</v>
      </c>
      <c r="V147" s="138">
        <v>166.6</v>
      </c>
      <c r="W147" s="138">
        <v>160.69999999999999</v>
      </c>
      <c r="X147" s="138">
        <v>157.80000000000001</v>
      </c>
      <c r="Y147" s="138">
        <v>151.9</v>
      </c>
      <c r="Z147" s="138">
        <v>175.3</v>
      </c>
    </row>
    <row r="148" spans="4:26" x14ac:dyDescent="0.3">
      <c r="D148" s="136">
        <v>32</v>
      </c>
      <c r="E148" s="630"/>
      <c r="F148" s="630"/>
      <c r="G148" s="631"/>
      <c r="H148" s="631"/>
      <c r="I148" s="631"/>
      <c r="J148" s="138">
        <v>160.69999999999999</v>
      </c>
      <c r="K148" s="138">
        <v>163.19999999999999</v>
      </c>
      <c r="L148" s="138">
        <v>158.30000000000001</v>
      </c>
      <c r="M148" s="138">
        <v>166.7</v>
      </c>
      <c r="N148" s="138">
        <v>166.9</v>
      </c>
      <c r="O148" s="138">
        <v>168.5</v>
      </c>
      <c r="P148" s="138">
        <v>163.1</v>
      </c>
      <c r="Q148" s="138">
        <v>163</v>
      </c>
      <c r="R148" s="138">
        <v>165.4</v>
      </c>
      <c r="S148" s="138">
        <v>162.1</v>
      </c>
      <c r="T148" s="138">
        <v>152</v>
      </c>
      <c r="U148" s="138">
        <v>163</v>
      </c>
      <c r="V148" s="138">
        <v>167.7</v>
      </c>
      <c r="W148" s="138">
        <v>162.69999999999999</v>
      </c>
      <c r="X148" s="138">
        <v>160</v>
      </c>
      <c r="Y148" s="138">
        <v>152.30000000000001</v>
      </c>
      <c r="Z148" s="138">
        <v>175.6</v>
      </c>
    </row>
    <row r="149" spans="4:26" x14ac:dyDescent="0.3">
      <c r="D149" s="136">
        <v>33</v>
      </c>
      <c r="E149" s="630"/>
      <c r="F149" s="630"/>
      <c r="G149" s="631"/>
      <c r="H149" s="631"/>
      <c r="I149" s="631"/>
      <c r="J149" s="138">
        <v>161.4</v>
      </c>
      <c r="K149" s="138">
        <v>163.6</v>
      </c>
      <c r="L149" s="138">
        <v>160.9</v>
      </c>
      <c r="M149" s="138">
        <v>169.1</v>
      </c>
      <c r="N149" s="138">
        <v>169.4</v>
      </c>
      <c r="O149" s="138">
        <v>170.2</v>
      </c>
      <c r="P149" s="138">
        <v>165.5</v>
      </c>
      <c r="Q149" s="138">
        <v>165.2</v>
      </c>
      <c r="R149" s="138">
        <v>166.4</v>
      </c>
      <c r="S149" s="138">
        <v>163.19999999999999</v>
      </c>
      <c r="T149" s="138">
        <v>152.30000000000001</v>
      </c>
      <c r="U149" s="138">
        <v>165.4</v>
      </c>
      <c r="V149" s="138">
        <v>169.9</v>
      </c>
      <c r="W149" s="138">
        <v>164</v>
      </c>
      <c r="X149" s="138">
        <v>161.5</v>
      </c>
      <c r="Y149" s="138">
        <v>152.80000000000001</v>
      </c>
      <c r="Z149" s="138">
        <v>177.1</v>
      </c>
    </row>
    <row r="150" spans="4:26" x14ac:dyDescent="0.3">
      <c r="D150" s="136">
        <v>34</v>
      </c>
      <c r="E150" s="630"/>
      <c r="F150" s="630"/>
      <c r="G150" s="631"/>
      <c r="H150" s="631"/>
      <c r="I150" s="631"/>
      <c r="J150" s="138">
        <v>162.6</v>
      </c>
      <c r="K150" s="138">
        <v>164.4</v>
      </c>
      <c r="L150" s="138">
        <v>162.69999999999999</v>
      </c>
      <c r="M150" s="138">
        <v>170.7</v>
      </c>
      <c r="N150" s="138">
        <v>170.8</v>
      </c>
      <c r="O150" s="138">
        <v>173.5</v>
      </c>
      <c r="P150" s="138">
        <v>166.6</v>
      </c>
      <c r="Q150" s="138">
        <v>166.5</v>
      </c>
      <c r="R150" s="138">
        <v>167.1</v>
      </c>
      <c r="S150" s="138">
        <v>165.8</v>
      </c>
      <c r="T150" s="138">
        <v>153.6</v>
      </c>
      <c r="U150" s="138">
        <v>166.5</v>
      </c>
      <c r="V150" s="138">
        <v>172.3</v>
      </c>
      <c r="W150" s="138">
        <v>166.4</v>
      </c>
      <c r="X150" s="138">
        <v>163.1</v>
      </c>
      <c r="Y150" s="138">
        <v>157</v>
      </c>
      <c r="Z150" s="138">
        <v>179.7</v>
      </c>
    </row>
    <row r="151" spans="4:26" x14ac:dyDescent="0.3">
      <c r="D151" s="136">
        <v>35</v>
      </c>
      <c r="E151" s="630"/>
      <c r="F151" s="630"/>
      <c r="G151" s="631"/>
      <c r="H151" s="631"/>
      <c r="I151" s="631"/>
      <c r="J151" s="138">
        <v>163.1</v>
      </c>
      <c r="K151" s="138">
        <v>166.2</v>
      </c>
      <c r="L151" s="138">
        <v>163.30000000000001</v>
      </c>
      <c r="M151" s="138">
        <v>174.6</v>
      </c>
      <c r="N151" s="138">
        <v>174.7</v>
      </c>
      <c r="O151" s="138">
        <v>174.9</v>
      </c>
      <c r="P151" s="138">
        <v>167.3</v>
      </c>
      <c r="Q151" s="138">
        <v>167.2</v>
      </c>
      <c r="R151" s="138">
        <v>169.3</v>
      </c>
      <c r="S151" s="138">
        <v>166.7</v>
      </c>
      <c r="T151" s="138">
        <v>157.30000000000001</v>
      </c>
      <c r="U151" s="138">
        <v>167.1</v>
      </c>
      <c r="V151" s="138">
        <v>174.8</v>
      </c>
      <c r="W151" s="138">
        <v>167</v>
      </c>
      <c r="X151" s="138">
        <v>165.3</v>
      </c>
      <c r="Y151" s="138">
        <v>159.69999999999999</v>
      </c>
      <c r="Z151" s="138">
        <v>180.8</v>
      </c>
    </row>
    <row r="152" spans="4:26" x14ac:dyDescent="0.3">
      <c r="D152" s="136">
        <v>36</v>
      </c>
      <c r="E152" s="630"/>
      <c r="F152" s="630"/>
      <c r="G152" s="631"/>
      <c r="H152" s="631"/>
      <c r="I152" s="631"/>
      <c r="J152" s="138">
        <v>163.4</v>
      </c>
      <c r="K152" s="138">
        <v>166.9</v>
      </c>
      <c r="L152" s="138">
        <v>164.8</v>
      </c>
      <c r="M152" s="138">
        <v>175.2</v>
      </c>
      <c r="N152" s="138">
        <v>175.3</v>
      </c>
      <c r="O152" s="138">
        <v>175.4</v>
      </c>
      <c r="P152" s="138">
        <v>169.6</v>
      </c>
      <c r="Q152" s="138">
        <v>169.4</v>
      </c>
      <c r="R152" s="138">
        <v>170.4</v>
      </c>
      <c r="S152" s="138">
        <v>167.4</v>
      </c>
      <c r="T152" s="138">
        <v>159.9</v>
      </c>
      <c r="U152" s="138">
        <v>169.3</v>
      </c>
      <c r="V152" s="138">
        <v>175.4</v>
      </c>
      <c r="W152" s="138">
        <v>168.5</v>
      </c>
      <c r="X152" s="138">
        <v>166.6</v>
      </c>
      <c r="Y152" s="138">
        <v>161.19999999999999</v>
      </c>
      <c r="Z152" s="138">
        <v>182.8</v>
      </c>
    </row>
    <row r="153" spans="4:26" x14ac:dyDescent="0.3">
      <c r="D153" s="136">
        <v>37</v>
      </c>
      <c r="E153" s="630"/>
      <c r="F153" s="630"/>
      <c r="G153" s="631"/>
      <c r="H153" s="631"/>
      <c r="I153" s="631"/>
      <c r="J153" s="138">
        <v>163.6</v>
      </c>
      <c r="K153" s="138">
        <v>168.2</v>
      </c>
      <c r="L153" s="138">
        <v>166.6</v>
      </c>
      <c r="M153" s="138">
        <v>176.9</v>
      </c>
      <c r="N153" s="138">
        <v>176.7</v>
      </c>
      <c r="O153" s="138">
        <v>176.3</v>
      </c>
      <c r="P153" s="138">
        <v>170.7</v>
      </c>
      <c r="Q153" s="138">
        <v>170.5</v>
      </c>
      <c r="R153" s="138">
        <v>174.2</v>
      </c>
      <c r="S153" s="138">
        <v>169.6</v>
      </c>
      <c r="T153" s="138">
        <v>161.69999999999999</v>
      </c>
      <c r="U153" s="138">
        <v>170.5</v>
      </c>
      <c r="V153" s="138">
        <v>175.9</v>
      </c>
      <c r="W153" s="138">
        <v>170.3</v>
      </c>
      <c r="X153" s="138">
        <v>167.3</v>
      </c>
      <c r="Y153" s="138">
        <v>163</v>
      </c>
      <c r="Z153" s="138">
        <v>184.3</v>
      </c>
    </row>
    <row r="154" spans="4:26" x14ac:dyDescent="0.3">
      <c r="D154" s="136">
        <v>38</v>
      </c>
      <c r="E154" s="630"/>
      <c r="F154" s="630"/>
      <c r="G154" s="631"/>
      <c r="H154" s="631"/>
      <c r="I154" s="631"/>
      <c r="J154" s="138">
        <v>163.9</v>
      </c>
      <c r="K154" s="138">
        <v>170.2</v>
      </c>
      <c r="L154" s="138">
        <v>167.9</v>
      </c>
      <c r="M154" s="138">
        <v>179.9</v>
      </c>
      <c r="N154" s="138">
        <v>179.6</v>
      </c>
      <c r="O154" s="138">
        <v>178.6</v>
      </c>
      <c r="P154" s="138">
        <v>174.5</v>
      </c>
      <c r="Q154" s="138">
        <v>174.4</v>
      </c>
      <c r="R154" s="138">
        <v>175</v>
      </c>
      <c r="S154" s="138">
        <v>170.7</v>
      </c>
      <c r="T154" s="138">
        <v>163.1</v>
      </c>
      <c r="U154" s="138">
        <v>174.2</v>
      </c>
      <c r="V154" s="138">
        <v>178.3</v>
      </c>
      <c r="W154" s="138">
        <v>173.5</v>
      </c>
      <c r="X154" s="138">
        <v>169.5</v>
      </c>
      <c r="Y154" s="138">
        <v>165.3</v>
      </c>
      <c r="Z154" s="138">
        <v>186.3</v>
      </c>
    </row>
    <row r="155" spans="4:26" x14ac:dyDescent="0.3">
      <c r="D155" s="136">
        <v>39</v>
      </c>
      <c r="E155" s="630"/>
      <c r="F155" s="630"/>
      <c r="G155" s="631"/>
      <c r="H155" s="631"/>
      <c r="I155" s="631"/>
      <c r="J155" s="138">
        <v>164.1</v>
      </c>
      <c r="K155" s="138">
        <v>170.7</v>
      </c>
      <c r="L155" s="138">
        <v>170.1</v>
      </c>
      <c r="M155" s="138">
        <v>182.5</v>
      </c>
      <c r="N155" s="138">
        <v>181.8</v>
      </c>
      <c r="O155" s="138">
        <v>180.6</v>
      </c>
      <c r="P155" s="138">
        <v>175.2</v>
      </c>
      <c r="Q155" s="138">
        <v>175.1</v>
      </c>
      <c r="R155" s="138">
        <v>175.4</v>
      </c>
      <c r="S155" s="138">
        <v>174.4</v>
      </c>
      <c r="T155" s="138">
        <v>165.7</v>
      </c>
      <c r="U155" s="138">
        <v>175</v>
      </c>
      <c r="V155" s="138">
        <v>180.4</v>
      </c>
      <c r="W155" s="138">
        <v>175.1</v>
      </c>
      <c r="X155" s="138">
        <v>170.7</v>
      </c>
      <c r="Y155" s="138">
        <v>166.6</v>
      </c>
      <c r="Z155" s="138">
        <v>188.5</v>
      </c>
    </row>
    <row r="156" spans="4:26" x14ac:dyDescent="0.3">
      <c r="D156" s="623">
        <v>40</v>
      </c>
      <c r="E156" s="630"/>
      <c r="F156" s="630"/>
      <c r="G156" s="631"/>
      <c r="H156" s="631"/>
      <c r="I156" s="631"/>
      <c r="J156" s="625">
        <v>164.2</v>
      </c>
      <c r="K156" s="625">
        <v>171</v>
      </c>
      <c r="L156" s="625">
        <v>170.6</v>
      </c>
      <c r="M156" s="625">
        <v>184.6</v>
      </c>
      <c r="N156" s="625">
        <v>183.9</v>
      </c>
      <c r="O156" s="625">
        <v>182.8</v>
      </c>
      <c r="P156" s="625">
        <v>175.7</v>
      </c>
      <c r="Q156" s="625">
        <v>175.5</v>
      </c>
      <c r="R156" s="625">
        <v>176.6</v>
      </c>
      <c r="S156" s="625">
        <v>175.3</v>
      </c>
      <c r="T156" s="625">
        <v>166.6</v>
      </c>
      <c r="U156" s="625">
        <v>175.4</v>
      </c>
      <c r="V156" s="625">
        <v>182.5</v>
      </c>
      <c r="W156" s="625">
        <v>175.6</v>
      </c>
      <c r="X156" s="625">
        <v>174.4</v>
      </c>
      <c r="Y156" s="625">
        <v>167.5</v>
      </c>
      <c r="Z156" s="625">
        <v>189.5</v>
      </c>
    </row>
    <row r="157" spans="4:26" x14ac:dyDescent="0.3">
      <c r="D157" s="136">
        <v>41</v>
      </c>
      <c r="E157" s="630"/>
      <c r="F157" s="630"/>
      <c r="G157" s="631"/>
      <c r="H157" s="631"/>
      <c r="I157" s="631"/>
      <c r="J157" s="138">
        <v>164.4</v>
      </c>
      <c r="K157" s="138">
        <v>173.9</v>
      </c>
      <c r="L157" s="138">
        <v>174.4</v>
      </c>
      <c r="M157" s="138">
        <v>187.9</v>
      </c>
      <c r="N157" s="138">
        <v>186.5</v>
      </c>
      <c r="O157" s="138">
        <v>184.4</v>
      </c>
      <c r="P157" s="138">
        <v>177</v>
      </c>
      <c r="Q157" s="138">
        <v>176.8</v>
      </c>
      <c r="R157" s="138">
        <v>179.1</v>
      </c>
      <c r="S157" s="138">
        <v>175.7</v>
      </c>
      <c r="T157" s="138">
        <v>167.3</v>
      </c>
      <c r="U157" s="138">
        <v>176.4</v>
      </c>
      <c r="V157" s="138">
        <v>184.2</v>
      </c>
      <c r="W157" s="138">
        <v>176.2</v>
      </c>
      <c r="X157" s="138">
        <v>175.2</v>
      </c>
      <c r="Y157" s="138">
        <v>169.9</v>
      </c>
      <c r="Z157" s="138">
        <v>190.9</v>
      </c>
    </row>
    <row r="158" spans="4:26" x14ac:dyDescent="0.3">
      <c r="D158" s="136">
        <v>42</v>
      </c>
      <c r="E158" s="630"/>
      <c r="F158" s="630"/>
      <c r="G158" s="631"/>
      <c r="H158" s="631"/>
      <c r="I158" s="631"/>
      <c r="J158" s="138">
        <v>164.7</v>
      </c>
      <c r="K158" s="138">
        <v>175.3</v>
      </c>
      <c r="L158" s="138">
        <v>175.3</v>
      </c>
      <c r="M158" s="138">
        <v>189.3</v>
      </c>
      <c r="N158" s="138">
        <v>188.8</v>
      </c>
      <c r="O158" s="138">
        <v>186.5</v>
      </c>
      <c r="P158" s="138">
        <v>179.7</v>
      </c>
      <c r="Q158" s="138">
        <v>179.5</v>
      </c>
      <c r="R158" s="138">
        <v>180.7</v>
      </c>
      <c r="S158" s="138">
        <v>176.7</v>
      </c>
      <c r="T158" s="138">
        <v>169.7</v>
      </c>
      <c r="U158" s="138">
        <v>178.7</v>
      </c>
      <c r="V158" s="138">
        <v>186.4</v>
      </c>
      <c r="W158" s="138">
        <v>178.5</v>
      </c>
      <c r="X158" s="138">
        <v>175.7</v>
      </c>
      <c r="Y158" s="138">
        <v>171.7</v>
      </c>
      <c r="Z158" s="138">
        <v>194.2</v>
      </c>
    </row>
    <row r="159" spans="4:26" x14ac:dyDescent="0.3">
      <c r="D159" s="136">
        <v>43</v>
      </c>
      <c r="E159" s="630"/>
      <c r="F159" s="630"/>
      <c r="G159" s="631"/>
      <c r="H159" s="631"/>
      <c r="I159" s="631"/>
      <c r="J159" s="138">
        <v>165.3</v>
      </c>
      <c r="K159" s="138">
        <v>176.1</v>
      </c>
      <c r="L159" s="138">
        <v>176.5</v>
      </c>
      <c r="M159" s="138">
        <v>192.5</v>
      </c>
      <c r="N159" s="138">
        <v>190.3</v>
      </c>
      <c r="O159" s="138">
        <v>188.7</v>
      </c>
      <c r="P159" s="138">
        <v>181.2</v>
      </c>
      <c r="Q159" s="138">
        <v>181</v>
      </c>
      <c r="R159" s="138">
        <v>182.9</v>
      </c>
      <c r="S159" s="138">
        <v>179</v>
      </c>
      <c r="T159" s="138">
        <v>171.1</v>
      </c>
      <c r="U159" s="138">
        <v>180.5</v>
      </c>
      <c r="V159" s="138">
        <v>188.7</v>
      </c>
      <c r="W159" s="138">
        <v>180.5</v>
      </c>
      <c r="X159" s="138">
        <v>176.8</v>
      </c>
      <c r="Y159" s="138">
        <v>174.8</v>
      </c>
      <c r="Z159" s="138">
        <v>196.4</v>
      </c>
    </row>
    <row r="160" spans="4:26" x14ac:dyDescent="0.3">
      <c r="D160" s="136">
        <v>44</v>
      </c>
      <c r="E160" s="630"/>
      <c r="F160" s="630"/>
      <c r="G160" s="631"/>
      <c r="H160" s="631"/>
      <c r="I160" s="631"/>
      <c r="J160" s="138">
        <v>165.7</v>
      </c>
      <c r="K160" s="138">
        <v>178.2</v>
      </c>
      <c r="L160" s="138">
        <v>179.6</v>
      </c>
      <c r="M160" s="138">
        <v>195.7</v>
      </c>
      <c r="N160" s="138">
        <v>194.1</v>
      </c>
      <c r="O160" s="138">
        <v>189.9</v>
      </c>
      <c r="P160" s="138">
        <v>183.3</v>
      </c>
      <c r="Q160" s="138">
        <v>183.1</v>
      </c>
      <c r="R160" s="138">
        <v>184.5</v>
      </c>
      <c r="S160" s="138">
        <v>180.7</v>
      </c>
      <c r="T160" s="138">
        <v>174.6</v>
      </c>
      <c r="U160" s="138">
        <v>182.7</v>
      </c>
      <c r="V160" s="138">
        <v>190</v>
      </c>
      <c r="W160" s="138">
        <v>182.6</v>
      </c>
      <c r="X160" s="138">
        <v>179.3</v>
      </c>
      <c r="Y160" s="138">
        <v>175.4</v>
      </c>
      <c r="Z160" s="138">
        <v>197.1</v>
      </c>
    </row>
    <row r="161" spans="4:26" x14ac:dyDescent="0.3">
      <c r="D161" s="136">
        <v>45</v>
      </c>
      <c r="E161" s="630"/>
      <c r="F161" s="630"/>
      <c r="G161" s="631"/>
      <c r="H161" s="631"/>
      <c r="I161" s="631"/>
      <c r="J161" s="138">
        <v>166.9</v>
      </c>
      <c r="K161" s="138">
        <v>181</v>
      </c>
      <c r="L161" s="138">
        <v>182.4</v>
      </c>
      <c r="M161" s="138">
        <v>196.9</v>
      </c>
      <c r="N161" s="138">
        <v>196.5</v>
      </c>
      <c r="O161" s="138">
        <v>192.4</v>
      </c>
      <c r="P161" s="138">
        <v>184.9</v>
      </c>
      <c r="Q161" s="138">
        <v>184.8</v>
      </c>
      <c r="R161" s="138">
        <v>186.9</v>
      </c>
      <c r="S161" s="138">
        <v>183</v>
      </c>
      <c r="T161" s="138">
        <v>175.2</v>
      </c>
      <c r="U161" s="138">
        <v>184.3</v>
      </c>
      <c r="V161" s="138">
        <v>192.8</v>
      </c>
      <c r="W161" s="138">
        <v>184.2</v>
      </c>
      <c r="X161" s="138">
        <v>180.8</v>
      </c>
      <c r="Y161" s="138">
        <v>175.9</v>
      </c>
      <c r="Z161" s="138">
        <v>197.5</v>
      </c>
    </row>
    <row r="162" spans="4:26" x14ac:dyDescent="0.3">
      <c r="D162" s="136">
        <v>46</v>
      </c>
      <c r="E162" s="630"/>
      <c r="F162" s="630"/>
      <c r="G162" s="631"/>
      <c r="H162" s="631"/>
      <c r="I162" s="631"/>
      <c r="J162" s="138">
        <v>167.3</v>
      </c>
      <c r="K162" s="138">
        <v>183.8</v>
      </c>
      <c r="L162" s="138">
        <v>184.7</v>
      </c>
      <c r="M162" s="138">
        <v>197.6</v>
      </c>
      <c r="N162" s="138">
        <v>197.2</v>
      </c>
      <c r="O162" s="138">
        <v>195</v>
      </c>
      <c r="P162" s="138">
        <v>187.8</v>
      </c>
      <c r="Q162" s="138">
        <v>187.6</v>
      </c>
      <c r="R162" s="138">
        <v>188.7</v>
      </c>
      <c r="S162" s="138">
        <v>184.6</v>
      </c>
      <c r="T162" s="138">
        <v>175.7</v>
      </c>
      <c r="U162" s="138">
        <v>186.4</v>
      </c>
      <c r="V162" s="138">
        <v>195.6</v>
      </c>
      <c r="W162" s="138">
        <v>186.4</v>
      </c>
      <c r="X162" s="138">
        <v>182.9</v>
      </c>
      <c r="Y162" s="138">
        <v>178.3</v>
      </c>
      <c r="Z162" s="138">
        <v>199</v>
      </c>
    </row>
    <row r="163" spans="4:26" x14ac:dyDescent="0.3">
      <c r="D163" s="136">
        <v>47</v>
      </c>
      <c r="E163" s="630"/>
      <c r="F163" s="630"/>
      <c r="G163" s="631"/>
      <c r="H163" s="631"/>
      <c r="I163" s="631"/>
      <c r="J163" s="138">
        <v>167.7</v>
      </c>
      <c r="K163" s="138">
        <v>186.7</v>
      </c>
      <c r="L163" s="138">
        <v>188.2</v>
      </c>
      <c r="M163" s="138">
        <v>201.3</v>
      </c>
      <c r="N163" s="138">
        <v>198.8</v>
      </c>
      <c r="O163" s="138">
        <v>196.9</v>
      </c>
      <c r="P163" s="138">
        <v>189.1</v>
      </c>
      <c r="Q163" s="138">
        <v>189</v>
      </c>
      <c r="R163" s="138">
        <v>189.9</v>
      </c>
      <c r="S163" s="138">
        <v>186.7</v>
      </c>
      <c r="T163" s="138">
        <v>177.4</v>
      </c>
      <c r="U163" s="138">
        <v>188.7</v>
      </c>
      <c r="V163" s="138">
        <v>197</v>
      </c>
      <c r="W163" s="138">
        <v>188.8</v>
      </c>
      <c r="X163" s="138">
        <v>184.6</v>
      </c>
      <c r="Y163" s="138">
        <v>180.4</v>
      </c>
      <c r="Z163" s="138">
        <v>201.6</v>
      </c>
    </row>
    <row r="164" spans="4:26" x14ac:dyDescent="0.3">
      <c r="D164" s="136">
        <v>48</v>
      </c>
      <c r="E164" s="630"/>
      <c r="F164" s="630"/>
      <c r="G164" s="631"/>
      <c r="H164" s="631"/>
      <c r="I164" s="631"/>
      <c r="J164" s="138">
        <v>170</v>
      </c>
      <c r="K164" s="138">
        <v>189.1</v>
      </c>
      <c r="L164" s="138">
        <v>189.8</v>
      </c>
      <c r="M164" s="138">
        <v>203.4</v>
      </c>
      <c r="N164" s="138">
        <v>202.2</v>
      </c>
      <c r="O164" s="138">
        <v>197.4</v>
      </c>
      <c r="P164" s="138">
        <v>190.4</v>
      </c>
      <c r="Q164" s="138">
        <v>190.3</v>
      </c>
      <c r="R164" s="138">
        <v>192.5</v>
      </c>
      <c r="S164" s="138">
        <v>188.9</v>
      </c>
      <c r="T164" s="138">
        <v>180</v>
      </c>
      <c r="U164" s="138">
        <v>189.8</v>
      </c>
      <c r="V164" s="138">
        <v>197.5</v>
      </c>
      <c r="W164" s="138">
        <v>190</v>
      </c>
      <c r="X164" s="138">
        <v>186.9</v>
      </c>
      <c r="Y164" s="138">
        <v>182.6</v>
      </c>
      <c r="Z164" s="138">
        <v>203.1</v>
      </c>
    </row>
    <row r="165" spans="4:26" x14ac:dyDescent="0.3">
      <c r="D165" s="136">
        <v>49</v>
      </c>
      <c r="E165" s="630"/>
      <c r="F165" s="630"/>
      <c r="G165" s="631"/>
      <c r="H165" s="631"/>
      <c r="I165" s="631"/>
      <c r="J165" s="138">
        <v>170.5</v>
      </c>
      <c r="K165" s="138">
        <v>191.8</v>
      </c>
      <c r="L165" s="138">
        <v>193.7</v>
      </c>
      <c r="M165" s="138">
        <v>205.5</v>
      </c>
      <c r="N165" s="138">
        <v>203.9</v>
      </c>
      <c r="O165" s="138">
        <v>198.5</v>
      </c>
      <c r="P165" s="138">
        <v>193.6</v>
      </c>
      <c r="Q165" s="138">
        <v>193.4</v>
      </c>
      <c r="R165" s="138">
        <v>195.1</v>
      </c>
      <c r="S165" s="138">
        <v>190</v>
      </c>
      <c r="T165" s="138">
        <v>182</v>
      </c>
      <c r="U165" s="138">
        <v>192.2</v>
      </c>
      <c r="V165" s="138">
        <v>199.5</v>
      </c>
      <c r="W165" s="138">
        <v>192.5</v>
      </c>
      <c r="X165" s="138">
        <v>188.9</v>
      </c>
      <c r="Y165" s="138">
        <v>184.3</v>
      </c>
      <c r="Z165" s="138">
        <v>204.5</v>
      </c>
    </row>
    <row r="166" spans="4:26" x14ac:dyDescent="0.3">
      <c r="D166" s="623">
        <v>50</v>
      </c>
      <c r="E166" s="630"/>
      <c r="F166" s="630"/>
      <c r="G166" s="631"/>
      <c r="H166" s="631"/>
      <c r="I166" s="631"/>
      <c r="J166" s="625">
        <v>170.9</v>
      </c>
      <c r="K166" s="625">
        <v>195.8</v>
      </c>
      <c r="L166" s="625">
        <v>196.6</v>
      </c>
      <c r="M166" s="625">
        <v>208.1</v>
      </c>
      <c r="N166" s="625">
        <v>206</v>
      </c>
      <c r="O166" s="625">
        <v>201.6</v>
      </c>
      <c r="P166" s="625">
        <v>196.2</v>
      </c>
      <c r="Q166" s="625">
        <v>196</v>
      </c>
      <c r="R166" s="625">
        <v>196.8</v>
      </c>
      <c r="S166" s="625">
        <v>192.4</v>
      </c>
      <c r="T166" s="625">
        <v>183.8</v>
      </c>
      <c r="U166" s="625">
        <v>194.9</v>
      </c>
      <c r="V166" s="625">
        <v>202.3</v>
      </c>
      <c r="W166" s="625">
        <v>195.3</v>
      </c>
      <c r="X166" s="625">
        <v>190.2</v>
      </c>
      <c r="Y166" s="625">
        <v>186.7</v>
      </c>
      <c r="Z166" s="625">
        <v>206.3</v>
      </c>
    </row>
    <row r="167" spans="4:26" x14ac:dyDescent="0.3">
      <c r="D167" s="136">
        <v>51</v>
      </c>
      <c r="E167" s="630"/>
      <c r="F167" s="630"/>
      <c r="G167" s="631"/>
      <c r="H167" s="631"/>
      <c r="I167" s="631"/>
      <c r="J167" s="138">
        <v>171.1</v>
      </c>
      <c r="K167" s="138">
        <v>197.1</v>
      </c>
      <c r="L167" s="138">
        <v>197.3</v>
      </c>
      <c r="M167" s="138">
        <v>210.6</v>
      </c>
      <c r="N167" s="138">
        <v>208.4</v>
      </c>
      <c r="O167" s="138">
        <v>203.2</v>
      </c>
      <c r="P167" s="138">
        <v>197.1</v>
      </c>
      <c r="Q167" s="138">
        <v>197</v>
      </c>
      <c r="R167" s="138">
        <v>197.3</v>
      </c>
      <c r="S167" s="138">
        <v>195.1</v>
      </c>
      <c r="T167" s="138">
        <v>185.9</v>
      </c>
      <c r="U167" s="138">
        <v>196.8</v>
      </c>
      <c r="V167" s="138">
        <v>203.7</v>
      </c>
      <c r="W167" s="138">
        <v>197.1</v>
      </c>
      <c r="X167" s="138">
        <v>193.1</v>
      </c>
      <c r="Y167" s="138">
        <v>188.9</v>
      </c>
      <c r="Z167" s="138">
        <v>208.2</v>
      </c>
    </row>
    <row r="168" spans="4:26" x14ac:dyDescent="0.3">
      <c r="D168" s="136">
        <v>52</v>
      </c>
      <c r="E168" s="630"/>
      <c r="F168" s="630"/>
      <c r="G168" s="631"/>
      <c r="H168" s="631"/>
      <c r="I168" s="631"/>
      <c r="J168" s="138">
        <v>171.3</v>
      </c>
      <c r="K168" s="138">
        <v>199</v>
      </c>
      <c r="L168" s="138">
        <v>200.3</v>
      </c>
      <c r="M168" s="138">
        <v>213.4</v>
      </c>
      <c r="N168" s="138">
        <v>210.9</v>
      </c>
      <c r="O168" s="138">
        <v>204.9</v>
      </c>
      <c r="P168" s="138">
        <v>197.6</v>
      </c>
      <c r="Q168" s="138">
        <v>197.4</v>
      </c>
      <c r="R168" s="138">
        <v>198.1</v>
      </c>
      <c r="S168" s="138">
        <v>197</v>
      </c>
      <c r="T168" s="138">
        <v>188.5</v>
      </c>
      <c r="U168" s="138">
        <v>197.3</v>
      </c>
      <c r="V168" s="138">
        <v>205.4</v>
      </c>
      <c r="W168" s="138">
        <v>197.6</v>
      </c>
      <c r="X168" s="138">
        <v>195.9</v>
      </c>
      <c r="Y168" s="138">
        <v>190.3</v>
      </c>
      <c r="Z168" s="138">
        <v>210.1</v>
      </c>
    </row>
    <row r="169" spans="4:26" x14ac:dyDescent="0.3">
      <c r="D169" s="136">
        <v>53</v>
      </c>
      <c r="E169" s="630"/>
      <c r="F169" s="630"/>
      <c r="G169" s="631"/>
      <c r="H169" s="631"/>
      <c r="I169" s="631"/>
      <c r="J169" s="138">
        <v>171.5</v>
      </c>
      <c r="K169" s="138">
        <v>202.6</v>
      </c>
      <c r="L169" s="138">
        <v>203</v>
      </c>
      <c r="M169" s="138">
        <v>216.2</v>
      </c>
      <c r="N169" s="138">
        <v>213.5</v>
      </c>
      <c r="O169" s="138">
        <v>207</v>
      </c>
      <c r="P169" s="138">
        <v>199.8</v>
      </c>
      <c r="Q169" s="138">
        <v>199.6</v>
      </c>
      <c r="R169" s="138">
        <v>201.3</v>
      </c>
      <c r="S169" s="138">
        <v>197.5</v>
      </c>
      <c r="T169" s="138">
        <v>189.6</v>
      </c>
      <c r="U169" s="138">
        <v>198</v>
      </c>
      <c r="V169" s="138">
        <v>207.7</v>
      </c>
      <c r="W169" s="138">
        <v>198.8</v>
      </c>
      <c r="X169" s="138">
        <v>197.1</v>
      </c>
      <c r="Y169" s="138">
        <v>193.7</v>
      </c>
      <c r="Z169" s="138">
        <v>212.2</v>
      </c>
    </row>
    <row r="170" spans="4:26" x14ac:dyDescent="0.3">
      <c r="D170" s="136">
        <v>54</v>
      </c>
      <c r="E170" s="630"/>
      <c r="F170" s="630"/>
      <c r="G170" s="631"/>
      <c r="H170" s="631"/>
      <c r="I170" s="631"/>
      <c r="J170" s="138">
        <v>171.7</v>
      </c>
      <c r="K170" s="138">
        <v>204.8</v>
      </c>
      <c r="L170" s="138">
        <v>205.3</v>
      </c>
      <c r="M170" s="138">
        <v>217.1</v>
      </c>
      <c r="N170" s="138">
        <v>216.3</v>
      </c>
      <c r="O170" s="138">
        <v>209</v>
      </c>
      <c r="P170" s="138">
        <v>202.4</v>
      </c>
      <c r="Q170" s="138">
        <v>202.3</v>
      </c>
      <c r="R170" s="138">
        <v>203.1</v>
      </c>
      <c r="S170" s="138">
        <v>198.1</v>
      </c>
      <c r="T170" s="138">
        <v>191.8</v>
      </c>
      <c r="U170" s="138">
        <v>201.3</v>
      </c>
      <c r="V170" s="138">
        <v>209.9</v>
      </c>
      <c r="W170" s="138">
        <v>201.9</v>
      </c>
      <c r="X170" s="138">
        <v>197.6</v>
      </c>
      <c r="Y170" s="138">
        <v>196.4</v>
      </c>
      <c r="Z170" s="138">
        <v>214.2</v>
      </c>
    </row>
    <row r="171" spans="4:26" x14ac:dyDescent="0.3">
      <c r="D171" s="136">
        <v>55</v>
      </c>
      <c r="E171" s="630"/>
      <c r="F171" s="630"/>
      <c r="G171" s="631"/>
      <c r="H171" s="631"/>
      <c r="I171" s="631"/>
      <c r="J171" s="138">
        <v>171.9</v>
      </c>
      <c r="K171" s="138">
        <v>207.7</v>
      </c>
      <c r="L171" s="138">
        <v>208.2</v>
      </c>
      <c r="M171" s="138">
        <v>219.4</v>
      </c>
      <c r="N171" s="138">
        <v>217.2</v>
      </c>
      <c r="O171" s="138">
        <v>211.1</v>
      </c>
      <c r="P171" s="138">
        <v>203.8</v>
      </c>
      <c r="Q171" s="138">
        <v>203.6</v>
      </c>
      <c r="R171" s="138">
        <v>204.7</v>
      </c>
      <c r="S171" s="138">
        <v>201.4</v>
      </c>
      <c r="T171" s="138">
        <v>194.9</v>
      </c>
      <c r="U171" s="138">
        <v>203.1</v>
      </c>
      <c r="V171" s="138">
        <v>212.3</v>
      </c>
      <c r="W171" s="138">
        <v>203.5</v>
      </c>
      <c r="X171" s="138">
        <v>199.5</v>
      </c>
      <c r="Y171" s="138">
        <v>197.2</v>
      </c>
      <c r="Z171" s="138">
        <v>216.5</v>
      </c>
    </row>
    <row r="172" spans="4:26" x14ac:dyDescent="0.3">
      <c r="D172" s="136">
        <v>56</v>
      </c>
      <c r="E172" s="630"/>
      <c r="F172" s="630"/>
      <c r="G172" s="631"/>
      <c r="H172" s="631"/>
      <c r="I172" s="631"/>
      <c r="J172" s="138">
        <v>172.1</v>
      </c>
      <c r="K172" s="138">
        <v>210.7</v>
      </c>
      <c r="L172" s="138">
        <v>211.1</v>
      </c>
      <c r="M172" s="138">
        <v>222.1</v>
      </c>
      <c r="N172" s="138">
        <v>219.5</v>
      </c>
      <c r="O172" s="138">
        <v>213.6</v>
      </c>
      <c r="P172" s="138">
        <v>205.5</v>
      </c>
      <c r="Q172" s="138">
        <v>205.4</v>
      </c>
      <c r="R172" s="138">
        <v>206.8</v>
      </c>
      <c r="S172" s="138">
        <v>203.2</v>
      </c>
      <c r="T172" s="138">
        <v>196.9</v>
      </c>
      <c r="U172" s="138">
        <v>204.7</v>
      </c>
      <c r="V172" s="138">
        <v>214.7</v>
      </c>
      <c r="W172" s="138">
        <v>205.2</v>
      </c>
      <c r="X172" s="138">
        <v>202.3</v>
      </c>
      <c r="Y172" s="138">
        <v>197.7</v>
      </c>
      <c r="Z172" s="138">
        <v>217.2</v>
      </c>
    </row>
    <row r="173" spans="4:26" x14ac:dyDescent="0.3">
      <c r="D173" s="136">
        <v>57</v>
      </c>
      <c r="E173" s="630"/>
      <c r="F173" s="630"/>
      <c r="G173" s="631"/>
      <c r="H173" s="631"/>
      <c r="I173" s="631"/>
      <c r="J173" s="138">
        <v>175</v>
      </c>
      <c r="K173" s="138">
        <v>213.9</v>
      </c>
      <c r="L173" s="138">
        <v>214.1</v>
      </c>
      <c r="M173" s="138">
        <v>225.2</v>
      </c>
      <c r="N173" s="138">
        <v>222</v>
      </c>
      <c r="O173" s="138">
        <v>216.1</v>
      </c>
      <c r="P173" s="138">
        <v>207.8</v>
      </c>
      <c r="Q173" s="138">
        <v>207.7</v>
      </c>
      <c r="R173" s="138">
        <v>208.8</v>
      </c>
      <c r="S173" s="138">
        <v>204.9</v>
      </c>
      <c r="T173" s="138">
        <v>197.4</v>
      </c>
      <c r="U173" s="138">
        <v>206.9</v>
      </c>
      <c r="V173" s="138">
        <v>216.8</v>
      </c>
      <c r="W173" s="138">
        <v>207.6</v>
      </c>
      <c r="X173" s="138">
        <v>203.7</v>
      </c>
      <c r="Y173" s="138">
        <v>200.9</v>
      </c>
      <c r="Z173" s="138">
        <v>217.9</v>
      </c>
    </row>
    <row r="174" spans="4:26" x14ac:dyDescent="0.3">
      <c r="D174" s="136">
        <v>58</v>
      </c>
      <c r="E174" s="630"/>
      <c r="F174" s="630"/>
      <c r="G174" s="631"/>
      <c r="H174" s="631"/>
      <c r="I174" s="631"/>
      <c r="J174" s="138">
        <v>176.2</v>
      </c>
      <c r="K174" s="138">
        <v>216.7</v>
      </c>
      <c r="L174" s="138">
        <v>216.8</v>
      </c>
      <c r="M174" s="138">
        <v>227.8</v>
      </c>
      <c r="N174" s="138">
        <v>225.1</v>
      </c>
      <c r="O174" s="138">
        <v>217.1</v>
      </c>
      <c r="P174" s="138">
        <v>209.9</v>
      </c>
      <c r="Q174" s="138">
        <v>209.8</v>
      </c>
      <c r="R174" s="138">
        <v>211</v>
      </c>
      <c r="S174" s="138">
        <v>207</v>
      </c>
      <c r="T174" s="138">
        <v>198.7</v>
      </c>
      <c r="U174" s="138">
        <v>208.9</v>
      </c>
      <c r="V174" s="138">
        <v>217.4</v>
      </c>
      <c r="W174" s="138">
        <v>209.7</v>
      </c>
      <c r="X174" s="138">
        <v>205.4</v>
      </c>
      <c r="Y174" s="138">
        <v>203</v>
      </c>
      <c r="Z174" s="138">
        <v>219.9</v>
      </c>
    </row>
    <row r="175" spans="4:26" x14ac:dyDescent="0.3">
      <c r="D175" s="136">
        <v>59</v>
      </c>
      <c r="E175" s="630"/>
      <c r="F175" s="630"/>
      <c r="G175" s="631"/>
      <c r="H175" s="631"/>
      <c r="I175" s="631"/>
      <c r="J175" s="138">
        <v>176.8</v>
      </c>
      <c r="K175" s="138">
        <v>218.3</v>
      </c>
      <c r="L175" s="138">
        <v>218.4</v>
      </c>
      <c r="M175" s="138">
        <v>230.1</v>
      </c>
      <c r="N175" s="138">
        <v>227.6</v>
      </c>
      <c r="O175" s="138">
        <v>218.5</v>
      </c>
      <c r="P175" s="138">
        <v>212.2</v>
      </c>
      <c r="Q175" s="138">
        <v>212.1</v>
      </c>
      <c r="R175" s="138">
        <v>213.4</v>
      </c>
      <c r="S175" s="138">
        <v>209</v>
      </c>
      <c r="T175" s="138">
        <v>202</v>
      </c>
      <c r="U175" s="138">
        <v>211.1</v>
      </c>
      <c r="V175" s="138">
        <v>219.5</v>
      </c>
      <c r="W175" s="138">
        <v>212</v>
      </c>
      <c r="X175" s="138">
        <v>207.8</v>
      </c>
      <c r="Y175" s="138">
        <v>204.7</v>
      </c>
      <c r="Z175" s="138">
        <v>221.7</v>
      </c>
    </row>
    <row r="176" spans="4:26" x14ac:dyDescent="0.3">
      <c r="D176" s="623">
        <v>60</v>
      </c>
      <c r="E176" s="630"/>
      <c r="F176" s="630"/>
      <c r="G176" s="631"/>
      <c r="H176" s="631"/>
      <c r="I176" s="631"/>
      <c r="J176" s="625">
        <v>179.6</v>
      </c>
      <c r="K176" s="625">
        <v>221.3</v>
      </c>
      <c r="L176" s="625">
        <v>221.3</v>
      </c>
      <c r="M176" s="625">
        <v>232.8</v>
      </c>
      <c r="N176" s="625">
        <v>229.8</v>
      </c>
      <c r="O176" s="625">
        <v>220.4</v>
      </c>
      <c r="P176" s="625">
        <v>214.6</v>
      </c>
      <c r="Q176" s="625">
        <v>214.5</v>
      </c>
      <c r="R176" s="625">
        <v>216</v>
      </c>
      <c r="S176" s="625">
        <v>211.1</v>
      </c>
      <c r="T176" s="625">
        <v>203.6</v>
      </c>
      <c r="U176" s="625">
        <v>213.6</v>
      </c>
      <c r="V176" s="625">
        <v>221.3</v>
      </c>
      <c r="W176" s="625">
        <v>214.5</v>
      </c>
      <c r="X176" s="625">
        <v>210</v>
      </c>
      <c r="Y176" s="625">
        <v>206.9</v>
      </c>
      <c r="Z176" s="625">
        <v>224.1</v>
      </c>
    </row>
    <row r="177" spans="4:26" x14ac:dyDescent="0.3">
      <c r="D177" s="136">
        <v>61</v>
      </c>
      <c r="E177" s="630"/>
      <c r="F177" s="630"/>
      <c r="G177" s="631"/>
      <c r="H177" s="631"/>
      <c r="I177" s="631"/>
      <c r="J177" s="138">
        <v>183.6</v>
      </c>
      <c r="K177" s="138">
        <v>225.1</v>
      </c>
      <c r="L177" s="138">
        <v>224.9</v>
      </c>
      <c r="M177" s="138">
        <v>235.6</v>
      </c>
      <c r="N177" s="138">
        <v>232.2</v>
      </c>
      <c r="O177" s="138">
        <v>223.1</v>
      </c>
      <c r="P177" s="138">
        <v>216.8</v>
      </c>
      <c r="Q177" s="138">
        <v>216.7</v>
      </c>
      <c r="R177" s="138">
        <v>217</v>
      </c>
      <c r="S177" s="138">
        <v>213.6</v>
      </c>
      <c r="T177" s="138">
        <v>205.4</v>
      </c>
      <c r="U177" s="138">
        <v>216.3</v>
      </c>
      <c r="V177" s="138">
        <v>224</v>
      </c>
      <c r="W177" s="138">
        <v>216.8</v>
      </c>
      <c r="X177" s="138">
        <v>212.4</v>
      </c>
      <c r="Y177" s="138">
        <v>209.2</v>
      </c>
      <c r="Z177" s="138">
        <v>226.3</v>
      </c>
    </row>
    <row r="178" spans="4:26" x14ac:dyDescent="0.3">
      <c r="D178" s="136">
        <v>62</v>
      </c>
      <c r="E178" s="630"/>
      <c r="F178" s="630"/>
      <c r="G178" s="631"/>
      <c r="H178" s="631"/>
      <c r="I178" s="631"/>
      <c r="J178" s="138">
        <v>188</v>
      </c>
      <c r="K178" s="138">
        <v>228.1</v>
      </c>
      <c r="L178" s="138">
        <v>227.9</v>
      </c>
      <c r="M178" s="138">
        <v>236.7</v>
      </c>
      <c r="N178" s="138">
        <v>235.6</v>
      </c>
      <c r="O178" s="138">
        <v>225.6</v>
      </c>
      <c r="P178" s="138">
        <v>217.4</v>
      </c>
      <c r="Q178" s="138">
        <v>217.3</v>
      </c>
      <c r="R178" s="138">
        <v>218</v>
      </c>
      <c r="S178" s="138">
        <v>216.3</v>
      </c>
      <c r="T178" s="138">
        <v>207.9</v>
      </c>
      <c r="U178" s="138">
        <v>217.1</v>
      </c>
      <c r="V178" s="138">
        <v>226.6</v>
      </c>
      <c r="W178" s="138">
        <v>217.5</v>
      </c>
      <c r="X178" s="138">
        <v>214.9</v>
      </c>
      <c r="Y178" s="138">
        <v>211.5</v>
      </c>
      <c r="Z178" s="138">
        <v>228.4</v>
      </c>
    </row>
    <row r="179" spans="4:26" x14ac:dyDescent="0.3">
      <c r="D179" s="136">
        <v>63</v>
      </c>
      <c r="E179" s="630"/>
      <c r="F179" s="630"/>
      <c r="G179" s="631"/>
      <c r="H179" s="631"/>
      <c r="I179" s="631"/>
      <c r="J179" s="138">
        <v>190.6</v>
      </c>
      <c r="K179" s="138">
        <v>230.7</v>
      </c>
      <c r="L179" s="138">
        <v>230.4</v>
      </c>
      <c r="M179" s="138">
        <v>239.9</v>
      </c>
      <c r="N179" s="138">
        <v>236.5</v>
      </c>
      <c r="O179" s="138">
        <v>228</v>
      </c>
      <c r="P179" s="138">
        <v>219.5</v>
      </c>
      <c r="Q179" s="138">
        <v>219.4</v>
      </c>
      <c r="R179" s="138">
        <v>220</v>
      </c>
      <c r="S179" s="138">
        <v>217.2</v>
      </c>
      <c r="T179" s="138">
        <v>210.2</v>
      </c>
      <c r="U179" s="138">
        <v>218.5</v>
      </c>
      <c r="V179" s="138">
        <v>228.8</v>
      </c>
      <c r="W179" s="138">
        <v>219.5</v>
      </c>
      <c r="X179" s="138">
        <v>216.9</v>
      </c>
      <c r="Y179" s="138">
        <v>214.2</v>
      </c>
      <c r="Z179" s="138">
        <v>230.2</v>
      </c>
    </row>
    <row r="180" spans="4:26" x14ac:dyDescent="0.3">
      <c r="D180" s="136">
        <v>64</v>
      </c>
      <c r="E180" s="630"/>
      <c r="F180" s="630"/>
      <c r="G180" s="631"/>
      <c r="H180" s="631"/>
      <c r="I180" s="631"/>
      <c r="J180" s="138">
        <v>196.6</v>
      </c>
      <c r="K180" s="138">
        <v>234.9</v>
      </c>
      <c r="L180" s="138">
        <v>234</v>
      </c>
      <c r="M180" s="138">
        <v>243.5</v>
      </c>
      <c r="N180" s="138">
        <v>239.3</v>
      </c>
      <c r="O180" s="138">
        <v>230</v>
      </c>
      <c r="P180" s="138">
        <v>221.5</v>
      </c>
      <c r="Q180" s="138">
        <v>221.4</v>
      </c>
      <c r="R180" s="138">
        <v>222.6</v>
      </c>
      <c r="S180" s="138">
        <v>218.5</v>
      </c>
      <c r="T180" s="138">
        <v>212.8</v>
      </c>
      <c r="U180" s="138">
        <v>220.3</v>
      </c>
      <c r="V180" s="138">
        <v>230.8</v>
      </c>
      <c r="W180" s="138">
        <v>221.2</v>
      </c>
      <c r="X180" s="138">
        <v>217.5</v>
      </c>
      <c r="Y180" s="138">
        <v>216.7</v>
      </c>
      <c r="Z180" s="138">
        <v>231.8</v>
      </c>
    </row>
    <row r="181" spans="4:26" x14ac:dyDescent="0.3">
      <c r="D181" s="136">
        <v>65</v>
      </c>
      <c r="E181" s="630"/>
      <c r="F181" s="630"/>
      <c r="G181" s="631"/>
      <c r="H181" s="631"/>
      <c r="I181" s="631"/>
      <c r="J181" s="138">
        <v>199.7</v>
      </c>
      <c r="K181" s="138">
        <v>236.3</v>
      </c>
      <c r="L181" s="138">
        <v>236.1</v>
      </c>
      <c r="M181" s="138">
        <v>246.6</v>
      </c>
      <c r="N181" s="138">
        <v>242.8</v>
      </c>
      <c r="O181" s="138">
        <v>232.1</v>
      </c>
      <c r="P181" s="138">
        <v>224.3</v>
      </c>
      <c r="Q181" s="138">
        <v>224.2</v>
      </c>
      <c r="R181" s="138">
        <v>225.3</v>
      </c>
      <c r="S181" s="138">
        <v>220.4</v>
      </c>
      <c r="T181" s="138">
        <v>215.6</v>
      </c>
      <c r="U181" s="138">
        <v>223</v>
      </c>
      <c r="V181" s="138">
        <v>233.2</v>
      </c>
      <c r="W181" s="138">
        <v>224</v>
      </c>
      <c r="X181" s="138">
        <v>219.7</v>
      </c>
      <c r="Y181" s="138">
        <v>217.4</v>
      </c>
      <c r="Z181" s="138">
        <v>234.9</v>
      </c>
    </row>
    <row r="182" spans="4:26" x14ac:dyDescent="0.3">
      <c r="D182" s="136">
        <v>66</v>
      </c>
      <c r="E182" s="630"/>
      <c r="F182" s="630"/>
      <c r="G182" s="631"/>
      <c r="H182" s="631"/>
      <c r="I182" s="631"/>
      <c r="J182" s="138">
        <v>204.5</v>
      </c>
      <c r="K182" s="138">
        <v>239.4</v>
      </c>
      <c r="L182" s="138">
        <v>238.4</v>
      </c>
      <c r="M182" s="138">
        <v>249.5</v>
      </c>
      <c r="N182" s="138">
        <v>246</v>
      </c>
      <c r="O182" s="138">
        <v>235.5</v>
      </c>
      <c r="P182" s="138">
        <v>226.8</v>
      </c>
      <c r="Q182" s="138">
        <v>226.8</v>
      </c>
      <c r="R182" s="138">
        <v>227.7</v>
      </c>
      <c r="S182" s="138">
        <v>223.1</v>
      </c>
      <c r="T182" s="138">
        <v>217</v>
      </c>
      <c r="U182" s="138">
        <v>225.6</v>
      </c>
      <c r="V182" s="138">
        <v>235.9</v>
      </c>
      <c r="W182" s="138">
        <v>226.7</v>
      </c>
      <c r="X182" s="138">
        <v>221.6</v>
      </c>
      <c r="Y182" s="138">
        <v>219.6</v>
      </c>
      <c r="Z182" s="138">
        <v>236.1</v>
      </c>
    </row>
    <row r="183" spans="4:26" x14ac:dyDescent="0.3">
      <c r="D183" s="136">
        <v>67</v>
      </c>
      <c r="E183" s="630"/>
      <c r="F183" s="630"/>
      <c r="G183" s="631"/>
      <c r="H183" s="631"/>
      <c r="I183" s="631"/>
      <c r="J183" s="138">
        <v>209.8</v>
      </c>
      <c r="K183" s="138">
        <v>243.5</v>
      </c>
      <c r="L183" s="138">
        <v>242.6</v>
      </c>
      <c r="M183" s="138">
        <v>253.1</v>
      </c>
      <c r="N183" s="138">
        <v>248.9</v>
      </c>
      <c r="O183" s="138">
        <v>236.3</v>
      </c>
      <c r="P183" s="138">
        <v>229</v>
      </c>
      <c r="Q183" s="138">
        <v>229</v>
      </c>
      <c r="R183" s="138">
        <v>229.8</v>
      </c>
      <c r="S183" s="138">
        <v>225.7</v>
      </c>
      <c r="T183" s="138">
        <v>217.9</v>
      </c>
      <c r="U183" s="138">
        <v>228.2</v>
      </c>
      <c r="V183" s="138">
        <v>236.6</v>
      </c>
      <c r="W183" s="138">
        <v>229</v>
      </c>
      <c r="X183" s="138">
        <v>224.5</v>
      </c>
      <c r="Y183" s="138">
        <v>221.7</v>
      </c>
      <c r="Z183" s="138">
        <v>236.8</v>
      </c>
    </row>
    <row r="184" spans="4:26" x14ac:dyDescent="0.3">
      <c r="D184" s="136">
        <v>68</v>
      </c>
      <c r="E184" s="630"/>
      <c r="F184" s="630"/>
      <c r="G184" s="631"/>
      <c r="H184" s="631"/>
      <c r="I184" s="631"/>
      <c r="J184" s="138">
        <v>215.5</v>
      </c>
      <c r="K184" s="138">
        <v>247.2</v>
      </c>
      <c r="L184" s="138">
        <v>246.2</v>
      </c>
      <c r="M184" s="138">
        <v>254.9</v>
      </c>
      <c r="N184" s="138">
        <v>252</v>
      </c>
      <c r="O184" s="138">
        <v>238</v>
      </c>
      <c r="P184" s="138">
        <v>230.9</v>
      </c>
      <c r="Q184" s="138">
        <v>230.9</v>
      </c>
      <c r="R184" s="138">
        <v>231.8</v>
      </c>
      <c r="S184" s="138">
        <v>228.3</v>
      </c>
      <c r="T184" s="138">
        <v>220.2</v>
      </c>
      <c r="U184" s="138">
        <v>230.2</v>
      </c>
      <c r="V184" s="138">
        <v>239</v>
      </c>
      <c r="W184" s="138">
        <v>230.9</v>
      </c>
      <c r="X184" s="138">
        <v>227.1</v>
      </c>
      <c r="Y184" s="138">
        <v>224.7</v>
      </c>
      <c r="Z184" s="138">
        <v>239.3</v>
      </c>
    </row>
    <row r="185" spans="4:26" x14ac:dyDescent="0.3">
      <c r="D185" s="136">
        <v>69</v>
      </c>
      <c r="E185" s="630"/>
      <c r="F185" s="630"/>
      <c r="G185" s="631"/>
      <c r="H185" s="631"/>
      <c r="I185" s="631"/>
      <c r="J185" s="138">
        <v>219</v>
      </c>
      <c r="K185" s="138">
        <v>250.7</v>
      </c>
      <c r="L185" s="138">
        <v>249.6</v>
      </c>
      <c r="M185" s="138">
        <v>257.10000000000002</v>
      </c>
      <c r="N185" s="138">
        <v>254.8</v>
      </c>
      <c r="O185" s="138">
        <v>241.1</v>
      </c>
      <c r="P185" s="138">
        <v>234</v>
      </c>
      <c r="Q185" s="138">
        <v>234.1</v>
      </c>
      <c r="R185" s="138">
        <v>235.3</v>
      </c>
      <c r="S185" s="138">
        <v>230.3</v>
      </c>
      <c r="T185" s="138">
        <v>223.2</v>
      </c>
      <c r="U185" s="138">
        <v>232.6</v>
      </c>
      <c r="V185" s="138">
        <v>242.2</v>
      </c>
      <c r="W185" s="138">
        <v>233.7</v>
      </c>
      <c r="X185" s="138">
        <v>229.4</v>
      </c>
      <c r="Y185" s="138">
        <v>227.3</v>
      </c>
      <c r="Z185" s="138">
        <v>242.2</v>
      </c>
    </row>
    <row r="186" spans="4:26" x14ac:dyDescent="0.3">
      <c r="D186" s="623">
        <v>70</v>
      </c>
      <c r="E186" s="630"/>
      <c r="F186" s="630"/>
      <c r="G186" s="631"/>
      <c r="H186" s="631"/>
      <c r="I186" s="631"/>
      <c r="J186" s="625">
        <v>225</v>
      </c>
      <c r="K186" s="625">
        <v>254.5</v>
      </c>
      <c r="L186" s="625">
        <v>253.6</v>
      </c>
      <c r="M186" s="625">
        <v>260.89999999999998</v>
      </c>
      <c r="N186" s="625">
        <v>256.3</v>
      </c>
      <c r="O186" s="625">
        <v>244.6</v>
      </c>
      <c r="P186" s="625">
        <v>236.1</v>
      </c>
      <c r="Q186" s="625">
        <v>236</v>
      </c>
      <c r="R186" s="625">
        <v>236.2</v>
      </c>
      <c r="S186" s="625">
        <v>232.8</v>
      </c>
      <c r="T186" s="625">
        <v>226</v>
      </c>
      <c r="U186" s="625">
        <v>235.6</v>
      </c>
      <c r="V186" s="625">
        <v>245.6</v>
      </c>
      <c r="W186" s="625">
        <v>236.1</v>
      </c>
      <c r="X186" s="625">
        <v>231.3</v>
      </c>
      <c r="Y186" s="625">
        <v>229.7</v>
      </c>
      <c r="Z186" s="625">
        <v>245.3</v>
      </c>
    </row>
    <row r="187" spans="4:26" x14ac:dyDescent="0.3">
      <c r="D187" s="136">
        <v>71</v>
      </c>
      <c r="E187" s="630"/>
      <c r="F187" s="630"/>
      <c r="G187" s="631"/>
      <c r="H187" s="631"/>
      <c r="I187" s="631"/>
      <c r="J187" s="138">
        <v>230.1</v>
      </c>
      <c r="K187" s="138">
        <v>256.2</v>
      </c>
      <c r="L187" s="138">
        <v>255.3</v>
      </c>
      <c r="M187" s="138">
        <v>264.2</v>
      </c>
      <c r="N187" s="138">
        <v>259.8</v>
      </c>
      <c r="O187" s="138">
        <v>247.4</v>
      </c>
      <c r="P187" s="138">
        <v>236.9</v>
      </c>
      <c r="Q187" s="138">
        <v>236.9</v>
      </c>
      <c r="R187" s="138">
        <v>237.8</v>
      </c>
      <c r="S187" s="138">
        <v>235.8</v>
      </c>
      <c r="T187" s="138">
        <v>228.7</v>
      </c>
      <c r="U187" s="138">
        <v>236.4</v>
      </c>
      <c r="V187" s="138">
        <v>248.5</v>
      </c>
      <c r="W187" s="138">
        <v>236.9</v>
      </c>
      <c r="X187" s="138">
        <v>234.6</v>
      </c>
      <c r="Y187" s="138">
        <v>231.7</v>
      </c>
      <c r="Z187" s="138">
        <v>247.9</v>
      </c>
    </row>
    <row r="188" spans="4:26" x14ac:dyDescent="0.3">
      <c r="D188" s="136">
        <v>72</v>
      </c>
      <c r="E188" s="630"/>
      <c r="F188" s="630"/>
      <c r="G188" s="631"/>
      <c r="H188" s="631"/>
      <c r="I188" s="631"/>
      <c r="J188" s="138">
        <v>235.7</v>
      </c>
      <c r="K188" s="138">
        <v>260.39999999999998</v>
      </c>
      <c r="L188" s="138">
        <v>258.7</v>
      </c>
      <c r="M188" s="138">
        <v>266.8</v>
      </c>
      <c r="N188" s="138">
        <v>263.60000000000002</v>
      </c>
      <c r="O188" s="138">
        <v>250.3</v>
      </c>
      <c r="P188" s="138">
        <v>239.8</v>
      </c>
      <c r="Q188" s="138">
        <v>239.9</v>
      </c>
      <c r="R188" s="138">
        <v>240.9</v>
      </c>
      <c r="S188" s="138">
        <v>236.6</v>
      </c>
      <c r="T188" s="138">
        <v>230.8</v>
      </c>
      <c r="U188" s="138">
        <v>238.7</v>
      </c>
      <c r="V188" s="138">
        <v>251.1</v>
      </c>
      <c r="W188" s="138">
        <v>239.8</v>
      </c>
      <c r="X188" s="138">
        <v>236.2</v>
      </c>
      <c r="Y188" s="138">
        <v>235.4</v>
      </c>
      <c r="Z188" s="138">
        <v>250.4</v>
      </c>
    </row>
    <row r="189" spans="4:26" x14ac:dyDescent="0.3">
      <c r="D189" s="136">
        <v>73</v>
      </c>
      <c r="E189" s="630"/>
      <c r="F189" s="630"/>
      <c r="G189" s="631"/>
      <c r="H189" s="631"/>
      <c r="I189" s="631"/>
      <c r="J189" s="138">
        <v>240</v>
      </c>
      <c r="K189" s="138">
        <v>264.39999999999998</v>
      </c>
      <c r="L189" s="138">
        <v>263</v>
      </c>
      <c r="M189" s="138">
        <v>270.7</v>
      </c>
      <c r="N189" s="138">
        <v>266</v>
      </c>
      <c r="O189" s="138">
        <v>253.8</v>
      </c>
      <c r="P189" s="138">
        <v>243.3</v>
      </c>
      <c r="Q189" s="138">
        <v>243.4</v>
      </c>
      <c r="R189" s="138">
        <v>244.5</v>
      </c>
      <c r="S189" s="138">
        <v>239</v>
      </c>
      <c r="T189" s="138">
        <v>234.3</v>
      </c>
      <c r="U189" s="138">
        <v>242.2</v>
      </c>
      <c r="V189" s="138">
        <v>254.4</v>
      </c>
      <c r="W189" s="138">
        <v>243.3</v>
      </c>
      <c r="X189" s="138">
        <v>237.5</v>
      </c>
      <c r="Y189" s="138">
        <v>236.4</v>
      </c>
      <c r="Z189" s="138">
        <v>253.3</v>
      </c>
    </row>
    <row r="190" spans="4:26" x14ac:dyDescent="0.3">
      <c r="D190" s="139">
        <v>74</v>
      </c>
      <c r="E190" s="632"/>
      <c r="F190" s="632"/>
      <c r="G190" s="633"/>
      <c r="H190" s="633"/>
      <c r="I190" s="633"/>
      <c r="J190" s="123">
        <v>246.8</v>
      </c>
      <c r="K190" s="123">
        <v>267.60000000000002</v>
      </c>
      <c r="L190" s="123">
        <v>265.89999999999998</v>
      </c>
      <c r="M190" s="123">
        <v>272.39999999999998</v>
      </c>
      <c r="N190" s="123">
        <v>269.8</v>
      </c>
      <c r="O190" s="123">
        <v>255.2</v>
      </c>
      <c r="P190" s="123">
        <v>246.5</v>
      </c>
      <c r="Q190" s="123">
        <v>246.6</v>
      </c>
      <c r="R190" s="123">
        <v>247.5</v>
      </c>
      <c r="S190" s="123">
        <v>242.6</v>
      </c>
      <c r="T190" s="123">
        <v>236.1</v>
      </c>
      <c r="U190" s="123">
        <v>245.8</v>
      </c>
      <c r="V190" s="123">
        <v>255.5</v>
      </c>
      <c r="W190" s="123">
        <v>246.6</v>
      </c>
      <c r="X190" s="123">
        <v>240.6</v>
      </c>
      <c r="Y190" s="123">
        <v>238.5</v>
      </c>
      <c r="Z190" s="123">
        <v>255</v>
      </c>
    </row>
    <row r="191" spans="4:26" x14ac:dyDescent="0.3">
      <c r="D191" s="136">
        <v>75</v>
      </c>
      <c r="E191" s="630"/>
      <c r="F191" s="630"/>
      <c r="G191" s="634"/>
      <c r="H191" s="634"/>
      <c r="I191" s="634"/>
      <c r="J191" s="121">
        <v>253.2</v>
      </c>
      <c r="K191" s="121">
        <v>271.60000000000002</v>
      </c>
      <c r="L191" s="121">
        <v>269.89999999999998</v>
      </c>
      <c r="M191" s="121">
        <v>276.39999999999998</v>
      </c>
      <c r="N191" s="121">
        <v>272.10000000000002</v>
      </c>
      <c r="O191" s="121">
        <v>257.3</v>
      </c>
      <c r="P191" s="121">
        <v>249.5</v>
      </c>
      <c r="Q191" s="121">
        <v>249.6</v>
      </c>
      <c r="R191" s="121">
        <v>250.4</v>
      </c>
      <c r="S191" s="121">
        <v>246</v>
      </c>
      <c r="T191" s="121">
        <v>237.5</v>
      </c>
      <c r="U191" s="121">
        <v>248.8</v>
      </c>
      <c r="V191" s="121">
        <v>258</v>
      </c>
      <c r="W191" s="121">
        <v>249.7</v>
      </c>
      <c r="X191" s="121">
        <v>244.4</v>
      </c>
      <c r="Y191" s="121">
        <v>242.2</v>
      </c>
      <c r="Z191" s="121">
        <v>256.10000000000002</v>
      </c>
    </row>
    <row r="192" spans="4:26" x14ac:dyDescent="0.3">
      <c r="D192" s="136">
        <v>76</v>
      </c>
      <c r="E192" s="630"/>
      <c r="F192" s="630"/>
      <c r="G192" s="634"/>
      <c r="H192" s="634"/>
      <c r="I192" s="634"/>
      <c r="J192" s="121">
        <v>257</v>
      </c>
      <c r="K192" s="121">
        <v>274.39999999999998</v>
      </c>
      <c r="L192" s="121">
        <v>272.3</v>
      </c>
      <c r="M192" s="121">
        <v>280.2</v>
      </c>
      <c r="N192" s="121">
        <v>275.5</v>
      </c>
      <c r="O192" s="121">
        <v>261.2</v>
      </c>
      <c r="P192" s="121">
        <v>252.9</v>
      </c>
      <c r="Q192" s="121">
        <v>253.1</v>
      </c>
      <c r="R192" s="121">
        <v>253.9</v>
      </c>
      <c r="S192" s="121">
        <v>249</v>
      </c>
      <c r="T192" s="121">
        <v>241</v>
      </c>
      <c r="U192" s="121">
        <v>251.8</v>
      </c>
      <c r="V192" s="121">
        <v>262</v>
      </c>
      <c r="W192" s="121">
        <v>253</v>
      </c>
      <c r="X192" s="121">
        <v>247.8</v>
      </c>
      <c r="Y192" s="121">
        <v>245.9</v>
      </c>
      <c r="Z192" s="121">
        <v>259.39999999999998</v>
      </c>
    </row>
    <row r="193" spans="4:26" x14ac:dyDescent="0.3">
      <c r="D193" s="136">
        <v>77</v>
      </c>
      <c r="E193" s="630"/>
      <c r="F193" s="630"/>
      <c r="G193" s="634"/>
      <c r="H193" s="634"/>
      <c r="I193" s="634"/>
      <c r="J193" s="121">
        <v>264</v>
      </c>
      <c r="K193" s="121">
        <v>279.3</v>
      </c>
      <c r="L193" s="121">
        <v>276.60000000000002</v>
      </c>
      <c r="M193" s="121">
        <v>283.60000000000002</v>
      </c>
      <c r="N193" s="121">
        <v>279.60000000000002</v>
      </c>
      <c r="O193" s="121">
        <v>264.60000000000002</v>
      </c>
      <c r="P193" s="121">
        <v>255</v>
      </c>
      <c r="Q193" s="121">
        <v>255</v>
      </c>
      <c r="R193" s="121">
        <v>255.2</v>
      </c>
      <c r="S193" s="121">
        <v>252.3</v>
      </c>
      <c r="T193" s="121">
        <v>245.2</v>
      </c>
      <c r="U193" s="121">
        <v>254.7</v>
      </c>
      <c r="V193" s="121">
        <v>265.10000000000002</v>
      </c>
      <c r="W193" s="121">
        <v>255.1</v>
      </c>
      <c r="X193" s="121">
        <v>250.8</v>
      </c>
      <c r="Y193" s="121">
        <v>249.1</v>
      </c>
      <c r="Z193" s="121">
        <v>262.89999999999998</v>
      </c>
    </row>
    <row r="194" spans="4:26" x14ac:dyDescent="0.3">
      <c r="D194" s="136">
        <v>78</v>
      </c>
      <c r="E194" s="630"/>
      <c r="F194" s="630"/>
      <c r="G194" s="634"/>
      <c r="H194" s="634"/>
      <c r="I194" s="634"/>
      <c r="J194" s="121">
        <v>269.39999999999998</v>
      </c>
      <c r="K194" s="121">
        <v>283.10000000000002</v>
      </c>
      <c r="L194" s="121">
        <v>280.89999999999998</v>
      </c>
      <c r="M194" s="121">
        <v>287.39999999999998</v>
      </c>
      <c r="N194" s="121">
        <v>283</v>
      </c>
      <c r="O194" s="121">
        <v>267.2</v>
      </c>
      <c r="P194" s="121">
        <v>256.60000000000002</v>
      </c>
      <c r="Q194" s="121">
        <v>256.8</v>
      </c>
      <c r="R194" s="121">
        <v>257.7</v>
      </c>
      <c r="S194" s="121">
        <v>254.9</v>
      </c>
      <c r="T194" s="121">
        <v>248.4</v>
      </c>
      <c r="U194" s="121">
        <v>255.9</v>
      </c>
      <c r="V194" s="121">
        <v>268.10000000000002</v>
      </c>
      <c r="W194" s="121">
        <v>256.8</v>
      </c>
      <c r="X194" s="121">
        <v>254.3</v>
      </c>
      <c r="Y194" s="121">
        <v>252.5</v>
      </c>
      <c r="Z194" s="121">
        <v>265.5</v>
      </c>
    </row>
    <row r="195" spans="4:26" x14ac:dyDescent="0.3">
      <c r="D195" s="136">
        <v>79</v>
      </c>
      <c r="E195" s="630"/>
      <c r="F195" s="630"/>
      <c r="G195" s="634"/>
      <c r="H195" s="634"/>
      <c r="I195" s="634"/>
      <c r="J195" s="121">
        <v>274.39999999999998</v>
      </c>
      <c r="K195" s="121">
        <v>287.5</v>
      </c>
      <c r="L195" s="121">
        <v>285.10000000000002</v>
      </c>
      <c r="M195" s="121">
        <v>290.39999999999998</v>
      </c>
      <c r="N195" s="121">
        <v>287.2</v>
      </c>
      <c r="O195" s="121">
        <v>271.3</v>
      </c>
      <c r="P195" s="121">
        <v>260.39999999999998</v>
      </c>
      <c r="Q195" s="121">
        <v>260.8</v>
      </c>
      <c r="R195" s="121">
        <v>261.89999999999998</v>
      </c>
      <c r="S195" s="121">
        <v>256.39999999999998</v>
      </c>
      <c r="T195" s="121">
        <v>251.8</v>
      </c>
      <c r="U195" s="121">
        <v>259.8</v>
      </c>
      <c r="V195" s="121">
        <v>271.60000000000002</v>
      </c>
      <c r="W195" s="121">
        <v>260.8</v>
      </c>
      <c r="X195" s="121">
        <v>255.5</v>
      </c>
      <c r="Y195" s="121">
        <v>254.9</v>
      </c>
      <c r="Z195" s="121">
        <v>268.39999999999998</v>
      </c>
    </row>
    <row r="196" spans="4:26" x14ac:dyDescent="0.3">
      <c r="D196" s="623">
        <v>80</v>
      </c>
      <c r="E196" s="630"/>
      <c r="F196" s="630"/>
      <c r="G196" s="634"/>
      <c r="H196" s="634"/>
      <c r="I196" s="634"/>
      <c r="J196" s="627">
        <v>281.7</v>
      </c>
      <c r="K196" s="627">
        <v>291.2</v>
      </c>
      <c r="L196" s="627">
        <v>288.2</v>
      </c>
      <c r="M196" s="627">
        <v>295.10000000000002</v>
      </c>
      <c r="N196" s="627">
        <v>289.7</v>
      </c>
      <c r="O196" s="627">
        <v>272.89999999999998</v>
      </c>
      <c r="P196" s="627">
        <v>264.2</v>
      </c>
      <c r="Q196" s="627">
        <v>264.39999999999998</v>
      </c>
      <c r="R196" s="627">
        <v>265.10000000000002</v>
      </c>
      <c r="S196" s="627">
        <v>260.3</v>
      </c>
      <c r="T196" s="627">
        <v>254.8</v>
      </c>
      <c r="U196" s="627">
        <v>263.8</v>
      </c>
      <c r="V196" s="627">
        <v>273.39999999999998</v>
      </c>
      <c r="W196" s="627">
        <v>264.60000000000002</v>
      </c>
      <c r="X196" s="627">
        <v>258.60000000000002</v>
      </c>
      <c r="Y196" s="627">
        <v>256.89999999999998</v>
      </c>
      <c r="Z196" s="627">
        <v>271.60000000000002</v>
      </c>
    </row>
    <row r="197" spans="4:26" x14ac:dyDescent="0.3">
      <c r="D197" s="136">
        <v>81</v>
      </c>
      <c r="E197" s="630"/>
      <c r="F197" s="630"/>
      <c r="G197" s="634"/>
      <c r="H197" s="634"/>
      <c r="I197" s="634"/>
      <c r="J197" s="121">
        <v>287.89999999999998</v>
      </c>
      <c r="K197" s="121">
        <v>296</v>
      </c>
      <c r="L197" s="121">
        <v>293.3</v>
      </c>
      <c r="M197" s="121">
        <v>298.8</v>
      </c>
      <c r="N197" s="121">
        <v>294.8</v>
      </c>
      <c r="O197" s="121">
        <v>277.5</v>
      </c>
      <c r="P197" s="121">
        <v>267</v>
      </c>
      <c r="Q197" s="121">
        <v>267.3</v>
      </c>
      <c r="R197" s="121">
        <v>268.3</v>
      </c>
      <c r="S197" s="121">
        <v>264.3</v>
      </c>
      <c r="T197" s="121">
        <v>256.7</v>
      </c>
      <c r="U197" s="121">
        <v>266.7</v>
      </c>
      <c r="V197" s="121">
        <v>278.2</v>
      </c>
      <c r="W197" s="121">
        <v>267.60000000000002</v>
      </c>
      <c r="X197" s="121">
        <v>263</v>
      </c>
      <c r="Y197" s="121">
        <v>261.3</v>
      </c>
      <c r="Z197" s="121">
        <v>273.3</v>
      </c>
    </row>
    <row r="198" spans="4:26" x14ac:dyDescent="0.3">
      <c r="D198" s="136">
        <v>82</v>
      </c>
      <c r="E198" s="630"/>
      <c r="F198" s="630"/>
      <c r="G198" s="634"/>
      <c r="H198" s="634"/>
      <c r="I198" s="634"/>
      <c r="J198" s="121">
        <v>294.7</v>
      </c>
      <c r="K198" s="121">
        <v>301.10000000000002</v>
      </c>
      <c r="L198" s="121">
        <v>297.60000000000002</v>
      </c>
      <c r="M198" s="121">
        <v>302.7</v>
      </c>
      <c r="N198" s="121">
        <v>298.39999999999998</v>
      </c>
      <c r="O198" s="121">
        <v>281.5</v>
      </c>
      <c r="P198" s="121">
        <v>271.3</v>
      </c>
      <c r="Q198" s="121">
        <v>271.39999999999998</v>
      </c>
      <c r="R198" s="121">
        <v>271.7</v>
      </c>
      <c r="S198" s="121">
        <v>267.2</v>
      </c>
      <c r="T198" s="121">
        <v>261.2</v>
      </c>
      <c r="U198" s="121">
        <v>271.2</v>
      </c>
      <c r="V198" s="121">
        <v>282</v>
      </c>
      <c r="W198" s="121">
        <v>271.60000000000002</v>
      </c>
      <c r="X198" s="121">
        <v>266</v>
      </c>
      <c r="Y198" s="121">
        <v>265</v>
      </c>
      <c r="Z198" s="121">
        <v>277.8</v>
      </c>
    </row>
    <row r="199" spans="4:26" x14ac:dyDescent="0.3">
      <c r="D199" s="136">
        <v>83</v>
      </c>
      <c r="E199" s="630"/>
      <c r="F199" s="630"/>
      <c r="G199" s="634"/>
      <c r="H199" s="634"/>
      <c r="I199" s="634"/>
      <c r="J199" s="121">
        <v>301.8</v>
      </c>
      <c r="K199" s="121">
        <v>304.39999999999998</v>
      </c>
      <c r="L199" s="121">
        <v>302.5</v>
      </c>
      <c r="M199" s="121">
        <v>306.5</v>
      </c>
      <c r="N199" s="121">
        <v>302.7</v>
      </c>
      <c r="O199" s="121">
        <v>285.8</v>
      </c>
      <c r="P199" s="121">
        <v>273</v>
      </c>
      <c r="Q199" s="121">
        <v>273.39999999999998</v>
      </c>
      <c r="R199" s="121">
        <v>274.3</v>
      </c>
      <c r="S199" s="121">
        <v>271.5</v>
      </c>
      <c r="T199" s="121">
        <v>265.10000000000002</v>
      </c>
      <c r="U199" s="121">
        <v>272.89999999999998</v>
      </c>
      <c r="V199" s="121">
        <v>286.60000000000002</v>
      </c>
      <c r="W199" s="121">
        <v>273.7</v>
      </c>
      <c r="X199" s="121">
        <v>270.3</v>
      </c>
      <c r="Y199" s="121">
        <v>268.60000000000002</v>
      </c>
      <c r="Z199" s="121">
        <v>281.60000000000002</v>
      </c>
    </row>
    <row r="200" spans="4:26" x14ac:dyDescent="0.3">
      <c r="D200" s="136">
        <v>84</v>
      </c>
      <c r="E200" s="630"/>
      <c r="F200" s="630"/>
      <c r="G200" s="634"/>
      <c r="H200" s="634"/>
      <c r="I200" s="634"/>
      <c r="J200" s="121">
        <v>308.10000000000002</v>
      </c>
      <c r="K200" s="121">
        <v>309.89999999999998</v>
      </c>
      <c r="L200" s="121">
        <v>306.10000000000002</v>
      </c>
      <c r="M200" s="121">
        <v>311</v>
      </c>
      <c r="N200" s="121">
        <v>306.3</v>
      </c>
      <c r="O200" s="121">
        <v>288.39999999999998</v>
      </c>
      <c r="P200" s="121">
        <v>278</v>
      </c>
      <c r="Q200" s="121">
        <v>278.5</v>
      </c>
      <c r="R200" s="121">
        <v>279.3</v>
      </c>
      <c r="S200" s="121">
        <v>273.60000000000002</v>
      </c>
      <c r="T200" s="121">
        <v>269</v>
      </c>
      <c r="U200" s="121">
        <v>278.2</v>
      </c>
      <c r="V200" s="121">
        <v>288.7</v>
      </c>
      <c r="W200" s="121">
        <v>279</v>
      </c>
      <c r="X200" s="121">
        <v>272.39999999999998</v>
      </c>
      <c r="Y200" s="121">
        <v>271.89999999999998</v>
      </c>
      <c r="Z200" s="121">
        <v>285.89999999999998</v>
      </c>
    </row>
    <row r="201" spans="4:26" x14ac:dyDescent="0.3">
      <c r="D201" s="136">
        <v>85</v>
      </c>
      <c r="E201" s="630"/>
      <c r="F201" s="630"/>
      <c r="G201" s="634"/>
      <c r="H201" s="634"/>
      <c r="I201" s="634"/>
      <c r="J201" s="121">
        <v>315.8</v>
      </c>
      <c r="K201" s="121">
        <v>315.39999999999998</v>
      </c>
      <c r="L201" s="121">
        <v>311.3</v>
      </c>
      <c r="M201" s="121">
        <v>315.89999999999998</v>
      </c>
      <c r="N201" s="121">
        <v>311</v>
      </c>
      <c r="O201" s="121">
        <v>293.8</v>
      </c>
      <c r="P201" s="121">
        <v>282.2</v>
      </c>
      <c r="Q201" s="121">
        <v>282.5</v>
      </c>
      <c r="R201" s="121">
        <v>283.3</v>
      </c>
      <c r="S201" s="121">
        <v>279</v>
      </c>
      <c r="T201" s="121">
        <v>272.10000000000002</v>
      </c>
      <c r="U201" s="121">
        <v>282.39999999999998</v>
      </c>
      <c r="V201" s="121">
        <v>294.5</v>
      </c>
      <c r="W201" s="121">
        <v>283.10000000000002</v>
      </c>
      <c r="X201" s="121">
        <v>277.39999999999998</v>
      </c>
      <c r="Y201" s="121">
        <v>275.8</v>
      </c>
      <c r="Z201" s="121">
        <v>288.2</v>
      </c>
    </row>
    <row r="202" spans="4:26" x14ac:dyDescent="0.3">
      <c r="D202" s="136">
        <v>86</v>
      </c>
      <c r="E202" s="630"/>
      <c r="F202" s="630"/>
      <c r="G202" s="634"/>
      <c r="H202" s="634"/>
      <c r="I202" s="634"/>
      <c r="J202" s="121">
        <v>322.2</v>
      </c>
      <c r="K202" s="121">
        <v>319.60000000000002</v>
      </c>
      <c r="L202" s="121">
        <v>316.5</v>
      </c>
      <c r="M202" s="121">
        <v>319.8</v>
      </c>
      <c r="N202" s="121">
        <v>316.10000000000002</v>
      </c>
      <c r="O202" s="121">
        <v>298.10000000000002</v>
      </c>
      <c r="P202" s="121">
        <v>287.10000000000002</v>
      </c>
      <c r="Q202" s="121">
        <v>287.3</v>
      </c>
      <c r="R202" s="121">
        <v>287.7</v>
      </c>
      <c r="S202" s="121">
        <v>283.2</v>
      </c>
      <c r="T202" s="121">
        <v>276.7</v>
      </c>
      <c r="U202" s="121">
        <v>287.39999999999998</v>
      </c>
      <c r="V202" s="121">
        <v>298.5</v>
      </c>
      <c r="W202" s="121">
        <v>287.7</v>
      </c>
      <c r="X202" s="121">
        <v>282.10000000000002</v>
      </c>
      <c r="Y202" s="121">
        <v>280.89999999999998</v>
      </c>
      <c r="Z202" s="121">
        <v>293.10000000000002</v>
      </c>
    </row>
    <row r="203" spans="4:26" x14ac:dyDescent="0.3">
      <c r="D203" s="136">
        <v>87</v>
      </c>
      <c r="E203" s="630"/>
      <c r="F203" s="630"/>
      <c r="G203" s="634"/>
      <c r="H203" s="634"/>
      <c r="I203" s="634"/>
      <c r="J203" s="121">
        <v>330.3</v>
      </c>
      <c r="K203" s="121">
        <v>325.7</v>
      </c>
      <c r="L203" s="121">
        <v>321.39999999999998</v>
      </c>
      <c r="M203" s="121">
        <v>325.2</v>
      </c>
      <c r="N203" s="121">
        <v>320.2</v>
      </c>
      <c r="O203" s="121">
        <v>302.7</v>
      </c>
      <c r="P203" s="121">
        <v>289.89999999999998</v>
      </c>
      <c r="Q203" s="121">
        <v>290.60000000000002</v>
      </c>
      <c r="R203" s="121">
        <v>291.8</v>
      </c>
      <c r="S203" s="121">
        <v>287.7</v>
      </c>
      <c r="T203" s="121">
        <v>281.8</v>
      </c>
      <c r="U203" s="121">
        <v>290.89999999999998</v>
      </c>
      <c r="V203" s="121">
        <v>302.89999999999998</v>
      </c>
      <c r="W203" s="121">
        <v>291.8</v>
      </c>
      <c r="X203" s="121">
        <v>287.3</v>
      </c>
      <c r="Y203" s="121">
        <v>286.10000000000002</v>
      </c>
      <c r="Z203" s="121">
        <v>297.39999999999998</v>
      </c>
    </row>
    <row r="204" spans="4:26" x14ac:dyDescent="0.3">
      <c r="D204" s="136">
        <v>88</v>
      </c>
      <c r="E204" s="630"/>
      <c r="F204" s="630"/>
      <c r="G204" s="634"/>
      <c r="H204" s="634"/>
      <c r="I204" s="634"/>
      <c r="J204" s="121">
        <v>337.5</v>
      </c>
      <c r="K204" s="121">
        <v>331.2</v>
      </c>
      <c r="L204" s="121">
        <v>327.3</v>
      </c>
      <c r="M204" s="121">
        <v>330.5</v>
      </c>
      <c r="N204" s="121">
        <v>325.89999999999998</v>
      </c>
      <c r="O204" s="121">
        <v>307.10000000000002</v>
      </c>
      <c r="P204" s="121">
        <v>295.7</v>
      </c>
      <c r="Q204" s="121">
        <v>296</v>
      </c>
      <c r="R204" s="121">
        <v>297</v>
      </c>
      <c r="S204" s="121">
        <v>292.3</v>
      </c>
      <c r="T204" s="121">
        <v>287.3</v>
      </c>
      <c r="U204" s="121">
        <v>296.5</v>
      </c>
      <c r="V204" s="121">
        <v>307.2</v>
      </c>
      <c r="W204" s="121">
        <v>297.10000000000002</v>
      </c>
      <c r="X204" s="121">
        <v>290.89999999999998</v>
      </c>
      <c r="Y204" s="121">
        <v>289.2</v>
      </c>
      <c r="Z204" s="121">
        <v>302.39999999999998</v>
      </c>
    </row>
    <row r="205" spans="4:26" x14ac:dyDescent="0.3">
      <c r="D205" s="136">
        <v>89</v>
      </c>
      <c r="E205" s="630"/>
      <c r="F205" s="630"/>
      <c r="G205" s="634"/>
      <c r="H205" s="634"/>
      <c r="I205" s="634"/>
      <c r="J205" s="121">
        <v>345.3</v>
      </c>
      <c r="K205" s="121">
        <v>338</v>
      </c>
      <c r="L205" s="121">
        <v>332.8</v>
      </c>
      <c r="M205" s="121">
        <v>336.4</v>
      </c>
      <c r="N205" s="121">
        <v>331.1</v>
      </c>
      <c r="O205" s="121">
        <v>312.5</v>
      </c>
      <c r="P205" s="121">
        <v>301.2</v>
      </c>
      <c r="Q205" s="121">
        <v>301.89999999999998</v>
      </c>
      <c r="R205" s="121">
        <v>302.39999999999998</v>
      </c>
      <c r="S205" s="121">
        <v>297.7</v>
      </c>
      <c r="T205" s="121">
        <v>291.39999999999998</v>
      </c>
      <c r="U205" s="121">
        <v>302.3</v>
      </c>
      <c r="V205" s="121">
        <v>312.7</v>
      </c>
      <c r="W205" s="121">
        <v>302.60000000000002</v>
      </c>
      <c r="X205" s="121">
        <v>296.7</v>
      </c>
      <c r="Y205" s="121">
        <v>295.5</v>
      </c>
      <c r="Z205" s="121">
        <v>305.60000000000002</v>
      </c>
    </row>
    <row r="206" spans="4:26" x14ac:dyDescent="0.3">
      <c r="D206" s="623">
        <v>90</v>
      </c>
      <c r="E206" s="630"/>
      <c r="F206" s="630"/>
      <c r="G206" s="634"/>
      <c r="H206" s="634"/>
      <c r="I206" s="634"/>
      <c r="J206" s="627">
        <v>352.8</v>
      </c>
      <c r="K206" s="627">
        <v>344.7</v>
      </c>
      <c r="L206" s="627">
        <v>340</v>
      </c>
      <c r="M206" s="627">
        <v>343.1</v>
      </c>
      <c r="N206" s="627">
        <v>337.7</v>
      </c>
      <c r="O206" s="627">
        <v>317.5</v>
      </c>
      <c r="P206" s="627">
        <v>304.8</v>
      </c>
      <c r="Q206" s="627">
        <v>305.5</v>
      </c>
      <c r="R206" s="627">
        <v>306.8</v>
      </c>
      <c r="S206" s="627">
        <v>302.89999999999998</v>
      </c>
      <c r="T206" s="627">
        <v>297.5</v>
      </c>
      <c r="U206" s="627">
        <v>306.60000000000002</v>
      </c>
      <c r="V206" s="627">
        <v>317.5</v>
      </c>
      <c r="W206" s="627">
        <v>307.2</v>
      </c>
      <c r="X206" s="627">
        <v>302.60000000000002</v>
      </c>
      <c r="Y206" s="627">
        <v>301.7</v>
      </c>
      <c r="Z206" s="627">
        <v>311.39999999999998</v>
      </c>
    </row>
    <row r="207" spans="4:26" x14ac:dyDescent="0.3">
      <c r="D207" s="136">
        <v>91</v>
      </c>
      <c r="E207" s="630"/>
      <c r="F207" s="630"/>
      <c r="G207" s="635"/>
      <c r="H207" s="635"/>
      <c r="I207" s="635"/>
      <c r="J207" s="121">
        <v>359.7</v>
      </c>
      <c r="K207" s="121">
        <v>351.5</v>
      </c>
      <c r="L207" s="121">
        <v>346.4</v>
      </c>
      <c r="M207" s="121">
        <v>349</v>
      </c>
      <c r="N207" s="121">
        <v>344.5</v>
      </c>
      <c r="O207" s="121">
        <v>324.39999999999998</v>
      </c>
      <c r="P207" s="121">
        <v>311.39999999999998</v>
      </c>
      <c r="Q207" s="121">
        <v>312</v>
      </c>
      <c r="R207" s="121">
        <v>313.10000000000002</v>
      </c>
      <c r="S207" s="121">
        <v>308.7</v>
      </c>
      <c r="T207" s="121">
        <v>303</v>
      </c>
      <c r="U207" s="121">
        <v>313.2</v>
      </c>
      <c r="V207" s="121">
        <v>324.3</v>
      </c>
      <c r="W207" s="121">
        <v>313.7</v>
      </c>
      <c r="X207" s="121">
        <v>307.8</v>
      </c>
      <c r="Y207" s="121">
        <v>305.89999999999998</v>
      </c>
      <c r="Z207" s="121">
        <v>316.8</v>
      </c>
    </row>
    <row r="208" spans="4:26" x14ac:dyDescent="0.3">
      <c r="D208" s="136">
        <v>92</v>
      </c>
      <c r="E208" s="630"/>
      <c r="F208" s="630"/>
      <c r="G208" s="635"/>
      <c r="H208" s="635"/>
      <c r="I208" s="635"/>
      <c r="J208" s="121">
        <v>368.2</v>
      </c>
      <c r="K208" s="121">
        <v>358.3</v>
      </c>
      <c r="L208" s="121">
        <v>354.1</v>
      </c>
      <c r="M208" s="121">
        <v>356.2</v>
      </c>
      <c r="N208" s="121">
        <v>351.2</v>
      </c>
      <c r="O208" s="121">
        <v>330.9</v>
      </c>
      <c r="P208" s="121">
        <v>317.2</v>
      </c>
      <c r="Q208" s="121">
        <v>317.60000000000002</v>
      </c>
      <c r="R208" s="121">
        <v>318.60000000000002</v>
      </c>
      <c r="S208" s="121">
        <v>315.8</v>
      </c>
      <c r="T208" s="121">
        <v>309.7</v>
      </c>
      <c r="U208" s="121">
        <v>318.89999999999998</v>
      </c>
      <c r="V208" s="121">
        <v>330.9</v>
      </c>
      <c r="W208" s="121">
        <v>319.3</v>
      </c>
      <c r="X208" s="121">
        <v>315</v>
      </c>
      <c r="Y208" s="121">
        <v>313</v>
      </c>
      <c r="Z208" s="121">
        <v>323.10000000000002</v>
      </c>
    </row>
    <row r="209" spans="4:31" x14ac:dyDescent="0.3">
      <c r="D209" s="136">
        <v>93</v>
      </c>
      <c r="E209" s="630"/>
      <c r="F209" s="630"/>
      <c r="G209" s="635"/>
      <c r="H209" s="635"/>
      <c r="I209" s="635"/>
      <c r="J209" s="121">
        <v>375.8</v>
      </c>
      <c r="K209" s="121">
        <v>366.7</v>
      </c>
      <c r="L209" s="121">
        <v>361.9</v>
      </c>
      <c r="M209" s="121">
        <v>363.6</v>
      </c>
      <c r="N209" s="121">
        <v>358.5</v>
      </c>
      <c r="O209" s="121">
        <v>339.2</v>
      </c>
      <c r="P209" s="121">
        <v>324.89999999999998</v>
      </c>
      <c r="Q209" s="121">
        <v>325.60000000000002</v>
      </c>
      <c r="R209" s="121">
        <v>327</v>
      </c>
      <c r="S209" s="121">
        <v>322.2</v>
      </c>
      <c r="T209" s="121">
        <v>316.8</v>
      </c>
      <c r="U209" s="121">
        <v>327.60000000000002</v>
      </c>
      <c r="V209" s="121">
        <v>339</v>
      </c>
      <c r="W209" s="121">
        <v>328</v>
      </c>
      <c r="X209" s="121">
        <v>321.7</v>
      </c>
      <c r="Y209" s="121">
        <v>319.3</v>
      </c>
      <c r="Z209" s="121">
        <v>330.4</v>
      </c>
    </row>
    <row r="210" spans="4:31" x14ac:dyDescent="0.3">
      <c r="D210" s="136">
        <v>94</v>
      </c>
      <c r="E210" s="630"/>
      <c r="F210" s="630"/>
      <c r="G210" s="635"/>
      <c r="H210" s="635"/>
      <c r="I210" s="635"/>
      <c r="J210" s="121">
        <v>384.1</v>
      </c>
      <c r="K210" s="121">
        <v>375.1</v>
      </c>
      <c r="L210" s="121">
        <v>370.1</v>
      </c>
      <c r="M210" s="121">
        <v>371.8</v>
      </c>
      <c r="N210" s="121">
        <v>367.4</v>
      </c>
      <c r="O210" s="121">
        <v>347.3</v>
      </c>
      <c r="P210" s="121">
        <v>332.4</v>
      </c>
      <c r="Q210" s="121">
        <v>333.2</v>
      </c>
      <c r="R210" s="121">
        <v>335.1</v>
      </c>
      <c r="S210" s="121">
        <v>330.6</v>
      </c>
      <c r="T210" s="121">
        <v>325.3</v>
      </c>
      <c r="U210" s="121">
        <v>336.1</v>
      </c>
      <c r="V210" s="121">
        <v>346.8</v>
      </c>
      <c r="W210" s="121">
        <v>336.3</v>
      </c>
      <c r="X210" s="121">
        <v>330.5</v>
      </c>
      <c r="Y210" s="121">
        <v>328.9</v>
      </c>
      <c r="Z210" s="121">
        <v>338.5</v>
      </c>
    </row>
    <row r="211" spans="4:31" x14ac:dyDescent="0.3">
      <c r="D211" s="623">
        <v>95</v>
      </c>
      <c r="E211" s="630"/>
      <c r="F211" s="630"/>
      <c r="G211" s="635"/>
      <c r="H211" s="635"/>
      <c r="I211" s="635"/>
      <c r="J211" s="627">
        <v>393.3</v>
      </c>
      <c r="K211" s="627">
        <v>384.6</v>
      </c>
      <c r="L211" s="627">
        <v>380.3</v>
      </c>
      <c r="M211" s="627">
        <v>381.3</v>
      </c>
      <c r="N211" s="627">
        <v>376.9</v>
      </c>
      <c r="O211" s="627">
        <v>357.1</v>
      </c>
      <c r="P211" s="627">
        <v>343.7</v>
      </c>
      <c r="Q211" s="627">
        <v>344.1</v>
      </c>
      <c r="R211" s="627">
        <v>344.9</v>
      </c>
      <c r="S211" s="627">
        <v>340.8</v>
      </c>
      <c r="T211" s="627">
        <v>334.9</v>
      </c>
      <c r="U211" s="627">
        <v>345.7</v>
      </c>
      <c r="V211" s="627">
        <v>357</v>
      </c>
      <c r="W211" s="627">
        <v>345.9</v>
      </c>
      <c r="X211" s="627">
        <v>341</v>
      </c>
      <c r="Y211" s="627">
        <v>338.3</v>
      </c>
      <c r="Z211" s="627">
        <v>347.3</v>
      </c>
    </row>
    <row r="212" spans="4:31" x14ac:dyDescent="0.3">
      <c r="D212" s="136">
        <v>96</v>
      </c>
      <c r="E212" s="630"/>
      <c r="F212" s="630"/>
      <c r="G212" s="635"/>
      <c r="H212" s="635"/>
      <c r="I212" s="635"/>
      <c r="J212" s="121">
        <v>403.9</v>
      </c>
      <c r="K212" s="121">
        <v>395.5</v>
      </c>
      <c r="L212" s="121">
        <v>391.4</v>
      </c>
      <c r="M212" s="121">
        <v>392.4</v>
      </c>
      <c r="N212" s="121">
        <v>388.1</v>
      </c>
      <c r="O212" s="121">
        <v>368.6</v>
      </c>
      <c r="P212" s="121">
        <v>354.4</v>
      </c>
      <c r="Q212" s="121">
        <v>355</v>
      </c>
      <c r="R212" s="121">
        <v>356.7</v>
      </c>
      <c r="S212" s="121">
        <v>352</v>
      </c>
      <c r="T212" s="121">
        <v>346.4</v>
      </c>
      <c r="U212" s="121">
        <v>357.5</v>
      </c>
      <c r="V212" s="121">
        <v>368.4</v>
      </c>
      <c r="W212" s="121">
        <v>357.6</v>
      </c>
      <c r="X212" s="121">
        <v>352.7</v>
      </c>
      <c r="Y212" s="121">
        <v>349.6</v>
      </c>
      <c r="Z212" s="121">
        <v>357.9</v>
      </c>
    </row>
    <row r="213" spans="4:31" x14ac:dyDescent="0.3">
      <c r="D213" s="136">
        <v>97</v>
      </c>
      <c r="E213" s="630"/>
      <c r="F213" s="630"/>
      <c r="G213" s="635"/>
      <c r="H213" s="635"/>
      <c r="I213" s="635"/>
      <c r="J213" s="121">
        <v>416.6</v>
      </c>
      <c r="K213" s="121">
        <v>408.7</v>
      </c>
      <c r="L213" s="121">
        <v>404.6</v>
      </c>
      <c r="M213" s="121">
        <v>405.8</v>
      </c>
      <c r="N213" s="121">
        <v>401.6</v>
      </c>
      <c r="O213" s="121">
        <v>381.9</v>
      </c>
      <c r="P213" s="121">
        <v>368.4</v>
      </c>
      <c r="Q213" s="121">
        <v>368.6</v>
      </c>
      <c r="R213" s="121">
        <v>370</v>
      </c>
      <c r="S213" s="121">
        <v>366</v>
      </c>
      <c r="T213" s="121">
        <v>361</v>
      </c>
      <c r="U213" s="121">
        <v>372</v>
      </c>
      <c r="V213" s="121">
        <v>381.2</v>
      </c>
      <c r="W213" s="121">
        <v>371.9</v>
      </c>
      <c r="X213" s="121">
        <v>367.4</v>
      </c>
      <c r="Y213" s="121">
        <v>363.5</v>
      </c>
      <c r="Z213" s="121">
        <v>371.2</v>
      </c>
    </row>
    <row r="214" spans="4:31" x14ac:dyDescent="0.3">
      <c r="D214" s="136">
        <v>98</v>
      </c>
      <c r="E214" s="630"/>
      <c r="F214" s="630"/>
      <c r="G214" s="635"/>
      <c r="H214" s="635"/>
      <c r="I214" s="635"/>
      <c r="J214" s="121">
        <v>432.3</v>
      </c>
      <c r="K214" s="121">
        <v>425.2</v>
      </c>
      <c r="L214" s="121">
        <v>421.7</v>
      </c>
      <c r="M214" s="121">
        <v>422.8</v>
      </c>
      <c r="N214" s="121">
        <v>419</v>
      </c>
      <c r="O214" s="121">
        <v>400.5</v>
      </c>
      <c r="P214" s="121">
        <v>386.6</v>
      </c>
      <c r="Q214" s="121">
        <v>386.5</v>
      </c>
      <c r="R214" s="121">
        <v>389.6</v>
      </c>
      <c r="S214" s="121">
        <v>383.9</v>
      </c>
      <c r="T214" s="121">
        <v>380.1</v>
      </c>
      <c r="U214" s="121">
        <v>391.4</v>
      </c>
      <c r="V214" s="121">
        <v>399.8</v>
      </c>
      <c r="W214" s="121">
        <v>391.2</v>
      </c>
      <c r="X214" s="121">
        <v>386.4</v>
      </c>
      <c r="Y214" s="121">
        <v>381.3</v>
      </c>
      <c r="Z214" s="121">
        <v>389.6</v>
      </c>
    </row>
    <row r="215" spans="4:31" x14ac:dyDescent="0.3">
      <c r="D215" s="136">
        <v>99</v>
      </c>
      <c r="E215" s="630"/>
      <c r="F215" s="630"/>
      <c r="G215" s="635"/>
      <c r="H215" s="635"/>
      <c r="I215" s="635"/>
      <c r="J215" s="121">
        <v>454.8</v>
      </c>
      <c r="K215" s="121">
        <v>449.4</v>
      </c>
      <c r="L215" s="121">
        <v>446.5</v>
      </c>
      <c r="M215" s="121">
        <v>447.9</v>
      </c>
      <c r="N215" s="121">
        <v>444.7</v>
      </c>
      <c r="O215" s="121">
        <v>427</v>
      </c>
      <c r="P215" s="121">
        <v>415.1</v>
      </c>
      <c r="Q215" s="121">
        <v>413.9</v>
      </c>
      <c r="R215" s="121">
        <v>418.4</v>
      </c>
      <c r="S215" s="121">
        <v>412.1</v>
      </c>
      <c r="T215" s="121">
        <v>408.7</v>
      </c>
      <c r="U215" s="121">
        <v>420</v>
      </c>
      <c r="V215" s="121">
        <v>426</v>
      </c>
      <c r="W215" s="121">
        <v>419.4</v>
      </c>
      <c r="X215" s="121">
        <v>416</v>
      </c>
      <c r="Y215" s="121">
        <v>410.2</v>
      </c>
      <c r="Z215" s="121">
        <v>416.1</v>
      </c>
    </row>
    <row r="216" spans="4:31" x14ac:dyDescent="0.3">
      <c r="D216" s="623">
        <v>100</v>
      </c>
      <c r="E216" s="630"/>
      <c r="F216" s="630"/>
      <c r="G216" s="635"/>
      <c r="H216" s="635"/>
      <c r="I216" s="635"/>
      <c r="J216" s="627">
        <v>473</v>
      </c>
      <c r="K216" s="627">
        <v>468.4</v>
      </c>
      <c r="L216" s="627">
        <v>465.6</v>
      </c>
      <c r="M216" s="627">
        <v>466.8</v>
      </c>
      <c r="N216" s="627">
        <v>465.4</v>
      </c>
      <c r="O216" s="627">
        <v>449.2</v>
      </c>
      <c r="P216" s="627">
        <v>439.4</v>
      </c>
      <c r="Q216" s="627">
        <v>437.2</v>
      </c>
      <c r="R216" s="627">
        <v>442.6</v>
      </c>
      <c r="S216" s="627">
        <v>435.6</v>
      </c>
      <c r="T216" s="627">
        <v>432.2</v>
      </c>
      <c r="U216" s="627">
        <v>442.9</v>
      </c>
      <c r="V216" s="627">
        <v>448.1</v>
      </c>
      <c r="W216" s="627">
        <v>441.7</v>
      </c>
      <c r="X216" s="627">
        <v>440.3</v>
      </c>
      <c r="Y216" s="627">
        <v>433.3</v>
      </c>
      <c r="Z216" s="627">
        <v>438.7</v>
      </c>
    </row>
    <row r="219" spans="4:31" x14ac:dyDescent="0.3">
      <c r="J219" s="219" t="s">
        <v>94</v>
      </c>
      <c r="K219" s="13"/>
      <c r="L219" s="13"/>
      <c r="M219" s="129" t="s">
        <v>444</v>
      </c>
      <c r="N219" s="220" t="s">
        <v>358</v>
      </c>
      <c r="O219" s="13"/>
      <c r="P219" s="13"/>
      <c r="Q219" s="13"/>
      <c r="R219" s="844" t="s">
        <v>444</v>
      </c>
      <c r="S219" s="13"/>
      <c r="T219" s="219" t="s">
        <v>359</v>
      </c>
      <c r="U219" s="13"/>
      <c r="V219" s="13"/>
      <c r="W219" s="13"/>
      <c r="X219" s="13"/>
      <c r="Y219" s="13"/>
      <c r="Z219" s="103"/>
    </row>
    <row r="220" spans="4:31" x14ac:dyDescent="0.3">
      <c r="J220" s="212">
        <v>1</v>
      </c>
      <c r="K220" s="213">
        <v>2</v>
      </c>
      <c r="L220" s="213">
        <v>3</v>
      </c>
      <c r="M220" s="213">
        <v>4</v>
      </c>
      <c r="N220" s="212">
        <v>5</v>
      </c>
      <c r="O220" s="213">
        <v>6</v>
      </c>
      <c r="P220" s="215">
        <v>7</v>
      </c>
      <c r="Q220" s="215">
        <v>8</v>
      </c>
      <c r="R220" s="215">
        <v>9</v>
      </c>
      <c r="S220" s="215">
        <v>10</v>
      </c>
      <c r="T220" s="218">
        <v>11</v>
      </c>
      <c r="U220" s="215">
        <v>12</v>
      </c>
      <c r="V220" s="215">
        <v>13</v>
      </c>
      <c r="W220" s="215">
        <v>14</v>
      </c>
      <c r="X220" s="215">
        <v>15</v>
      </c>
      <c r="Y220" s="215">
        <v>16</v>
      </c>
      <c r="Z220" s="1609"/>
      <c r="AA220" s="1609"/>
      <c r="AB220" s="1609"/>
      <c r="AC220" s="1609"/>
      <c r="AD220" s="1609"/>
      <c r="AE220" s="1609"/>
    </row>
    <row r="221" spans="4:31" ht="18" thickBot="1" x14ac:dyDescent="0.35">
      <c r="D221" s="629" t="s">
        <v>392</v>
      </c>
      <c r="J221" s="222"/>
      <c r="N221" s="222"/>
      <c r="T221" s="222"/>
    </row>
    <row r="222" spans="4:31" x14ac:dyDescent="0.3">
      <c r="D222" s="134" t="s">
        <v>92</v>
      </c>
      <c r="E222" s="135"/>
      <c r="F222" s="135"/>
      <c r="G222" s="135"/>
      <c r="H222" s="135"/>
      <c r="I222" s="135"/>
      <c r="J222" s="622">
        <v>45856</v>
      </c>
      <c r="K222" s="622">
        <v>45857</v>
      </c>
      <c r="L222" s="622">
        <v>45858</v>
      </c>
      <c r="M222" s="622">
        <v>45859</v>
      </c>
      <c r="N222" s="622">
        <v>45860</v>
      </c>
      <c r="O222" s="622">
        <v>45861</v>
      </c>
      <c r="P222" s="622">
        <v>45862</v>
      </c>
      <c r="Q222" s="622">
        <v>45863</v>
      </c>
      <c r="R222" s="622">
        <v>45864</v>
      </c>
      <c r="S222" s="622">
        <v>45865</v>
      </c>
      <c r="T222" s="622">
        <v>45866</v>
      </c>
      <c r="U222" s="622">
        <v>45867</v>
      </c>
      <c r="V222" s="622">
        <v>45868</v>
      </c>
      <c r="W222" s="622">
        <v>45869</v>
      </c>
      <c r="X222" s="622">
        <v>45870</v>
      </c>
      <c r="Y222" s="622">
        <v>45871</v>
      </c>
      <c r="Z222" s="622">
        <v>45872</v>
      </c>
      <c r="AA222" s="12"/>
      <c r="AB222" s="12"/>
      <c r="AC222" s="12"/>
      <c r="AD222" s="12"/>
      <c r="AE222" s="12"/>
    </row>
    <row r="223" spans="4:31" x14ac:dyDescent="0.3">
      <c r="D223" s="136">
        <v>0</v>
      </c>
      <c r="E223" s="630"/>
      <c r="F223" s="630"/>
      <c r="G223" s="631"/>
      <c r="H223" s="631"/>
      <c r="I223" s="631"/>
      <c r="J223" s="138">
        <v>94.5</v>
      </c>
      <c r="K223" s="138">
        <v>89.7</v>
      </c>
      <c r="L223" s="138">
        <v>166</v>
      </c>
      <c r="M223" s="138"/>
      <c r="N223" s="138">
        <v>118.8</v>
      </c>
      <c r="O223" s="138">
        <v>114.7</v>
      </c>
      <c r="P223" s="138">
        <v>139.9</v>
      </c>
      <c r="Q223" s="138">
        <v>135.1</v>
      </c>
      <c r="R223" s="138"/>
      <c r="S223" s="138"/>
      <c r="T223" s="138"/>
      <c r="U223" s="138">
        <v>200.7</v>
      </c>
      <c r="V223" s="138">
        <v>124.1</v>
      </c>
      <c r="W223" s="138"/>
      <c r="X223" s="138"/>
      <c r="Y223" s="138"/>
      <c r="Z223" s="138"/>
      <c r="AA223" s="12"/>
      <c r="AB223" s="12"/>
      <c r="AC223" s="12"/>
      <c r="AD223" s="12"/>
      <c r="AE223" s="12"/>
    </row>
    <row r="224" spans="4:31" x14ac:dyDescent="0.3">
      <c r="D224" s="136">
        <v>1</v>
      </c>
      <c r="E224" s="630"/>
      <c r="F224" s="630"/>
      <c r="G224" s="631"/>
      <c r="H224" s="631"/>
      <c r="I224" s="631"/>
      <c r="J224" s="138">
        <v>94.8</v>
      </c>
      <c r="K224" s="138">
        <v>121.1</v>
      </c>
      <c r="L224" s="138">
        <v>216.8</v>
      </c>
      <c r="M224" s="138"/>
      <c r="N224" s="138">
        <v>176.6</v>
      </c>
      <c r="O224" s="138">
        <v>170.3</v>
      </c>
      <c r="P224" s="138">
        <v>174</v>
      </c>
      <c r="Q224" s="138">
        <v>173.5</v>
      </c>
      <c r="R224" s="138"/>
      <c r="S224" s="138"/>
      <c r="T224" s="138"/>
      <c r="U224" s="138">
        <v>237.7</v>
      </c>
      <c r="V224" s="138">
        <v>166.3</v>
      </c>
      <c r="W224" s="138"/>
      <c r="X224" s="138"/>
      <c r="Y224" s="138"/>
      <c r="Z224" s="138"/>
      <c r="AA224" s="180"/>
      <c r="AB224" s="180"/>
      <c r="AC224" s="180"/>
      <c r="AD224" s="180"/>
      <c r="AE224" s="180"/>
    </row>
    <row r="225" spans="4:31" x14ac:dyDescent="0.3">
      <c r="D225" s="136">
        <v>2</v>
      </c>
      <c r="E225" s="630"/>
      <c r="F225" s="630"/>
      <c r="G225" s="631"/>
      <c r="H225" s="631"/>
      <c r="I225" s="631"/>
      <c r="J225" s="138">
        <v>95.4</v>
      </c>
      <c r="K225" s="138">
        <v>121.5</v>
      </c>
      <c r="L225" s="138">
        <v>281.5</v>
      </c>
      <c r="M225" s="138"/>
      <c r="N225" s="138">
        <v>244.2</v>
      </c>
      <c r="O225" s="138">
        <v>234.5</v>
      </c>
      <c r="P225" s="138">
        <v>217</v>
      </c>
      <c r="Q225" s="138">
        <v>220.6</v>
      </c>
      <c r="R225" s="138"/>
      <c r="S225" s="138"/>
      <c r="T225" s="138"/>
      <c r="U225" s="138">
        <v>279.7</v>
      </c>
      <c r="V225" s="138">
        <v>213.1</v>
      </c>
      <c r="W225" s="138"/>
      <c r="X225" s="138"/>
      <c r="Y225" s="138"/>
      <c r="Z225" s="138"/>
      <c r="AA225" s="180"/>
      <c r="AB225" s="180"/>
      <c r="AC225" s="180"/>
      <c r="AD225" s="180"/>
      <c r="AE225" s="180"/>
    </row>
    <row r="226" spans="4:31" x14ac:dyDescent="0.3">
      <c r="D226" s="136">
        <v>3</v>
      </c>
      <c r="E226" s="630"/>
      <c r="F226" s="630"/>
      <c r="G226" s="631"/>
      <c r="H226" s="631"/>
      <c r="I226" s="631"/>
      <c r="J226" s="138">
        <v>108.5</v>
      </c>
      <c r="K226" s="138">
        <v>132.1</v>
      </c>
      <c r="L226" s="138">
        <v>322.10000000000002</v>
      </c>
      <c r="M226" s="138"/>
      <c r="N226" s="138">
        <v>281</v>
      </c>
      <c r="O226" s="138">
        <v>270</v>
      </c>
      <c r="P226" s="138">
        <v>250</v>
      </c>
      <c r="Q226" s="138">
        <v>255</v>
      </c>
      <c r="R226" s="138"/>
      <c r="S226" s="138"/>
      <c r="T226" s="138"/>
      <c r="U226" s="138">
        <v>307.3</v>
      </c>
      <c r="V226" s="138">
        <v>244.5</v>
      </c>
      <c r="W226" s="138"/>
      <c r="X226" s="138"/>
      <c r="Y226" s="138"/>
      <c r="Z226" s="138"/>
      <c r="AA226" s="180"/>
      <c r="AB226" s="180"/>
      <c r="AC226" s="180"/>
      <c r="AD226" s="180"/>
      <c r="AE226" s="180"/>
    </row>
    <row r="227" spans="4:31" x14ac:dyDescent="0.3">
      <c r="D227" s="136">
        <v>4</v>
      </c>
      <c r="E227" s="630"/>
      <c r="F227" s="630"/>
      <c r="G227" s="631"/>
      <c r="H227" s="631"/>
      <c r="I227" s="631"/>
      <c r="J227" s="138">
        <v>108.8</v>
      </c>
      <c r="K227" s="138">
        <v>184</v>
      </c>
      <c r="L227" s="138">
        <v>350.2</v>
      </c>
      <c r="M227" s="138"/>
      <c r="N227" s="138">
        <v>309</v>
      </c>
      <c r="O227" s="138">
        <v>300.2</v>
      </c>
      <c r="P227" s="138">
        <v>276.39999999999998</v>
      </c>
      <c r="Q227" s="138">
        <v>284.5</v>
      </c>
      <c r="R227" s="138"/>
      <c r="S227" s="138"/>
      <c r="T227" s="138"/>
      <c r="U227" s="138">
        <v>328.5</v>
      </c>
      <c r="V227" s="138">
        <v>270</v>
      </c>
      <c r="W227" s="138"/>
      <c r="X227" s="138"/>
      <c r="Y227" s="138"/>
      <c r="Z227" s="138"/>
      <c r="AA227" s="180"/>
      <c r="AB227" s="180"/>
      <c r="AC227" s="180"/>
      <c r="AD227" s="180"/>
      <c r="AE227" s="180"/>
    </row>
    <row r="228" spans="4:31" x14ac:dyDescent="0.3">
      <c r="D228" s="623">
        <v>5</v>
      </c>
      <c r="E228" s="630"/>
      <c r="F228" s="630"/>
      <c r="G228" s="631"/>
      <c r="H228" s="631"/>
      <c r="I228" s="631"/>
      <c r="J228" s="625">
        <v>109</v>
      </c>
      <c r="K228" s="625">
        <v>243.5</v>
      </c>
      <c r="L228" s="625">
        <v>371.1</v>
      </c>
      <c r="M228" s="625"/>
      <c r="N228" s="625">
        <v>330.2</v>
      </c>
      <c r="O228" s="625">
        <v>322.8</v>
      </c>
      <c r="P228" s="625">
        <v>299.60000000000002</v>
      </c>
      <c r="Q228" s="625">
        <v>310.7</v>
      </c>
      <c r="R228" s="625"/>
      <c r="S228" s="625"/>
      <c r="T228" s="625"/>
      <c r="U228" s="625">
        <v>348.3</v>
      </c>
      <c r="V228" s="625">
        <v>293.3</v>
      </c>
      <c r="W228" s="625"/>
      <c r="X228" s="625"/>
      <c r="Y228" s="625"/>
      <c r="Z228" s="625"/>
      <c r="AA228" s="180"/>
      <c r="AB228" s="180"/>
      <c r="AC228" s="180"/>
      <c r="AD228" s="180"/>
      <c r="AE228" s="180"/>
    </row>
    <row r="229" spans="4:31" x14ac:dyDescent="0.3">
      <c r="D229" s="136">
        <v>6</v>
      </c>
      <c r="E229" s="630"/>
      <c r="F229" s="630"/>
      <c r="G229" s="631"/>
      <c r="H229" s="631"/>
      <c r="I229" s="631"/>
      <c r="J229" s="138">
        <v>109.2</v>
      </c>
      <c r="K229" s="138">
        <v>297.8</v>
      </c>
      <c r="L229" s="138">
        <v>392</v>
      </c>
      <c r="M229" s="138"/>
      <c r="N229" s="138">
        <v>348.9</v>
      </c>
      <c r="O229" s="138">
        <v>342.8</v>
      </c>
      <c r="P229" s="138">
        <v>319.2</v>
      </c>
      <c r="Q229" s="138">
        <v>332.1</v>
      </c>
      <c r="R229" s="138"/>
      <c r="S229" s="138"/>
      <c r="T229" s="138"/>
      <c r="U229" s="138">
        <v>363.9</v>
      </c>
      <c r="V229" s="138">
        <v>313</v>
      </c>
      <c r="W229" s="138"/>
      <c r="X229" s="138"/>
      <c r="Y229" s="138"/>
      <c r="Z229" s="138"/>
      <c r="AA229" s="180"/>
      <c r="AB229" s="180"/>
      <c r="AC229" s="180"/>
      <c r="AD229" s="180"/>
      <c r="AE229" s="180"/>
    </row>
    <row r="230" spans="4:31" x14ac:dyDescent="0.3">
      <c r="D230" s="136">
        <v>7</v>
      </c>
      <c r="E230" s="630"/>
      <c r="F230" s="630"/>
      <c r="G230" s="631"/>
      <c r="H230" s="631"/>
      <c r="I230" s="631"/>
      <c r="J230" s="138">
        <v>109.3</v>
      </c>
      <c r="K230" s="138">
        <v>334.9</v>
      </c>
      <c r="L230" s="138">
        <v>406.2</v>
      </c>
      <c r="M230" s="138"/>
      <c r="N230" s="138">
        <v>364.2</v>
      </c>
      <c r="O230" s="138">
        <v>360.1</v>
      </c>
      <c r="P230" s="138">
        <v>337.7</v>
      </c>
      <c r="Q230" s="138">
        <v>352.3</v>
      </c>
      <c r="R230" s="138"/>
      <c r="S230" s="138"/>
      <c r="T230" s="138"/>
      <c r="U230" s="138">
        <v>381.4</v>
      </c>
      <c r="V230" s="138">
        <v>330.4</v>
      </c>
      <c r="W230" s="138"/>
      <c r="X230" s="138"/>
      <c r="Y230" s="138"/>
      <c r="Z230" s="138"/>
      <c r="AA230" s="181"/>
      <c r="AB230" s="181"/>
      <c r="AC230" s="181"/>
      <c r="AD230" s="181"/>
      <c r="AE230" s="181"/>
    </row>
    <row r="231" spans="4:31" x14ac:dyDescent="0.3">
      <c r="D231" s="136">
        <v>8</v>
      </c>
      <c r="E231" s="630"/>
      <c r="F231" s="630"/>
      <c r="G231" s="631"/>
      <c r="H231" s="631"/>
      <c r="I231" s="631"/>
      <c r="J231" s="138">
        <v>109.4</v>
      </c>
      <c r="K231" s="138">
        <v>359.9</v>
      </c>
      <c r="L231" s="138">
        <v>419.9</v>
      </c>
      <c r="M231" s="138"/>
      <c r="N231" s="138">
        <v>377.3</v>
      </c>
      <c r="O231" s="138">
        <v>375.4</v>
      </c>
      <c r="P231" s="138">
        <v>354.3</v>
      </c>
      <c r="Q231" s="138">
        <v>370.1</v>
      </c>
      <c r="R231" s="138"/>
      <c r="S231" s="138"/>
      <c r="T231" s="138"/>
      <c r="U231" s="138">
        <v>397.3</v>
      </c>
      <c r="V231" s="138">
        <v>346.2</v>
      </c>
      <c r="W231" s="138"/>
      <c r="X231" s="138"/>
      <c r="Y231" s="138"/>
      <c r="Z231" s="138"/>
      <c r="AA231" s="18"/>
      <c r="AB231" s="18"/>
      <c r="AC231" s="18"/>
      <c r="AD231" s="18"/>
      <c r="AE231" s="18"/>
    </row>
    <row r="232" spans="4:31" x14ac:dyDescent="0.3">
      <c r="D232" s="136">
        <v>9</v>
      </c>
      <c r="E232" s="630"/>
      <c r="F232" s="630"/>
      <c r="G232" s="631"/>
      <c r="H232" s="631"/>
      <c r="I232" s="631"/>
      <c r="J232" s="138">
        <v>109.5</v>
      </c>
      <c r="K232" s="138">
        <v>382</v>
      </c>
      <c r="L232" s="138">
        <v>433.6</v>
      </c>
      <c r="M232" s="138"/>
      <c r="N232" s="138">
        <v>388.8</v>
      </c>
      <c r="O232" s="138">
        <v>389.1</v>
      </c>
      <c r="P232" s="138">
        <v>369.8</v>
      </c>
      <c r="Q232" s="138">
        <v>386.7</v>
      </c>
      <c r="R232" s="138"/>
      <c r="S232" s="138"/>
      <c r="T232" s="138"/>
      <c r="U232" s="138">
        <v>410.7</v>
      </c>
      <c r="V232" s="138">
        <v>361.3</v>
      </c>
      <c r="W232" s="138"/>
      <c r="X232" s="138"/>
      <c r="Y232" s="138"/>
      <c r="Z232" s="138"/>
    </row>
    <row r="233" spans="4:31" x14ac:dyDescent="0.3">
      <c r="D233" s="623">
        <v>10</v>
      </c>
      <c r="E233" s="630"/>
      <c r="F233" s="630"/>
      <c r="G233" s="631"/>
      <c r="H233" s="631"/>
      <c r="I233" s="631"/>
      <c r="J233" s="625">
        <v>109.6</v>
      </c>
      <c r="K233" s="625">
        <v>399.6</v>
      </c>
      <c r="L233" s="625">
        <v>445.2</v>
      </c>
      <c r="M233" s="625"/>
      <c r="N233" s="625">
        <v>399.5</v>
      </c>
      <c r="O233" s="625">
        <v>401.5</v>
      </c>
      <c r="P233" s="625">
        <v>383.9</v>
      </c>
      <c r="Q233" s="625">
        <v>402</v>
      </c>
      <c r="R233" s="625"/>
      <c r="S233" s="625"/>
      <c r="T233" s="625"/>
      <c r="U233" s="625">
        <v>424.3</v>
      </c>
      <c r="V233" s="625">
        <v>376</v>
      </c>
      <c r="W233" s="625"/>
      <c r="X233" s="625"/>
      <c r="Y233" s="625"/>
      <c r="Z233" s="625"/>
    </row>
    <row r="234" spans="4:31" x14ac:dyDescent="0.3">
      <c r="D234" s="136">
        <v>11</v>
      </c>
      <c r="E234" s="630"/>
      <c r="F234" s="630"/>
      <c r="G234" s="631"/>
      <c r="H234" s="631"/>
      <c r="I234" s="631"/>
      <c r="J234" s="138">
        <v>109.7</v>
      </c>
      <c r="K234" s="138">
        <v>413.3</v>
      </c>
      <c r="L234" s="138">
        <v>457.3</v>
      </c>
      <c r="M234" s="138"/>
      <c r="N234" s="138">
        <v>409.9</v>
      </c>
      <c r="O234" s="138">
        <v>413.6</v>
      </c>
      <c r="P234" s="138">
        <v>397.5</v>
      </c>
      <c r="Q234" s="138">
        <v>416.6</v>
      </c>
      <c r="R234" s="138"/>
      <c r="S234" s="138"/>
      <c r="T234" s="138"/>
      <c r="U234" s="138">
        <v>436.9</v>
      </c>
      <c r="V234" s="138">
        <v>390.6</v>
      </c>
      <c r="W234" s="138"/>
      <c r="X234" s="138"/>
      <c r="Y234" s="138"/>
      <c r="Z234" s="138"/>
    </row>
    <row r="235" spans="4:31" x14ac:dyDescent="0.3">
      <c r="D235" s="136">
        <v>12</v>
      </c>
      <c r="E235" s="630"/>
      <c r="F235" s="630"/>
      <c r="G235" s="631"/>
      <c r="H235" s="631"/>
      <c r="I235" s="631"/>
      <c r="J235" s="138">
        <v>109.8</v>
      </c>
      <c r="K235" s="138">
        <v>428.1</v>
      </c>
      <c r="L235" s="138">
        <v>468.9</v>
      </c>
      <c r="M235" s="138"/>
      <c r="N235" s="138">
        <v>419.8</v>
      </c>
      <c r="O235" s="138">
        <v>425</v>
      </c>
      <c r="P235" s="138">
        <v>410.1</v>
      </c>
      <c r="Q235" s="138">
        <v>429.7</v>
      </c>
      <c r="R235" s="138"/>
      <c r="S235" s="138"/>
      <c r="T235" s="138"/>
      <c r="U235" s="138">
        <v>449</v>
      </c>
      <c r="V235" s="138">
        <v>400.8</v>
      </c>
      <c r="W235" s="138"/>
      <c r="X235" s="138"/>
      <c r="Y235" s="138"/>
      <c r="Z235" s="138"/>
    </row>
    <row r="236" spans="4:31" x14ac:dyDescent="0.3">
      <c r="D236" s="136">
        <v>13</v>
      </c>
      <c r="E236" s="630"/>
      <c r="F236" s="630"/>
      <c r="G236" s="631"/>
      <c r="H236" s="631"/>
      <c r="I236" s="631"/>
      <c r="J236" s="138">
        <v>109.9</v>
      </c>
      <c r="K236" s="138">
        <v>440.6</v>
      </c>
      <c r="L236" s="138">
        <v>479.4</v>
      </c>
      <c r="M236" s="138"/>
      <c r="N236" s="138">
        <v>428.9</v>
      </c>
      <c r="O236" s="138">
        <v>435.9</v>
      </c>
      <c r="P236" s="138">
        <v>421.9</v>
      </c>
      <c r="Q236" s="138">
        <v>442.8</v>
      </c>
      <c r="R236" s="138"/>
      <c r="S236" s="138"/>
      <c r="T236" s="138"/>
      <c r="U236" s="138">
        <v>461.1</v>
      </c>
      <c r="V236" s="138">
        <v>410.9</v>
      </c>
      <c r="W236" s="138"/>
      <c r="X236" s="138"/>
      <c r="Y236" s="138"/>
      <c r="Z236" s="138"/>
    </row>
    <row r="237" spans="4:31" x14ac:dyDescent="0.3">
      <c r="D237" s="136">
        <v>14</v>
      </c>
      <c r="E237" s="630"/>
      <c r="F237" s="630"/>
      <c r="G237" s="631"/>
      <c r="H237" s="631"/>
      <c r="I237" s="631"/>
      <c r="J237" s="138">
        <v>110</v>
      </c>
      <c r="K237" s="138">
        <v>452.4</v>
      </c>
      <c r="L237" s="138">
        <v>490.1</v>
      </c>
      <c r="M237" s="138"/>
      <c r="N237" s="138">
        <v>438.1</v>
      </c>
      <c r="O237" s="138">
        <v>446.4</v>
      </c>
      <c r="P237" s="138">
        <v>433.1</v>
      </c>
      <c r="Q237" s="138">
        <v>455.2</v>
      </c>
      <c r="R237" s="138"/>
      <c r="S237" s="138"/>
      <c r="T237" s="138"/>
      <c r="U237" s="138">
        <v>472.5</v>
      </c>
      <c r="V237" s="138">
        <v>425.2</v>
      </c>
      <c r="W237" s="138"/>
      <c r="X237" s="138"/>
      <c r="Y237" s="138"/>
      <c r="Z237" s="138"/>
    </row>
    <row r="238" spans="4:31" x14ac:dyDescent="0.3">
      <c r="D238" s="623">
        <v>15</v>
      </c>
      <c r="E238" s="630"/>
      <c r="F238" s="630"/>
      <c r="G238" s="631"/>
      <c r="H238" s="631"/>
      <c r="I238" s="631"/>
      <c r="J238" s="625">
        <v>110.1</v>
      </c>
      <c r="K238" s="625">
        <v>464.9</v>
      </c>
      <c r="L238" s="625">
        <v>499.8</v>
      </c>
      <c r="M238" s="625"/>
      <c r="N238" s="625">
        <v>446.9</v>
      </c>
      <c r="O238" s="625">
        <v>456.6</v>
      </c>
      <c r="P238" s="625">
        <v>444.1</v>
      </c>
      <c r="Q238" s="625">
        <v>467.3</v>
      </c>
      <c r="R238" s="625"/>
      <c r="S238" s="625"/>
      <c r="T238" s="625"/>
      <c r="U238" s="625">
        <v>483.3</v>
      </c>
      <c r="V238" s="625">
        <v>437</v>
      </c>
      <c r="W238" s="625"/>
      <c r="X238" s="625"/>
      <c r="Y238" s="625"/>
      <c r="Z238" s="625"/>
    </row>
    <row r="239" spans="4:31" x14ac:dyDescent="0.3">
      <c r="D239" s="136">
        <v>16</v>
      </c>
      <c r="E239" s="630"/>
      <c r="F239" s="630"/>
      <c r="G239" s="631"/>
      <c r="H239" s="631"/>
      <c r="I239" s="631"/>
      <c r="J239" s="138">
        <v>110.2</v>
      </c>
      <c r="K239" s="138">
        <v>475.9</v>
      </c>
      <c r="L239" s="138">
        <v>508</v>
      </c>
      <c r="M239" s="138"/>
      <c r="N239" s="138">
        <v>455.4</v>
      </c>
      <c r="O239" s="138">
        <v>466.6</v>
      </c>
      <c r="P239" s="138">
        <v>454.8</v>
      </c>
      <c r="Q239" s="138">
        <v>478.7</v>
      </c>
      <c r="R239" s="138"/>
      <c r="S239" s="138"/>
      <c r="T239" s="138"/>
      <c r="U239" s="138">
        <v>493.8</v>
      </c>
      <c r="V239" s="138">
        <v>446.5</v>
      </c>
      <c r="W239" s="138"/>
      <c r="X239" s="138"/>
      <c r="Y239" s="138"/>
      <c r="Z239" s="138"/>
    </row>
    <row r="240" spans="4:31" x14ac:dyDescent="0.3">
      <c r="D240" s="136">
        <v>17</v>
      </c>
      <c r="E240" s="630"/>
      <c r="F240" s="630"/>
      <c r="G240" s="631"/>
      <c r="H240" s="631"/>
      <c r="I240" s="631"/>
      <c r="J240" s="138">
        <v>110.3</v>
      </c>
      <c r="K240" s="138">
        <v>486.8</v>
      </c>
      <c r="L240" s="138">
        <v>516.70000000000005</v>
      </c>
      <c r="M240" s="138"/>
      <c r="N240" s="138">
        <v>463.7</v>
      </c>
      <c r="O240" s="138">
        <v>476.2</v>
      </c>
      <c r="P240" s="138">
        <v>465</v>
      </c>
      <c r="Q240" s="138">
        <v>489.8</v>
      </c>
      <c r="R240" s="138"/>
      <c r="S240" s="138"/>
      <c r="T240" s="138"/>
      <c r="U240" s="138">
        <v>502.8</v>
      </c>
      <c r="V240" s="138">
        <v>457.9</v>
      </c>
      <c r="W240" s="138"/>
      <c r="X240" s="138"/>
      <c r="Y240" s="138"/>
      <c r="Z240" s="138"/>
    </row>
    <row r="241" spans="4:26" x14ac:dyDescent="0.3">
      <c r="D241" s="136">
        <v>18</v>
      </c>
      <c r="E241" s="630"/>
      <c r="F241" s="630"/>
      <c r="G241" s="631"/>
      <c r="H241" s="631"/>
      <c r="I241" s="631"/>
      <c r="J241" s="138">
        <v>110.3</v>
      </c>
      <c r="K241" s="138">
        <v>497.6</v>
      </c>
      <c r="L241" s="138">
        <v>524.6</v>
      </c>
      <c r="M241" s="138"/>
      <c r="N241" s="138">
        <v>471.7</v>
      </c>
      <c r="O241" s="138">
        <v>485.5</v>
      </c>
      <c r="P241" s="138">
        <v>475</v>
      </c>
      <c r="Q241" s="138">
        <v>499.7</v>
      </c>
      <c r="R241" s="138"/>
      <c r="S241" s="138"/>
      <c r="T241" s="138"/>
      <c r="U241" s="138">
        <v>511.3</v>
      </c>
      <c r="V241" s="138">
        <v>468.9</v>
      </c>
      <c r="W241" s="138"/>
      <c r="X241" s="138"/>
      <c r="Y241" s="138"/>
      <c r="Z241" s="138"/>
    </row>
    <row r="242" spans="4:26" x14ac:dyDescent="0.3">
      <c r="D242" s="136">
        <v>19</v>
      </c>
      <c r="E242" s="630"/>
      <c r="F242" s="630"/>
      <c r="G242" s="631"/>
      <c r="H242" s="631"/>
      <c r="I242" s="631"/>
      <c r="J242" s="138">
        <v>110.4</v>
      </c>
      <c r="K242" s="138">
        <v>506.5</v>
      </c>
      <c r="L242" s="138">
        <v>531.29999999999995</v>
      </c>
      <c r="M242" s="138"/>
      <c r="N242" s="138">
        <v>479.4</v>
      </c>
      <c r="O242" s="138">
        <v>494.3</v>
      </c>
      <c r="P242" s="138">
        <v>484.6</v>
      </c>
      <c r="Q242" s="138">
        <v>508.5</v>
      </c>
      <c r="R242" s="138"/>
      <c r="S242" s="138"/>
      <c r="T242" s="138"/>
      <c r="U242" s="138">
        <v>519.70000000000005</v>
      </c>
      <c r="V242" s="138">
        <v>478.1</v>
      </c>
      <c r="W242" s="138"/>
      <c r="X242" s="138"/>
      <c r="Y242" s="138"/>
      <c r="Z242" s="138"/>
    </row>
    <row r="243" spans="4:26" x14ac:dyDescent="0.3">
      <c r="D243" s="623">
        <v>20</v>
      </c>
      <c r="E243" s="630"/>
      <c r="F243" s="630"/>
      <c r="G243" s="631"/>
      <c r="H243" s="631"/>
      <c r="I243" s="631"/>
      <c r="J243" s="625">
        <v>110.5</v>
      </c>
      <c r="K243" s="625">
        <v>515.6</v>
      </c>
      <c r="L243" s="625">
        <v>537.5</v>
      </c>
      <c r="M243" s="625"/>
      <c r="N243" s="625">
        <v>486.8</v>
      </c>
      <c r="O243" s="625">
        <v>502.1</v>
      </c>
      <c r="P243" s="625">
        <v>493.8</v>
      </c>
      <c r="Q243" s="625">
        <v>517.29999999999995</v>
      </c>
      <c r="R243" s="625"/>
      <c r="S243" s="625"/>
      <c r="T243" s="625"/>
      <c r="U243" s="625">
        <v>527</v>
      </c>
      <c r="V243" s="625">
        <v>487.9</v>
      </c>
      <c r="W243" s="625"/>
      <c r="X243" s="625"/>
      <c r="Y243" s="625"/>
      <c r="Z243" s="625"/>
    </row>
    <row r="244" spans="4:26" x14ac:dyDescent="0.3">
      <c r="D244" s="136">
        <v>21</v>
      </c>
      <c r="E244" s="630"/>
      <c r="F244" s="630"/>
      <c r="G244" s="631"/>
      <c r="H244" s="631"/>
      <c r="I244" s="631"/>
      <c r="J244" s="138">
        <v>110.6</v>
      </c>
      <c r="K244" s="138">
        <v>524.20000000000005</v>
      </c>
      <c r="L244" s="138">
        <v>543.20000000000005</v>
      </c>
      <c r="M244" s="138"/>
      <c r="N244" s="138">
        <v>493.8</v>
      </c>
      <c r="O244" s="138">
        <v>509.1</v>
      </c>
      <c r="P244" s="138">
        <v>502</v>
      </c>
      <c r="Q244" s="138">
        <v>525.1</v>
      </c>
      <c r="R244" s="138"/>
      <c r="S244" s="138"/>
      <c r="T244" s="138"/>
      <c r="U244" s="138">
        <v>533.5</v>
      </c>
      <c r="V244" s="138">
        <v>497.5</v>
      </c>
      <c r="W244" s="138"/>
      <c r="X244" s="138"/>
      <c r="Y244" s="138"/>
      <c r="Z244" s="138"/>
    </row>
    <row r="245" spans="4:26" x14ac:dyDescent="0.3">
      <c r="D245" s="136">
        <v>22</v>
      </c>
      <c r="E245" s="630"/>
      <c r="F245" s="630"/>
      <c r="G245" s="631"/>
      <c r="H245" s="631"/>
      <c r="I245" s="631"/>
      <c r="J245" s="138">
        <v>110.6</v>
      </c>
      <c r="K245" s="138">
        <v>531.5</v>
      </c>
      <c r="L245" s="138">
        <v>548.70000000000005</v>
      </c>
      <c r="M245" s="138"/>
      <c r="N245" s="138">
        <v>500</v>
      </c>
      <c r="O245" s="138">
        <v>516.29999999999995</v>
      </c>
      <c r="P245" s="138">
        <v>509.5</v>
      </c>
      <c r="Q245" s="138">
        <v>531.9</v>
      </c>
      <c r="R245" s="138"/>
      <c r="S245" s="138"/>
      <c r="T245" s="138"/>
      <c r="U245" s="138">
        <v>539.20000000000005</v>
      </c>
      <c r="V245" s="138">
        <v>505.2</v>
      </c>
      <c r="W245" s="138"/>
      <c r="X245" s="138"/>
      <c r="Y245" s="138"/>
      <c r="Z245" s="138"/>
    </row>
    <row r="246" spans="4:26" x14ac:dyDescent="0.3">
      <c r="D246" s="136">
        <v>23</v>
      </c>
      <c r="E246" s="630"/>
      <c r="F246" s="630"/>
      <c r="G246" s="631"/>
      <c r="H246" s="631"/>
      <c r="I246" s="631"/>
      <c r="J246" s="138">
        <v>110.7</v>
      </c>
      <c r="K246" s="138">
        <v>538.20000000000005</v>
      </c>
      <c r="L246" s="138">
        <v>553.79999999999995</v>
      </c>
      <c r="M246" s="138"/>
      <c r="N246" s="138">
        <v>505.7</v>
      </c>
      <c r="O246" s="138">
        <v>523</v>
      </c>
      <c r="P246" s="138">
        <v>517.20000000000005</v>
      </c>
      <c r="Q246" s="138">
        <v>537.9</v>
      </c>
      <c r="R246" s="138"/>
      <c r="S246" s="138"/>
      <c r="T246" s="138"/>
      <c r="U246" s="138">
        <v>544.29999999999995</v>
      </c>
      <c r="V246" s="138">
        <v>513</v>
      </c>
      <c r="W246" s="138"/>
      <c r="X246" s="138"/>
      <c r="Y246" s="138"/>
      <c r="Z246" s="138"/>
    </row>
    <row r="247" spans="4:26" x14ac:dyDescent="0.3">
      <c r="D247" s="136">
        <v>24</v>
      </c>
      <c r="E247" s="630"/>
      <c r="F247" s="630"/>
      <c r="G247" s="631"/>
      <c r="H247" s="631"/>
      <c r="I247" s="631"/>
      <c r="J247" s="138">
        <v>110.8</v>
      </c>
      <c r="K247" s="138">
        <v>544.4</v>
      </c>
      <c r="L247" s="138">
        <v>558.4</v>
      </c>
      <c r="M247" s="138"/>
      <c r="N247" s="138">
        <v>511.2</v>
      </c>
      <c r="O247" s="138">
        <v>528.70000000000005</v>
      </c>
      <c r="P247" s="138">
        <v>524.20000000000005</v>
      </c>
      <c r="Q247" s="138">
        <v>543.20000000000005</v>
      </c>
      <c r="R247" s="138"/>
      <c r="S247" s="138"/>
      <c r="T247" s="138"/>
      <c r="U247" s="138">
        <v>549.20000000000005</v>
      </c>
      <c r="V247" s="138">
        <v>520.9</v>
      </c>
      <c r="W247" s="138"/>
      <c r="X247" s="138"/>
      <c r="Y247" s="138"/>
      <c r="Z247" s="138"/>
    </row>
    <row r="248" spans="4:26" x14ac:dyDescent="0.3">
      <c r="D248" s="136">
        <v>25</v>
      </c>
      <c r="E248" s="630"/>
      <c r="F248" s="630"/>
      <c r="G248" s="631"/>
      <c r="H248" s="631"/>
      <c r="I248" s="631"/>
      <c r="J248" s="138">
        <v>110.8</v>
      </c>
      <c r="K248" s="138">
        <v>550.29999999999995</v>
      </c>
      <c r="L248" s="138">
        <v>562.5</v>
      </c>
      <c r="M248" s="138"/>
      <c r="N248" s="138">
        <v>516.6</v>
      </c>
      <c r="O248" s="138">
        <v>534</v>
      </c>
      <c r="P248" s="138">
        <v>530.4</v>
      </c>
      <c r="Q248" s="138">
        <v>548.29999999999995</v>
      </c>
      <c r="R248" s="138"/>
      <c r="S248" s="138"/>
      <c r="T248" s="138"/>
      <c r="U248" s="138">
        <v>553.79999999999995</v>
      </c>
      <c r="V248" s="138">
        <v>527.5</v>
      </c>
      <c r="W248" s="138"/>
      <c r="X248" s="138"/>
      <c r="Y248" s="138"/>
      <c r="Z248" s="138"/>
    </row>
    <row r="249" spans="4:26" x14ac:dyDescent="0.3">
      <c r="D249" s="136">
        <v>26</v>
      </c>
      <c r="E249" s="630"/>
      <c r="F249" s="630"/>
      <c r="G249" s="631"/>
      <c r="H249" s="631"/>
      <c r="I249" s="631"/>
      <c r="J249" s="138">
        <v>110.9</v>
      </c>
      <c r="K249" s="138">
        <v>555.79999999999995</v>
      </c>
      <c r="L249" s="138">
        <v>566.29999999999995</v>
      </c>
      <c r="M249" s="138"/>
      <c r="N249" s="138">
        <v>521.6</v>
      </c>
      <c r="O249" s="138">
        <v>538.79999999999995</v>
      </c>
      <c r="P249" s="138">
        <v>536</v>
      </c>
      <c r="Q249" s="138">
        <v>553.1</v>
      </c>
      <c r="R249" s="138"/>
      <c r="S249" s="138"/>
      <c r="T249" s="138"/>
      <c r="U249" s="138">
        <v>557.9</v>
      </c>
      <c r="V249" s="138">
        <v>533.6</v>
      </c>
      <c r="W249" s="138"/>
      <c r="X249" s="138"/>
      <c r="Y249" s="138"/>
      <c r="Z249" s="138"/>
    </row>
    <row r="250" spans="4:26" x14ac:dyDescent="0.3">
      <c r="D250" s="136">
        <v>27</v>
      </c>
      <c r="E250" s="630"/>
      <c r="F250" s="630"/>
      <c r="G250" s="631"/>
      <c r="H250" s="631"/>
      <c r="I250" s="631"/>
      <c r="J250" s="138">
        <v>110.9</v>
      </c>
      <c r="K250" s="138">
        <v>560.4</v>
      </c>
      <c r="L250" s="138">
        <v>569.70000000000005</v>
      </c>
      <c r="M250" s="138"/>
      <c r="N250" s="138">
        <v>526.1</v>
      </c>
      <c r="O250" s="138">
        <v>543.29999999999995</v>
      </c>
      <c r="P250" s="138">
        <v>541.1</v>
      </c>
      <c r="Q250" s="138">
        <v>557.4</v>
      </c>
      <c r="R250" s="138"/>
      <c r="S250" s="138"/>
      <c r="T250" s="138"/>
      <c r="U250" s="138">
        <v>561.79999999999995</v>
      </c>
      <c r="V250" s="138">
        <v>539.1</v>
      </c>
      <c r="W250" s="138"/>
      <c r="X250" s="138"/>
      <c r="Y250" s="138"/>
      <c r="Z250" s="138"/>
    </row>
    <row r="251" spans="4:26" x14ac:dyDescent="0.3">
      <c r="D251" s="136">
        <v>28</v>
      </c>
      <c r="E251" s="630"/>
      <c r="F251" s="630"/>
      <c r="G251" s="631"/>
      <c r="H251" s="631"/>
      <c r="I251" s="631"/>
      <c r="J251" s="138">
        <v>111</v>
      </c>
      <c r="K251" s="138">
        <v>564.70000000000005</v>
      </c>
      <c r="L251" s="138">
        <v>573</v>
      </c>
      <c r="M251" s="138"/>
      <c r="N251" s="138">
        <v>530.20000000000005</v>
      </c>
      <c r="O251" s="138">
        <v>547.6</v>
      </c>
      <c r="P251" s="138">
        <v>545.79999999999995</v>
      </c>
      <c r="Q251" s="138">
        <v>561.4</v>
      </c>
      <c r="R251" s="138"/>
      <c r="S251" s="138"/>
      <c r="T251" s="138"/>
      <c r="U251" s="138">
        <v>565.4</v>
      </c>
      <c r="V251" s="138">
        <v>544.20000000000005</v>
      </c>
      <c r="W251" s="138"/>
      <c r="X251" s="138"/>
      <c r="Y251" s="138"/>
      <c r="Z251" s="138"/>
    </row>
    <row r="252" spans="4:26" x14ac:dyDescent="0.3">
      <c r="D252" s="136">
        <v>29</v>
      </c>
      <c r="E252" s="630"/>
      <c r="F252" s="630"/>
      <c r="G252" s="631"/>
      <c r="H252" s="631"/>
      <c r="I252" s="631"/>
      <c r="J252" s="138">
        <v>111</v>
      </c>
      <c r="K252" s="138">
        <v>568.6</v>
      </c>
      <c r="L252" s="138">
        <v>576.20000000000005</v>
      </c>
      <c r="M252" s="138"/>
      <c r="N252" s="138">
        <v>534</v>
      </c>
      <c r="O252" s="138">
        <v>551.79999999999995</v>
      </c>
      <c r="P252" s="138">
        <v>550.29999999999995</v>
      </c>
      <c r="Q252" s="138">
        <v>565.1</v>
      </c>
      <c r="R252" s="138"/>
      <c r="S252" s="138"/>
      <c r="T252" s="138"/>
      <c r="U252" s="138">
        <v>568.6</v>
      </c>
      <c r="V252" s="138">
        <v>549.20000000000005</v>
      </c>
      <c r="W252" s="138"/>
      <c r="X252" s="138"/>
      <c r="Y252" s="138"/>
      <c r="Z252" s="138"/>
    </row>
    <row r="253" spans="4:26" x14ac:dyDescent="0.3">
      <c r="D253" s="623">
        <v>30</v>
      </c>
      <c r="E253" s="630"/>
      <c r="F253" s="630"/>
      <c r="G253" s="631"/>
      <c r="H253" s="631"/>
      <c r="I253" s="631"/>
      <c r="J253" s="625">
        <v>111.1</v>
      </c>
      <c r="K253" s="625">
        <v>572.20000000000005</v>
      </c>
      <c r="L253" s="625">
        <v>579.29999999999995</v>
      </c>
      <c r="M253" s="625"/>
      <c r="N253" s="625">
        <v>537.6</v>
      </c>
      <c r="O253" s="625">
        <v>555.70000000000005</v>
      </c>
      <c r="P253" s="625">
        <v>554.6</v>
      </c>
      <c r="Q253" s="625">
        <v>568.5</v>
      </c>
      <c r="R253" s="625"/>
      <c r="S253" s="625"/>
      <c r="T253" s="625"/>
      <c r="U253" s="625">
        <v>571.79999999999995</v>
      </c>
      <c r="V253" s="625">
        <v>553.79999999999995</v>
      </c>
      <c r="W253" s="625"/>
      <c r="X253" s="625"/>
      <c r="Y253" s="625"/>
      <c r="Z253" s="625"/>
    </row>
    <row r="254" spans="4:26" x14ac:dyDescent="0.3">
      <c r="D254" s="136">
        <v>31</v>
      </c>
      <c r="E254" s="630"/>
      <c r="F254" s="630"/>
      <c r="G254" s="631"/>
      <c r="H254" s="631"/>
      <c r="I254" s="631"/>
      <c r="J254" s="138">
        <v>111.2</v>
      </c>
      <c r="K254" s="138">
        <v>575.6</v>
      </c>
      <c r="L254" s="138">
        <v>582.4</v>
      </c>
      <c r="M254" s="138"/>
      <c r="N254" s="138">
        <v>541</v>
      </c>
      <c r="O254" s="138">
        <v>559.29999999999995</v>
      </c>
      <c r="P254" s="138">
        <v>558.4</v>
      </c>
      <c r="Q254" s="138">
        <v>571.70000000000005</v>
      </c>
      <c r="R254" s="138"/>
      <c r="S254" s="138"/>
      <c r="T254" s="138"/>
      <c r="U254" s="138">
        <v>574.9</v>
      </c>
      <c r="V254" s="138">
        <v>558.1</v>
      </c>
      <c r="W254" s="138"/>
      <c r="X254" s="138"/>
      <c r="Y254" s="138"/>
      <c r="Z254" s="138"/>
    </row>
    <row r="255" spans="4:26" x14ac:dyDescent="0.3">
      <c r="D255" s="136">
        <v>32</v>
      </c>
      <c r="E255" s="630"/>
      <c r="F255" s="630"/>
      <c r="G255" s="631"/>
      <c r="H255" s="631"/>
      <c r="I255" s="631"/>
      <c r="J255" s="138">
        <v>111.2</v>
      </c>
      <c r="K255" s="138">
        <v>579</v>
      </c>
      <c r="L255" s="138">
        <v>585.29999999999995</v>
      </c>
      <c r="M255" s="138"/>
      <c r="N255" s="138">
        <v>544.20000000000005</v>
      </c>
      <c r="O255" s="138">
        <v>562.6</v>
      </c>
      <c r="P255" s="138">
        <v>561.9</v>
      </c>
      <c r="Q255" s="138">
        <v>574.9</v>
      </c>
      <c r="R255" s="138"/>
      <c r="S255" s="138"/>
      <c r="T255" s="138"/>
      <c r="U255" s="138">
        <v>578.1</v>
      </c>
      <c r="V255" s="138">
        <v>562</v>
      </c>
      <c r="W255" s="138"/>
      <c r="X255" s="138"/>
      <c r="Y255" s="138"/>
      <c r="Z255" s="138"/>
    </row>
    <row r="256" spans="4:26" x14ac:dyDescent="0.3">
      <c r="D256" s="136">
        <v>33</v>
      </c>
      <c r="E256" s="630"/>
      <c r="F256" s="630"/>
      <c r="G256" s="631"/>
      <c r="H256" s="631"/>
      <c r="I256" s="631"/>
      <c r="J256" s="138">
        <v>111.3</v>
      </c>
      <c r="K256" s="138">
        <v>582.29999999999995</v>
      </c>
      <c r="L256" s="138">
        <v>588.1</v>
      </c>
      <c r="M256" s="138"/>
      <c r="N256" s="138">
        <v>547.4</v>
      </c>
      <c r="O256" s="138">
        <v>565.9</v>
      </c>
      <c r="P256" s="138">
        <v>565.29999999999995</v>
      </c>
      <c r="Q256" s="138">
        <v>578.20000000000005</v>
      </c>
      <c r="R256" s="138"/>
      <c r="S256" s="138"/>
      <c r="T256" s="138"/>
      <c r="U256" s="138">
        <v>581.29999999999995</v>
      </c>
      <c r="V256" s="138">
        <v>565.79999999999995</v>
      </c>
      <c r="W256" s="138"/>
      <c r="X256" s="138"/>
      <c r="Y256" s="138"/>
      <c r="Z256" s="138"/>
    </row>
    <row r="257" spans="4:26" x14ac:dyDescent="0.3">
      <c r="D257" s="136">
        <v>34</v>
      </c>
      <c r="E257" s="630"/>
      <c r="F257" s="630"/>
      <c r="G257" s="631"/>
      <c r="H257" s="631"/>
      <c r="I257" s="631"/>
      <c r="J257" s="138">
        <v>111.3</v>
      </c>
      <c r="K257" s="138">
        <v>585.4</v>
      </c>
      <c r="L257" s="138">
        <v>590.9</v>
      </c>
      <c r="M257" s="138"/>
      <c r="N257" s="138">
        <v>550.5</v>
      </c>
      <c r="O257" s="138">
        <v>568.9</v>
      </c>
      <c r="P257" s="138">
        <v>568.5</v>
      </c>
      <c r="Q257" s="138">
        <v>581.4</v>
      </c>
      <c r="R257" s="138"/>
      <c r="S257" s="138"/>
      <c r="T257" s="138"/>
      <c r="U257" s="138">
        <v>584.5</v>
      </c>
      <c r="V257" s="138">
        <v>569.20000000000005</v>
      </c>
      <c r="W257" s="138"/>
      <c r="X257" s="138"/>
      <c r="Y257" s="138"/>
      <c r="Z257" s="138"/>
    </row>
    <row r="258" spans="4:26" x14ac:dyDescent="0.3">
      <c r="D258" s="136">
        <v>35</v>
      </c>
      <c r="E258" s="630"/>
      <c r="F258" s="630"/>
      <c r="G258" s="631"/>
      <c r="H258" s="631"/>
      <c r="I258" s="631"/>
      <c r="J258" s="138">
        <v>111.4</v>
      </c>
      <c r="K258" s="138">
        <v>588.4</v>
      </c>
      <c r="L258" s="138">
        <v>593.6</v>
      </c>
      <c r="M258" s="138"/>
      <c r="N258" s="138">
        <v>553.5</v>
      </c>
      <c r="O258" s="138">
        <v>571.70000000000005</v>
      </c>
      <c r="P258" s="138">
        <v>571.4</v>
      </c>
      <c r="Q258" s="138">
        <v>584.6</v>
      </c>
      <c r="R258" s="138"/>
      <c r="S258" s="138"/>
      <c r="T258" s="138"/>
      <c r="U258" s="138">
        <v>587.5</v>
      </c>
      <c r="V258" s="138">
        <v>572.4</v>
      </c>
      <c r="W258" s="138"/>
      <c r="X258" s="138"/>
      <c r="Y258" s="138"/>
      <c r="Z258" s="138"/>
    </row>
    <row r="259" spans="4:26" x14ac:dyDescent="0.3">
      <c r="D259" s="136">
        <v>36</v>
      </c>
      <c r="E259" s="630"/>
      <c r="F259" s="630"/>
      <c r="G259" s="631"/>
      <c r="H259" s="631"/>
      <c r="I259" s="631"/>
      <c r="J259" s="138">
        <v>150.80000000000001</v>
      </c>
      <c r="K259" s="138">
        <v>591.4</v>
      </c>
      <c r="L259" s="138">
        <v>596.20000000000005</v>
      </c>
      <c r="M259" s="138"/>
      <c r="N259" s="138">
        <v>556.29999999999995</v>
      </c>
      <c r="O259" s="138">
        <v>574.6</v>
      </c>
      <c r="P259" s="138">
        <v>574.29999999999995</v>
      </c>
      <c r="Q259" s="138">
        <v>587.79999999999995</v>
      </c>
      <c r="R259" s="138"/>
      <c r="S259" s="138"/>
      <c r="T259" s="138"/>
      <c r="U259" s="138">
        <v>590.5</v>
      </c>
      <c r="V259" s="138">
        <v>575.6</v>
      </c>
      <c r="W259" s="138"/>
      <c r="X259" s="138"/>
      <c r="Y259" s="138"/>
      <c r="Z259" s="138"/>
    </row>
    <row r="260" spans="4:26" x14ac:dyDescent="0.3">
      <c r="D260" s="136">
        <v>37</v>
      </c>
      <c r="E260" s="630"/>
      <c r="F260" s="630"/>
      <c r="G260" s="631"/>
      <c r="H260" s="631"/>
      <c r="I260" s="631"/>
      <c r="J260" s="138">
        <v>157.5</v>
      </c>
      <c r="K260" s="138">
        <v>594.20000000000005</v>
      </c>
      <c r="L260" s="138">
        <v>598.9</v>
      </c>
      <c r="M260" s="138"/>
      <c r="N260" s="138">
        <v>559</v>
      </c>
      <c r="O260" s="138">
        <v>577.5</v>
      </c>
      <c r="P260" s="138">
        <v>577.29999999999995</v>
      </c>
      <c r="Q260" s="138">
        <v>590.9</v>
      </c>
      <c r="R260" s="138"/>
      <c r="S260" s="138"/>
      <c r="T260" s="138"/>
      <c r="U260" s="138">
        <v>593.5</v>
      </c>
      <c r="V260" s="138">
        <v>578.9</v>
      </c>
      <c r="W260" s="138"/>
      <c r="X260" s="138"/>
      <c r="Y260" s="138"/>
      <c r="Z260" s="138"/>
    </row>
    <row r="261" spans="4:26" x14ac:dyDescent="0.3">
      <c r="D261" s="136">
        <v>38</v>
      </c>
      <c r="E261" s="630"/>
      <c r="F261" s="630"/>
      <c r="G261" s="631"/>
      <c r="H261" s="631"/>
      <c r="I261" s="631"/>
      <c r="J261" s="138">
        <v>158.6</v>
      </c>
      <c r="K261" s="138">
        <v>597</v>
      </c>
      <c r="L261" s="138">
        <v>601.5</v>
      </c>
      <c r="M261" s="138"/>
      <c r="N261" s="138">
        <v>561.5</v>
      </c>
      <c r="O261" s="138">
        <v>580.4</v>
      </c>
      <c r="P261" s="138">
        <v>580.20000000000005</v>
      </c>
      <c r="Q261" s="138">
        <v>593.9</v>
      </c>
      <c r="R261" s="138"/>
      <c r="S261" s="138"/>
      <c r="T261" s="138"/>
      <c r="U261" s="138">
        <v>596.5</v>
      </c>
      <c r="V261" s="138">
        <v>582.1</v>
      </c>
      <c r="W261" s="138"/>
      <c r="X261" s="138"/>
      <c r="Y261" s="138"/>
      <c r="Z261" s="138"/>
    </row>
    <row r="262" spans="4:26" x14ac:dyDescent="0.3">
      <c r="D262" s="136">
        <v>39</v>
      </c>
      <c r="E262" s="630"/>
      <c r="F262" s="630"/>
      <c r="G262" s="631"/>
      <c r="H262" s="631"/>
      <c r="I262" s="631"/>
      <c r="J262" s="138">
        <v>158.80000000000001</v>
      </c>
      <c r="K262" s="138">
        <v>599.79999999999995</v>
      </c>
      <c r="L262" s="138">
        <v>604.20000000000005</v>
      </c>
      <c r="M262" s="138"/>
      <c r="N262" s="138">
        <v>564</v>
      </c>
      <c r="O262" s="138">
        <v>583.29999999999995</v>
      </c>
      <c r="P262" s="138">
        <v>583.20000000000005</v>
      </c>
      <c r="Q262" s="138">
        <v>597</v>
      </c>
      <c r="R262" s="138"/>
      <c r="S262" s="138"/>
      <c r="T262" s="138"/>
      <c r="U262" s="138">
        <v>599.5</v>
      </c>
      <c r="V262" s="138">
        <v>585.20000000000005</v>
      </c>
      <c r="W262" s="138"/>
      <c r="X262" s="138"/>
      <c r="Y262" s="138"/>
      <c r="Z262" s="138"/>
    </row>
    <row r="263" spans="4:26" x14ac:dyDescent="0.3">
      <c r="D263" s="623">
        <v>40</v>
      </c>
      <c r="E263" s="630"/>
      <c r="F263" s="630"/>
      <c r="G263" s="631"/>
      <c r="H263" s="631"/>
      <c r="I263" s="631"/>
      <c r="J263" s="625">
        <v>159</v>
      </c>
      <c r="K263" s="625">
        <v>602.6</v>
      </c>
      <c r="L263" s="625">
        <v>606.9</v>
      </c>
      <c r="M263" s="625"/>
      <c r="N263" s="625">
        <v>566.4</v>
      </c>
      <c r="O263" s="625">
        <v>586.1</v>
      </c>
      <c r="P263" s="625">
        <v>586.1</v>
      </c>
      <c r="Q263" s="625">
        <v>600</v>
      </c>
      <c r="R263" s="625"/>
      <c r="S263" s="625"/>
      <c r="T263" s="625"/>
      <c r="U263" s="625">
        <v>602.6</v>
      </c>
      <c r="V263" s="625">
        <v>588.4</v>
      </c>
      <c r="W263" s="625"/>
      <c r="X263" s="625"/>
      <c r="Y263" s="625"/>
      <c r="Z263" s="625"/>
    </row>
    <row r="264" spans="4:26" x14ac:dyDescent="0.3">
      <c r="D264" s="136">
        <v>41</v>
      </c>
      <c r="E264" s="630"/>
      <c r="F264" s="630"/>
      <c r="G264" s="631"/>
      <c r="H264" s="631"/>
      <c r="I264" s="631"/>
      <c r="J264" s="138">
        <v>159.30000000000001</v>
      </c>
      <c r="K264" s="138">
        <v>605.5</v>
      </c>
      <c r="L264" s="138">
        <v>609.5</v>
      </c>
      <c r="M264" s="138"/>
      <c r="N264" s="138">
        <v>568.6</v>
      </c>
      <c r="O264" s="138">
        <v>588.9</v>
      </c>
      <c r="P264" s="138">
        <v>589</v>
      </c>
      <c r="Q264" s="138">
        <v>603.20000000000005</v>
      </c>
      <c r="R264" s="138"/>
      <c r="S264" s="138"/>
      <c r="T264" s="138"/>
      <c r="U264" s="138">
        <v>605.79999999999995</v>
      </c>
      <c r="V264" s="138">
        <v>591.5</v>
      </c>
      <c r="W264" s="138"/>
      <c r="X264" s="138"/>
      <c r="Y264" s="138"/>
      <c r="Z264" s="138"/>
    </row>
    <row r="265" spans="4:26" x14ac:dyDescent="0.3">
      <c r="D265" s="136">
        <v>42</v>
      </c>
      <c r="E265" s="630"/>
      <c r="F265" s="630"/>
      <c r="G265" s="631"/>
      <c r="H265" s="631"/>
      <c r="I265" s="631"/>
      <c r="J265" s="138">
        <v>160.19999999999999</v>
      </c>
      <c r="K265" s="138">
        <v>608.29999999999995</v>
      </c>
      <c r="L265" s="138">
        <v>612.1</v>
      </c>
      <c r="M265" s="138"/>
      <c r="N265" s="138">
        <v>570.79999999999995</v>
      </c>
      <c r="O265" s="138">
        <v>591.79999999999995</v>
      </c>
      <c r="P265" s="138">
        <v>591.9</v>
      </c>
      <c r="Q265" s="138">
        <v>606.5</v>
      </c>
      <c r="R265" s="138"/>
      <c r="S265" s="138"/>
      <c r="T265" s="138"/>
      <c r="U265" s="138">
        <v>608.9</v>
      </c>
      <c r="V265" s="138">
        <v>594.5</v>
      </c>
      <c r="W265" s="138"/>
      <c r="X265" s="138"/>
      <c r="Y265" s="138"/>
      <c r="Z265" s="138"/>
    </row>
    <row r="266" spans="4:26" x14ac:dyDescent="0.3">
      <c r="D266" s="136">
        <v>43</v>
      </c>
      <c r="E266" s="630"/>
      <c r="F266" s="630"/>
      <c r="G266" s="631"/>
      <c r="H266" s="631"/>
      <c r="I266" s="631"/>
      <c r="J266" s="138">
        <v>161</v>
      </c>
      <c r="K266" s="138">
        <v>611</v>
      </c>
      <c r="L266" s="138">
        <v>614.70000000000005</v>
      </c>
      <c r="M266" s="138"/>
      <c r="N266" s="138">
        <v>572.9</v>
      </c>
      <c r="O266" s="138">
        <v>594.5</v>
      </c>
      <c r="P266" s="138">
        <v>594.70000000000005</v>
      </c>
      <c r="Q266" s="138">
        <v>609.70000000000005</v>
      </c>
      <c r="R266" s="138"/>
      <c r="S266" s="138"/>
      <c r="T266" s="138"/>
      <c r="U266" s="138">
        <v>612.1</v>
      </c>
      <c r="V266" s="138">
        <v>597.5</v>
      </c>
      <c r="W266" s="138"/>
      <c r="X266" s="138"/>
      <c r="Y266" s="138"/>
      <c r="Z266" s="138"/>
    </row>
    <row r="267" spans="4:26" x14ac:dyDescent="0.3">
      <c r="D267" s="136">
        <v>44</v>
      </c>
      <c r="E267" s="630"/>
      <c r="F267" s="630"/>
      <c r="G267" s="631"/>
      <c r="H267" s="631"/>
      <c r="I267" s="631"/>
      <c r="J267" s="138">
        <v>162.30000000000001</v>
      </c>
      <c r="K267" s="138">
        <v>613.79999999999995</v>
      </c>
      <c r="L267" s="138">
        <v>617.4</v>
      </c>
      <c r="M267" s="138"/>
      <c r="N267" s="138">
        <v>575</v>
      </c>
      <c r="O267" s="138">
        <v>597.29999999999995</v>
      </c>
      <c r="P267" s="138">
        <v>597.5</v>
      </c>
      <c r="Q267" s="138">
        <v>613</v>
      </c>
      <c r="R267" s="138"/>
      <c r="S267" s="138"/>
      <c r="T267" s="138"/>
      <c r="U267" s="138">
        <v>615.29999999999995</v>
      </c>
      <c r="V267" s="138">
        <v>600.6</v>
      </c>
      <c r="W267" s="138"/>
      <c r="X267" s="138"/>
      <c r="Y267" s="138"/>
      <c r="Z267" s="138"/>
    </row>
    <row r="268" spans="4:26" x14ac:dyDescent="0.3">
      <c r="D268" s="136">
        <v>45</v>
      </c>
      <c r="E268" s="630"/>
      <c r="F268" s="630"/>
      <c r="G268" s="631"/>
      <c r="H268" s="631"/>
      <c r="I268" s="631"/>
      <c r="J268" s="138">
        <v>165.2</v>
      </c>
      <c r="K268" s="138">
        <v>616.6</v>
      </c>
      <c r="L268" s="138">
        <v>620.20000000000005</v>
      </c>
      <c r="M268" s="138"/>
      <c r="N268" s="138">
        <v>577.20000000000005</v>
      </c>
      <c r="O268" s="138">
        <v>600.1</v>
      </c>
      <c r="P268" s="138">
        <v>600.29999999999995</v>
      </c>
      <c r="Q268" s="138">
        <v>616.29999999999995</v>
      </c>
      <c r="R268" s="138"/>
      <c r="S268" s="138"/>
      <c r="T268" s="138"/>
      <c r="U268" s="138">
        <v>618.70000000000005</v>
      </c>
      <c r="V268" s="138">
        <v>603.79999999999995</v>
      </c>
      <c r="W268" s="138"/>
      <c r="X268" s="138"/>
      <c r="Y268" s="138"/>
      <c r="Z268" s="138"/>
    </row>
    <row r="269" spans="4:26" x14ac:dyDescent="0.3">
      <c r="D269" s="136">
        <v>46</v>
      </c>
      <c r="E269" s="630"/>
      <c r="F269" s="630"/>
      <c r="G269" s="631"/>
      <c r="H269" s="631"/>
      <c r="I269" s="631"/>
      <c r="J269" s="138">
        <v>165.5</v>
      </c>
      <c r="K269" s="138">
        <v>619.4</v>
      </c>
      <c r="L269" s="138">
        <v>622.9</v>
      </c>
      <c r="M269" s="138"/>
      <c r="N269" s="138">
        <v>579.4</v>
      </c>
      <c r="O269" s="138">
        <v>603</v>
      </c>
      <c r="P269" s="138">
        <v>603.4</v>
      </c>
      <c r="Q269" s="138">
        <v>619.79999999999995</v>
      </c>
      <c r="R269" s="138"/>
      <c r="S269" s="138"/>
      <c r="T269" s="138"/>
      <c r="U269" s="138">
        <v>622.20000000000005</v>
      </c>
      <c r="V269" s="138">
        <v>607</v>
      </c>
      <c r="W269" s="138"/>
      <c r="X269" s="138"/>
      <c r="Y269" s="138"/>
      <c r="Z269" s="138"/>
    </row>
    <row r="270" spans="4:26" x14ac:dyDescent="0.3">
      <c r="D270" s="136">
        <v>47</v>
      </c>
      <c r="E270" s="630"/>
      <c r="F270" s="630"/>
      <c r="G270" s="631"/>
      <c r="H270" s="631"/>
      <c r="I270" s="631"/>
      <c r="J270" s="138">
        <v>165.8</v>
      </c>
      <c r="K270" s="138">
        <v>622.29999999999995</v>
      </c>
      <c r="L270" s="138">
        <v>625.5</v>
      </c>
      <c r="M270" s="138"/>
      <c r="N270" s="138">
        <v>581.6</v>
      </c>
      <c r="O270" s="138">
        <v>606</v>
      </c>
      <c r="P270" s="138">
        <v>606.4</v>
      </c>
      <c r="Q270" s="138">
        <v>623.4</v>
      </c>
      <c r="R270" s="138"/>
      <c r="S270" s="138"/>
      <c r="T270" s="138"/>
      <c r="U270" s="138">
        <v>625.6</v>
      </c>
      <c r="V270" s="138">
        <v>610.20000000000005</v>
      </c>
      <c r="W270" s="138"/>
      <c r="X270" s="138"/>
      <c r="Y270" s="138"/>
      <c r="Z270" s="138"/>
    </row>
    <row r="271" spans="4:26" x14ac:dyDescent="0.3">
      <c r="D271" s="136">
        <v>48</v>
      </c>
      <c r="E271" s="630"/>
      <c r="F271" s="630"/>
      <c r="G271" s="631"/>
      <c r="H271" s="631"/>
      <c r="I271" s="631"/>
      <c r="J271" s="138">
        <v>166</v>
      </c>
      <c r="K271" s="138">
        <v>625.1</v>
      </c>
      <c r="L271" s="138">
        <v>628.20000000000005</v>
      </c>
      <c r="M271" s="138"/>
      <c r="N271" s="138">
        <v>583.79999999999995</v>
      </c>
      <c r="O271" s="138">
        <v>608.9</v>
      </c>
      <c r="P271" s="138">
        <v>609.4</v>
      </c>
      <c r="Q271" s="138">
        <v>626.79999999999995</v>
      </c>
      <c r="R271" s="138"/>
      <c r="S271" s="138"/>
      <c r="T271" s="138"/>
      <c r="U271" s="138">
        <v>629.1</v>
      </c>
      <c r="V271" s="138">
        <v>613.4</v>
      </c>
      <c r="W271" s="138"/>
      <c r="X271" s="138"/>
      <c r="Y271" s="138"/>
      <c r="Z271" s="138"/>
    </row>
    <row r="272" spans="4:26" x14ac:dyDescent="0.3">
      <c r="D272" s="136">
        <v>49</v>
      </c>
      <c r="E272" s="630"/>
      <c r="F272" s="630"/>
      <c r="G272" s="631"/>
      <c r="H272" s="631"/>
      <c r="I272" s="631"/>
      <c r="J272" s="138">
        <v>166.1</v>
      </c>
      <c r="K272" s="138">
        <v>627.9</v>
      </c>
      <c r="L272" s="138">
        <v>630.79999999999995</v>
      </c>
      <c r="M272" s="138"/>
      <c r="N272" s="138">
        <v>585.9</v>
      </c>
      <c r="O272" s="138">
        <v>611.79999999999995</v>
      </c>
      <c r="P272" s="138">
        <v>612.4</v>
      </c>
      <c r="Q272" s="138">
        <v>630.29999999999995</v>
      </c>
      <c r="R272" s="138"/>
      <c r="S272" s="138"/>
      <c r="T272" s="138"/>
      <c r="U272" s="138">
        <v>632.5</v>
      </c>
      <c r="V272" s="138">
        <v>616.6</v>
      </c>
      <c r="W272" s="138"/>
      <c r="X272" s="138"/>
      <c r="Y272" s="138"/>
      <c r="Z272" s="138"/>
    </row>
    <row r="273" spans="4:26" x14ac:dyDescent="0.3">
      <c r="D273" s="623">
        <v>50</v>
      </c>
      <c r="E273" s="630"/>
      <c r="F273" s="630"/>
      <c r="G273" s="631"/>
      <c r="H273" s="631"/>
      <c r="I273" s="631"/>
      <c r="J273" s="625">
        <v>166.3</v>
      </c>
      <c r="K273" s="625">
        <v>630.70000000000005</v>
      </c>
      <c r="L273" s="625">
        <v>633.5</v>
      </c>
      <c r="M273" s="625"/>
      <c r="N273" s="625">
        <v>588</v>
      </c>
      <c r="O273" s="625">
        <v>614.79999999999995</v>
      </c>
      <c r="P273" s="625">
        <v>615.5</v>
      </c>
      <c r="Q273" s="625">
        <v>633.70000000000005</v>
      </c>
      <c r="R273" s="625"/>
      <c r="S273" s="625"/>
      <c r="T273" s="625"/>
      <c r="U273" s="625">
        <v>636.1</v>
      </c>
      <c r="V273" s="625">
        <v>620.1</v>
      </c>
      <c r="W273" s="625"/>
      <c r="X273" s="625"/>
      <c r="Y273" s="625"/>
      <c r="Z273" s="625"/>
    </row>
    <row r="274" spans="4:26" x14ac:dyDescent="0.3">
      <c r="D274" s="136">
        <v>51</v>
      </c>
      <c r="E274" s="630"/>
      <c r="F274" s="630"/>
      <c r="G274" s="631"/>
      <c r="H274" s="631"/>
      <c r="I274" s="631"/>
      <c r="J274" s="138">
        <v>169.9</v>
      </c>
      <c r="K274" s="138">
        <v>633.4</v>
      </c>
      <c r="L274" s="138">
        <v>636.1</v>
      </c>
      <c r="M274" s="138"/>
      <c r="N274" s="138">
        <v>590.1</v>
      </c>
      <c r="O274" s="138">
        <v>617.9</v>
      </c>
      <c r="P274" s="138">
        <v>618.79999999999995</v>
      </c>
      <c r="Q274" s="138">
        <v>637.4</v>
      </c>
      <c r="R274" s="138"/>
      <c r="S274" s="138"/>
      <c r="T274" s="138"/>
      <c r="U274" s="138">
        <v>639.79999999999995</v>
      </c>
      <c r="V274" s="138">
        <v>623.5</v>
      </c>
      <c r="W274" s="138"/>
      <c r="X274" s="138"/>
      <c r="Y274" s="138"/>
      <c r="Z274" s="138"/>
    </row>
    <row r="275" spans="4:26" x14ac:dyDescent="0.3">
      <c r="D275" s="136">
        <v>52</v>
      </c>
      <c r="E275" s="630"/>
      <c r="F275" s="630"/>
      <c r="G275" s="631"/>
      <c r="H275" s="631"/>
      <c r="I275" s="631"/>
      <c r="J275" s="138">
        <v>171.1</v>
      </c>
      <c r="K275" s="138">
        <v>636.20000000000005</v>
      </c>
      <c r="L275" s="138">
        <v>638.9</v>
      </c>
      <c r="M275" s="138"/>
      <c r="N275" s="138">
        <v>592.29999999999995</v>
      </c>
      <c r="O275" s="138">
        <v>621.1</v>
      </c>
      <c r="P275" s="138">
        <v>622.1</v>
      </c>
      <c r="Q275" s="138">
        <v>641.20000000000005</v>
      </c>
      <c r="R275" s="138"/>
      <c r="S275" s="138"/>
      <c r="T275" s="138"/>
      <c r="U275" s="138">
        <v>643.79999999999995</v>
      </c>
      <c r="V275" s="138">
        <v>626.9</v>
      </c>
      <c r="W275" s="138"/>
      <c r="X275" s="138"/>
      <c r="Y275" s="138"/>
      <c r="Z275" s="138"/>
    </row>
    <row r="276" spans="4:26" x14ac:dyDescent="0.3">
      <c r="D276" s="136">
        <v>53</v>
      </c>
      <c r="E276" s="630"/>
      <c r="F276" s="630"/>
      <c r="G276" s="631"/>
      <c r="H276" s="631"/>
      <c r="I276" s="631"/>
      <c r="J276" s="138">
        <v>179.4</v>
      </c>
      <c r="K276" s="138">
        <v>639.1</v>
      </c>
      <c r="L276" s="138">
        <v>641.70000000000005</v>
      </c>
      <c r="M276" s="138"/>
      <c r="N276" s="138">
        <v>594.29999999999995</v>
      </c>
      <c r="O276" s="138">
        <v>624.20000000000005</v>
      </c>
      <c r="P276" s="138">
        <v>625.29999999999995</v>
      </c>
      <c r="Q276" s="138">
        <v>645.29999999999995</v>
      </c>
      <c r="R276" s="138"/>
      <c r="S276" s="138"/>
      <c r="T276" s="138"/>
      <c r="U276" s="138">
        <v>647.9</v>
      </c>
      <c r="V276" s="138">
        <v>630.29999999999995</v>
      </c>
      <c r="W276" s="138"/>
      <c r="X276" s="138"/>
      <c r="Y276" s="138"/>
      <c r="Z276" s="138"/>
    </row>
    <row r="277" spans="4:26" x14ac:dyDescent="0.3">
      <c r="D277" s="136">
        <v>54</v>
      </c>
      <c r="E277" s="630"/>
      <c r="F277" s="630"/>
      <c r="G277" s="631"/>
      <c r="H277" s="631"/>
      <c r="I277" s="631"/>
      <c r="J277" s="138">
        <v>191.7</v>
      </c>
      <c r="K277" s="138">
        <v>642.1</v>
      </c>
      <c r="L277" s="138">
        <v>644.6</v>
      </c>
      <c r="M277" s="138"/>
      <c r="N277" s="138">
        <v>596.4</v>
      </c>
      <c r="O277" s="138">
        <v>627.29999999999995</v>
      </c>
      <c r="P277" s="138">
        <v>628.6</v>
      </c>
      <c r="Q277" s="138">
        <v>649.29999999999995</v>
      </c>
      <c r="R277" s="138"/>
      <c r="S277" s="138"/>
      <c r="T277" s="138"/>
      <c r="U277" s="138">
        <v>651.9</v>
      </c>
      <c r="V277" s="138">
        <v>633.79999999999995</v>
      </c>
      <c r="W277" s="138"/>
      <c r="X277" s="138"/>
      <c r="Y277" s="138"/>
      <c r="Z277" s="138"/>
    </row>
    <row r="278" spans="4:26" x14ac:dyDescent="0.3">
      <c r="D278" s="136">
        <v>55</v>
      </c>
      <c r="E278" s="630"/>
      <c r="F278" s="630"/>
      <c r="G278" s="631"/>
      <c r="H278" s="631"/>
      <c r="I278" s="631"/>
      <c r="J278" s="138">
        <v>251.2</v>
      </c>
      <c r="K278" s="138">
        <v>645.1</v>
      </c>
      <c r="L278" s="138">
        <v>647.5</v>
      </c>
      <c r="M278" s="138"/>
      <c r="N278" s="138">
        <v>598.5</v>
      </c>
      <c r="O278" s="138">
        <v>630.29999999999995</v>
      </c>
      <c r="P278" s="138">
        <v>631.79999999999995</v>
      </c>
      <c r="Q278" s="138">
        <v>653.29999999999995</v>
      </c>
      <c r="R278" s="138"/>
      <c r="S278" s="138"/>
      <c r="T278" s="138"/>
      <c r="U278" s="138">
        <v>655.9</v>
      </c>
      <c r="V278" s="138">
        <v>637.29999999999995</v>
      </c>
      <c r="W278" s="138"/>
      <c r="X278" s="138"/>
      <c r="Y278" s="138"/>
      <c r="Z278" s="138"/>
    </row>
    <row r="279" spans="4:26" x14ac:dyDescent="0.3">
      <c r="D279" s="136">
        <v>56</v>
      </c>
      <c r="E279" s="630"/>
      <c r="F279" s="630"/>
      <c r="G279" s="631"/>
      <c r="H279" s="631"/>
      <c r="I279" s="631"/>
      <c r="J279" s="138">
        <v>303.60000000000002</v>
      </c>
      <c r="K279" s="138">
        <v>648.20000000000005</v>
      </c>
      <c r="L279" s="138">
        <v>650.29999999999995</v>
      </c>
      <c r="M279" s="138"/>
      <c r="N279" s="138">
        <v>600.6</v>
      </c>
      <c r="O279" s="138">
        <v>633.4</v>
      </c>
      <c r="P279" s="138">
        <v>635.1</v>
      </c>
      <c r="Q279" s="138">
        <v>657.1</v>
      </c>
      <c r="R279" s="138"/>
      <c r="S279" s="138"/>
      <c r="T279" s="138"/>
      <c r="U279" s="138">
        <v>660.5</v>
      </c>
      <c r="V279" s="138">
        <v>641.1</v>
      </c>
      <c r="W279" s="138"/>
      <c r="X279" s="138"/>
      <c r="Y279" s="138"/>
      <c r="Z279" s="138"/>
    </row>
    <row r="280" spans="4:26" x14ac:dyDescent="0.3">
      <c r="D280" s="136">
        <v>57</v>
      </c>
      <c r="E280" s="630"/>
      <c r="F280" s="630"/>
      <c r="G280" s="631"/>
      <c r="H280" s="631"/>
      <c r="I280" s="631"/>
      <c r="J280" s="138">
        <v>342.9</v>
      </c>
      <c r="K280" s="138">
        <v>651.1</v>
      </c>
      <c r="L280" s="138">
        <v>653.1</v>
      </c>
      <c r="M280" s="138"/>
      <c r="N280" s="138">
        <v>602.79999999999995</v>
      </c>
      <c r="O280" s="138">
        <v>636.5</v>
      </c>
      <c r="P280" s="138">
        <v>638.70000000000005</v>
      </c>
      <c r="Q280" s="138">
        <v>661.9</v>
      </c>
      <c r="R280" s="138"/>
      <c r="S280" s="138"/>
      <c r="T280" s="138"/>
      <c r="U280" s="138">
        <v>666</v>
      </c>
      <c r="V280" s="138">
        <v>645</v>
      </c>
      <c r="W280" s="138"/>
      <c r="X280" s="138"/>
      <c r="Y280" s="138"/>
      <c r="Z280" s="138"/>
    </row>
    <row r="281" spans="4:26" x14ac:dyDescent="0.3">
      <c r="D281" s="136">
        <v>58</v>
      </c>
      <c r="E281" s="630"/>
      <c r="F281" s="630"/>
      <c r="G281" s="631"/>
      <c r="H281" s="631"/>
      <c r="I281" s="631"/>
      <c r="J281" s="138">
        <v>371.7</v>
      </c>
      <c r="K281" s="138">
        <v>654</v>
      </c>
      <c r="L281" s="138">
        <v>655.7</v>
      </c>
      <c r="M281" s="138"/>
      <c r="N281" s="138">
        <v>605</v>
      </c>
      <c r="O281" s="138">
        <v>639.79999999999995</v>
      </c>
      <c r="P281" s="138">
        <v>642.4</v>
      </c>
      <c r="Q281" s="138">
        <v>667.2</v>
      </c>
      <c r="R281" s="138"/>
      <c r="S281" s="138"/>
      <c r="T281" s="138"/>
      <c r="U281" s="138">
        <v>671.6</v>
      </c>
      <c r="V281" s="138">
        <v>648.9</v>
      </c>
      <c r="W281" s="138"/>
      <c r="X281" s="138"/>
      <c r="Y281" s="138"/>
      <c r="Z281" s="138"/>
    </row>
    <row r="282" spans="4:26" x14ac:dyDescent="0.3">
      <c r="D282" s="136">
        <v>59</v>
      </c>
      <c r="E282" s="630"/>
      <c r="F282" s="630"/>
      <c r="G282" s="631"/>
      <c r="H282" s="631"/>
      <c r="I282" s="631"/>
      <c r="J282" s="138">
        <v>393.3</v>
      </c>
      <c r="K282" s="138">
        <v>656.9</v>
      </c>
      <c r="L282" s="138">
        <v>658.6</v>
      </c>
      <c r="M282" s="138"/>
      <c r="N282" s="138">
        <v>607.29999999999995</v>
      </c>
      <c r="O282" s="138">
        <v>643.20000000000005</v>
      </c>
      <c r="P282" s="138">
        <v>646.4</v>
      </c>
      <c r="Q282" s="138">
        <v>672.2</v>
      </c>
      <c r="R282" s="138"/>
      <c r="S282" s="138"/>
      <c r="T282" s="138"/>
      <c r="U282" s="138">
        <v>677.3</v>
      </c>
      <c r="V282" s="138">
        <v>652.9</v>
      </c>
      <c r="W282" s="138"/>
      <c r="X282" s="138"/>
      <c r="Y282" s="138"/>
      <c r="Z282" s="138"/>
    </row>
    <row r="283" spans="4:26" x14ac:dyDescent="0.3">
      <c r="D283" s="623">
        <v>60</v>
      </c>
      <c r="E283" s="630"/>
      <c r="F283" s="630"/>
      <c r="G283" s="631"/>
      <c r="H283" s="631"/>
      <c r="I283" s="631"/>
      <c r="J283" s="625">
        <v>412.8</v>
      </c>
      <c r="K283" s="625">
        <v>660.4</v>
      </c>
      <c r="L283" s="625">
        <v>662.2</v>
      </c>
      <c r="M283" s="625"/>
      <c r="N283" s="625">
        <v>609.5</v>
      </c>
      <c r="O283" s="625">
        <v>646.70000000000005</v>
      </c>
      <c r="P283" s="625">
        <v>650.20000000000005</v>
      </c>
      <c r="Q283" s="625">
        <v>677.6</v>
      </c>
      <c r="R283" s="625"/>
      <c r="S283" s="625"/>
      <c r="T283" s="625"/>
      <c r="U283" s="625">
        <v>683.7</v>
      </c>
      <c r="V283" s="625">
        <v>656.7</v>
      </c>
      <c r="W283" s="625"/>
      <c r="X283" s="625"/>
      <c r="Y283" s="625"/>
      <c r="Z283" s="625"/>
    </row>
    <row r="284" spans="4:26" x14ac:dyDescent="0.3">
      <c r="D284" s="136">
        <v>61</v>
      </c>
      <c r="E284" s="630"/>
      <c r="F284" s="630"/>
      <c r="G284" s="631"/>
      <c r="H284" s="631"/>
      <c r="I284" s="631"/>
      <c r="J284" s="138">
        <v>430.1</v>
      </c>
      <c r="K284" s="138">
        <v>664.2</v>
      </c>
      <c r="L284" s="138">
        <v>665.8</v>
      </c>
      <c r="M284" s="138"/>
      <c r="N284" s="138">
        <v>611.70000000000005</v>
      </c>
      <c r="O284" s="138">
        <v>650.1</v>
      </c>
      <c r="P284" s="138">
        <v>654.1</v>
      </c>
      <c r="Q284" s="138">
        <v>683.6</v>
      </c>
      <c r="R284" s="138"/>
      <c r="S284" s="138"/>
      <c r="T284" s="138"/>
      <c r="U284" s="138">
        <v>690.2</v>
      </c>
      <c r="V284" s="138">
        <v>661.3</v>
      </c>
      <c r="W284" s="138"/>
      <c r="X284" s="138"/>
      <c r="Y284" s="138"/>
      <c r="Z284" s="138"/>
    </row>
    <row r="285" spans="4:26" x14ac:dyDescent="0.3">
      <c r="D285" s="136">
        <v>62</v>
      </c>
      <c r="E285" s="630"/>
      <c r="F285" s="630"/>
      <c r="G285" s="631"/>
      <c r="H285" s="631"/>
      <c r="I285" s="631"/>
      <c r="J285" s="138">
        <v>447.1</v>
      </c>
      <c r="K285" s="138">
        <v>668.1</v>
      </c>
      <c r="L285" s="138">
        <v>669.4</v>
      </c>
      <c r="M285" s="138"/>
      <c r="N285" s="138">
        <v>613.9</v>
      </c>
      <c r="O285" s="138">
        <v>653.5</v>
      </c>
      <c r="P285" s="138">
        <v>657.9</v>
      </c>
      <c r="Q285" s="138">
        <v>689.4</v>
      </c>
      <c r="R285" s="138"/>
      <c r="S285" s="138"/>
      <c r="T285" s="138"/>
      <c r="U285" s="138">
        <v>696.5</v>
      </c>
      <c r="V285" s="138">
        <v>666.3</v>
      </c>
      <c r="W285" s="138"/>
      <c r="X285" s="138"/>
      <c r="Y285" s="138"/>
      <c r="Z285" s="138"/>
    </row>
    <row r="286" spans="4:26" x14ac:dyDescent="0.3">
      <c r="D286" s="136">
        <v>63</v>
      </c>
      <c r="E286" s="630"/>
      <c r="F286" s="630"/>
      <c r="G286" s="631"/>
      <c r="H286" s="631"/>
      <c r="I286" s="631"/>
      <c r="J286" s="138">
        <v>463.6</v>
      </c>
      <c r="K286" s="138">
        <v>671.8</v>
      </c>
      <c r="L286" s="138">
        <v>672.7</v>
      </c>
      <c r="M286" s="138"/>
      <c r="N286" s="138">
        <v>616.20000000000005</v>
      </c>
      <c r="O286" s="138">
        <v>656.7</v>
      </c>
      <c r="P286" s="138">
        <v>663</v>
      </c>
      <c r="Q286" s="138">
        <v>694.7</v>
      </c>
      <c r="R286" s="138"/>
      <c r="S286" s="138"/>
      <c r="T286" s="138"/>
      <c r="U286" s="138">
        <v>704.1</v>
      </c>
      <c r="V286" s="138">
        <v>671.4</v>
      </c>
      <c r="W286" s="138"/>
      <c r="X286" s="138"/>
      <c r="Y286" s="138"/>
      <c r="Z286" s="138"/>
    </row>
    <row r="287" spans="4:26" x14ac:dyDescent="0.3">
      <c r="D287" s="136">
        <v>64</v>
      </c>
      <c r="E287" s="630"/>
      <c r="F287" s="630"/>
      <c r="G287" s="631"/>
      <c r="H287" s="631"/>
      <c r="I287" s="631"/>
      <c r="J287" s="138">
        <v>479.8</v>
      </c>
      <c r="K287" s="138">
        <v>675.3</v>
      </c>
      <c r="L287" s="138">
        <v>676.1</v>
      </c>
      <c r="M287" s="138"/>
      <c r="N287" s="138">
        <v>618.6</v>
      </c>
      <c r="O287" s="138">
        <v>660.6</v>
      </c>
      <c r="P287" s="138">
        <v>668.4</v>
      </c>
      <c r="Q287" s="138">
        <v>701.5</v>
      </c>
      <c r="R287" s="138"/>
      <c r="S287" s="138"/>
      <c r="T287" s="138"/>
      <c r="U287" s="138">
        <v>713.5</v>
      </c>
      <c r="V287" s="138">
        <v>676.3</v>
      </c>
      <c r="W287" s="138"/>
      <c r="X287" s="138"/>
      <c r="Y287" s="138"/>
      <c r="Z287" s="138"/>
    </row>
    <row r="288" spans="4:26" x14ac:dyDescent="0.3">
      <c r="D288" s="136">
        <v>65</v>
      </c>
      <c r="E288" s="630"/>
      <c r="F288" s="630"/>
      <c r="G288" s="631"/>
      <c r="H288" s="631"/>
      <c r="I288" s="631"/>
      <c r="J288" s="138">
        <v>495.6</v>
      </c>
      <c r="K288" s="138">
        <v>679.8</v>
      </c>
      <c r="L288" s="138">
        <v>680.2</v>
      </c>
      <c r="M288" s="138"/>
      <c r="N288" s="138">
        <v>621</v>
      </c>
      <c r="O288" s="138">
        <v>665</v>
      </c>
      <c r="P288" s="138">
        <v>673.5</v>
      </c>
      <c r="Q288" s="138">
        <v>708.4</v>
      </c>
      <c r="R288" s="138"/>
      <c r="S288" s="138"/>
      <c r="T288" s="138"/>
      <c r="U288" s="138">
        <v>727.9</v>
      </c>
      <c r="V288" s="138">
        <v>682.2</v>
      </c>
      <c r="W288" s="138"/>
      <c r="X288" s="138"/>
      <c r="Y288" s="138"/>
      <c r="Z288" s="138"/>
    </row>
    <row r="289" spans="4:26" x14ac:dyDescent="0.3">
      <c r="D289" s="136">
        <v>66</v>
      </c>
      <c r="E289" s="630"/>
      <c r="F289" s="630"/>
      <c r="G289" s="631"/>
      <c r="H289" s="631"/>
      <c r="I289" s="631"/>
      <c r="J289" s="138">
        <v>509.5</v>
      </c>
      <c r="K289" s="138">
        <v>683.8</v>
      </c>
      <c r="L289" s="138">
        <v>683.8</v>
      </c>
      <c r="M289" s="138"/>
      <c r="N289" s="138">
        <v>623.4</v>
      </c>
      <c r="O289" s="138">
        <v>669.5</v>
      </c>
      <c r="P289" s="138">
        <v>679.5</v>
      </c>
      <c r="Q289" s="138">
        <v>717.6</v>
      </c>
      <c r="R289" s="138"/>
      <c r="S289" s="138"/>
      <c r="T289" s="138"/>
      <c r="U289" s="138" t="s">
        <v>17</v>
      </c>
      <c r="V289" s="138">
        <v>687.5</v>
      </c>
      <c r="W289" s="138"/>
      <c r="X289" s="138"/>
      <c r="Y289" s="138"/>
      <c r="Z289" s="138"/>
    </row>
    <row r="290" spans="4:26" x14ac:dyDescent="0.3">
      <c r="D290" s="136">
        <v>67</v>
      </c>
      <c r="E290" s="630"/>
      <c r="F290" s="630"/>
      <c r="G290" s="631"/>
      <c r="H290" s="631"/>
      <c r="I290" s="631"/>
      <c r="J290" s="138">
        <v>522.9</v>
      </c>
      <c r="K290" s="138">
        <v>687.8</v>
      </c>
      <c r="L290" s="138">
        <v>687.5</v>
      </c>
      <c r="M290" s="138"/>
      <c r="N290" s="138">
        <v>625.70000000000005</v>
      </c>
      <c r="O290" s="138">
        <v>673.4</v>
      </c>
      <c r="P290" s="138">
        <v>685.5</v>
      </c>
      <c r="Q290" s="138">
        <v>733.4</v>
      </c>
      <c r="R290" s="138"/>
      <c r="S290" s="138"/>
      <c r="T290" s="138"/>
      <c r="U290" s="138" t="s">
        <v>17</v>
      </c>
      <c r="V290" s="138">
        <v>692.8</v>
      </c>
      <c r="W290" s="138"/>
      <c r="X290" s="138"/>
      <c r="Y290" s="138"/>
      <c r="Z290" s="138"/>
    </row>
    <row r="291" spans="4:26" x14ac:dyDescent="0.3">
      <c r="D291" s="136">
        <v>68</v>
      </c>
      <c r="E291" s="630"/>
      <c r="F291" s="630"/>
      <c r="G291" s="631"/>
      <c r="H291" s="631"/>
      <c r="I291" s="631"/>
      <c r="J291" s="138">
        <v>534.1</v>
      </c>
      <c r="K291" s="138">
        <v>691.8</v>
      </c>
      <c r="L291" s="138">
        <v>691.3</v>
      </c>
      <c r="M291" s="138"/>
      <c r="N291" s="138">
        <v>628</v>
      </c>
      <c r="O291" s="138">
        <v>678</v>
      </c>
      <c r="P291" s="138">
        <v>691.7</v>
      </c>
      <c r="Q291" s="138" t="s">
        <v>17</v>
      </c>
      <c r="R291" s="138"/>
      <c r="S291" s="138"/>
      <c r="T291" s="138"/>
      <c r="U291" s="138" t="s">
        <v>17</v>
      </c>
      <c r="V291" s="138">
        <v>698.5</v>
      </c>
      <c r="W291" s="138"/>
      <c r="X291" s="138"/>
      <c r="Y291" s="138"/>
      <c r="Z291" s="138"/>
    </row>
    <row r="292" spans="4:26" x14ac:dyDescent="0.3">
      <c r="D292" s="136">
        <v>69</v>
      </c>
      <c r="E292" s="630"/>
      <c r="F292" s="630"/>
      <c r="G292" s="631"/>
      <c r="H292" s="631"/>
      <c r="I292" s="631"/>
      <c r="J292" s="138">
        <v>543.9</v>
      </c>
      <c r="K292" s="138">
        <v>695.2</v>
      </c>
      <c r="L292" s="138">
        <v>694.3</v>
      </c>
      <c r="M292" s="138"/>
      <c r="N292" s="138">
        <v>630.29999999999995</v>
      </c>
      <c r="O292" s="138">
        <v>682.8</v>
      </c>
      <c r="P292" s="138">
        <v>697.9</v>
      </c>
      <c r="Q292" s="138" t="s">
        <v>17</v>
      </c>
      <c r="R292" s="138"/>
      <c r="S292" s="138"/>
      <c r="T292" s="138"/>
      <c r="U292" s="138" t="s">
        <v>17</v>
      </c>
      <c r="V292" s="138">
        <v>704.3</v>
      </c>
      <c r="W292" s="138"/>
      <c r="X292" s="138"/>
      <c r="Y292" s="138"/>
      <c r="Z292" s="138"/>
    </row>
    <row r="293" spans="4:26" x14ac:dyDescent="0.3">
      <c r="D293" s="623">
        <v>70</v>
      </c>
      <c r="E293" s="630"/>
      <c r="F293" s="630"/>
      <c r="G293" s="631"/>
      <c r="H293" s="631"/>
      <c r="I293" s="631"/>
      <c r="J293" s="625">
        <v>553.1</v>
      </c>
      <c r="K293" s="625">
        <v>700</v>
      </c>
      <c r="L293" s="625">
        <v>698.2</v>
      </c>
      <c r="M293" s="625"/>
      <c r="N293" s="625">
        <v>632.6</v>
      </c>
      <c r="O293" s="625">
        <v>687.2</v>
      </c>
      <c r="P293" s="625">
        <v>705.1</v>
      </c>
      <c r="Q293" s="625" t="s">
        <v>17</v>
      </c>
      <c r="R293" s="625"/>
      <c r="S293" s="625"/>
      <c r="T293" s="625"/>
      <c r="U293" s="625" t="s">
        <v>17</v>
      </c>
      <c r="V293" s="625">
        <v>710.9</v>
      </c>
      <c r="W293" s="625"/>
      <c r="X293" s="625"/>
      <c r="Y293" s="625"/>
      <c r="Z293" s="625"/>
    </row>
    <row r="294" spans="4:26" x14ac:dyDescent="0.3">
      <c r="D294" s="136">
        <v>71</v>
      </c>
      <c r="E294" s="630"/>
      <c r="F294" s="630"/>
      <c r="G294" s="631"/>
      <c r="H294" s="631"/>
      <c r="I294" s="631"/>
      <c r="J294" s="138">
        <v>561.20000000000005</v>
      </c>
      <c r="K294" s="138">
        <v>703.8</v>
      </c>
      <c r="L294" s="138">
        <v>701.9</v>
      </c>
      <c r="M294" s="138"/>
      <c r="N294" s="138">
        <v>634.9</v>
      </c>
      <c r="O294" s="138">
        <v>691.6</v>
      </c>
      <c r="P294" s="138">
        <v>714.2</v>
      </c>
      <c r="Q294" s="138" t="s">
        <v>17</v>
      </c>
      <c r="R294" s="138"/>
      <c r="S294" s="138"/>
      <c r="T294" s="138"/>
      <c r="U294" s="138" t="s">
        <v>17</v>
      </c>
      <c r="V294" s="138">
        <v>718.7</v>
      </c>
      <c r="W294" s="138"/>
      <c r="X294" s="138"/>
      <c r="Y294" s="138"/>
      <c r="Z294" s="138"/>
    </row>
    <row r="295" spans="4:26" x14ac:dyDescent="0.3">
      <c r="D295" s="136">
        <v>72</v>
      </c>
      <c r="E295" s="630"/>
      <c r="F295" s="630"/>
      <c r="G295" s="631"/>
      <c r="H295" s="631"/>
      <c r="I295" s="631"/>
      <c r="J295" s="138">
        <v>568.4</v>
      </c>
      <c r="K295" s="138">
        <v>708.1</v>
      </c>
      <c r="L295" s="138">
        <v>705.4</v>
      </c>
      <c r="M295" s="138"/>
      <c r="N295" s="138">
        <v>637.4</v>
      </c>
      <c r="O295" s="138">
        <v>695.3</v>
      </c>
      <c r="P295" s="138">
        <v>729.7</v>
      </c>
      <c r="Q295" s="138" t="s">
        <v>17</v>
      </c>
      <c r="R295" s="138"/>
      <c r="S295" s="138"/>
      <c r="T295" s="138"/>
      <c r="U295" s="138" t="s">
        <v>17</v>
      </c>
      <c r="V295" s="138">
        <v>727.3</v>
      </c>
      <c r="W295" s="138"/>
      <c r="X295" s="138"/>
      <c r="Y295" s="138"/>
      <c r="Z295" s="138"/>
    </row>
    <row r="296" spans="4:26" x14ac:dyDescent="0.3">
      <c r="D296" s="136">
        <v>73</v>
      </c>
      <c r="E296" s="630"/>
      <c r="F296" s="630"/>
      <c r="G296" s="631"/>
      <c r="H296" s="631"/>
      <c r="I296" s="631"/>
      <c r="J296" s="138">
        <v>575</v>
      </c>
      <c r="K296" s="138">
        <v>713.2</v>
      </c>
      <c r="L296" s="138">
        <v>709.3</v>
      </c>
      <c r="M296" s="138"/>
      <c r="N296" s="138">
        <v>639.9</v>
      </c>
      <c r="O296" s="138">
        <v>700.2</v>
      </c>
      <c r="P296" s="138" t="s">
        <v>17</v>
      </c>
      <c r="Q296" s="138" t="s">
        <v>17</v>
      </c>
      <c r="R296" s="138"/>
      <c r="S296" s="138"/>
      <c r="T296" s="138"/>
      <c r="U296" s="138" t="s">
        <v>17</v>
      </c>
      <c r="V296" s="138" t="s">
        <v>17</v>
      </c>
      <c r="W296" s="138"/>
      <c r="X296" s="138"/>
      <c r="Y296" s="138"/>
      <c r="Z296" s="138"/>
    </row>
    <row r="297" spans="4:26" x14ac:dyDescent="0.3">
      <c r="D297" s="139">
        <v>74</v>
      </c>
      <c r="E297" s="632"/>
      <c r="F297" s="632"/>
      <c r="G297" s="633"/>
      <c r="H297" s="633"/>
      <c r="I297" s="633"/>
      <c r="J297" s="123">
        <v>581.79999999999995</v>
      </c>
      <c r="K297" s="123">
        <v>718.4</v>
      </c>
      <c r="L297" s="123">
        <v>713.7</v>
      </c>
      <c r="M297" s="123"/>
      <c r="N297" s="123">
        <v>642.4</v>
      </c>
      <c r="O297" s="123">
        <v>704.3</v>
      </c>
      <c r="P297" s="123" t="s">
        <v>17</v>
      </c>
      <c r="Q297" s="123" t="s">
        <v>17</v>
      </c>
      <c r="R297" s="123"/>
      <c r="S297" s="123"/>
      <c r="T297" s="123"/>
      <c r="U297" s="123" t="s">
        <v>17</v>
      </c>
      <c r="V297" s="123" t="s">
        <v>17</v>
      </c>
      <c r="W297" s="123"/>
      <c r="X297" s="123"/>
      <c r="Y297" s="123"/>
      <c r="Z297" s="123"/>
    </row>
    <row r="298" spans="4:26" x14ac:dyDescent="0.3">
      <c r="D298" s="136">
        <v>75</v>
      </c>
      <c r="E298" s="630"/>
      <c r="F298" s="630"/>
      <c r="G298" s="634"/>
      <c r="H298" s="634"/>
      <c r="I298" s="634"/>
      <c r="J298" s="121">
        <v>588.29999999999995</v>
      </c>
      <c r="K298" s="121">
        <v>724.1</v>
      </c>
      <c r="L298" s="121">
        <v>717.9</v>
      </c>
      <c r="M298" s="121"/>
      <c r="N298" s="121">
        <v>645.1</v>
      </c>
      <c r="O298" s="121">
        <v>708.6</v>
      </c>
      <c r="P298" s="121" t="s">
        <v>17</v>
      </c>
      <c r="Q298" s="121" t="s">
        <v>17</v>
      </c>
      <c r="R298" s="121"/>
      <c r="S298" s="121"/>
      <c r="T298" s="121"/>
      <c r="U298" s="121" t="s">
        <v>17</v>
      </c>
      <c r="V298" s="121" t="s">
        <v>17</v>
      </c>
      <c r="W298" s="121"/>
      <c r="X298" s="121"/>
      <c r="Y298" s="121"/>
      <c r="Z298" s="121"/>
    </row>
    <row r="299" spans="4:26" x14ac:dyDescent="0.3">
      <c r="D299" s="136">
        <v>76</v>
      </c>
      <c r="E299" s="630"/>
      <c r="F299" s="630"/>
      <c r="G299" s="634"/>
      <c r="H299" s="634"/>
      <c r="I299" s="634"/>
      <c r="J299" s="121">
        <v>594.79999999999995</v>
      </c>
      <c r="K299" s="121">
        <v>730.7</v>
      </c>
      <c r="L299" s="121">
        <v>722.5</v>
      </c>
      <c r="M299" s="121"/>
      <c r="N299" s="121">
        <v>647.79999999999995</v>
      </c>
      <c r="O299" s="121">
        <v>713.4</v>
      </c>
      <c r="P299" s="121" t="s">
        <v>17</v>
      </c>
      <c r="Q299" s="121" t="s">
        <v>17</v>
      </c>
      <c r="R299" s="121"/>
      <c r="S299" s="121"/>
      <c r="T299" s="121"/>
      <c r="U299" s="121" t="s">
        <v>17</v>
      </c>
      <c r="V299" s="121" t="s">
        <v>17</v>
      </c>
      <c r="W299" s="121"/>
      <c r="X299" s="121"/>
      <c r="Y299" s="121"/>
      <c r="Z299" s="121"/>
    </row>
    <row r="300" spans="4:26" x14ac:dyDescent="0.3">
      <c r="D300" s="136">
        <v>77</v>
      </c>
      <c r="E300" s="630"/>
      <c r="F300" s="630"/>
      <c r="G300" s="634"/>
      <c r="H300" s="634"/>
      <c r="I300" s="634"/>
      <c r="J300" s="121">
        <v>601.20000000000005</v>
      </c>
      <c r="K300" s="121" t="s">
        <v>17</v>
      </c>
      <c r="L300" s="121">
        <v>727.4</v>
      </c>
      <c r="M300" s="121"/>
      <c r="N300" s="121">
        <v>650.29999999999995</v>
      </c>
      <c r="O300" s="121">
        <v>718</v>
      </c>
      <c r="P300" s="121" t="s">
        <v>17</v>
      </c>
      <c r="Q300" s="121" t="s">
        <v>17</v>
      </c>
      <c r="R300" s="121"/>
      <c r="S300" s="121"/>
      <c r="T300" s="121"/>
      <c r="U300" s="121" t="s">
        <v>17</v>
      </c>
      <c r="V300" s="121" t="s">
        <v>17</v>
      </c>
      <c r="W300" s="121"/>
      <c r="X300" s="121"/>
      <c r="Y300" s="121"/>
      <c r="Z300" s="121"/>
    </row>
    <row r="301" spans="4:26" x14ac:dyDescent="0.3">
      <c r="D301" s="136">
        <v>78</v>
      </c>
      <c r="E301" s="630"/>
      <c r="F301" s="630"/>
      <c r="G301" s="634"/>
      <c r="H301" s="634"/>
      <c r="I301" s="634"/>
      <c r="J301" s="121">
        <v>607.9</v>
      </c>
      <c r="K301" s="121" t="s">
        <v>17</v>
      </c>
      <c r="L301" s="121">
        <v>732.7</v>
      </c>
      <c r="M301" s="121"/>
      <c r="N301" s="121">
        <v>652.9</v>
      </c>
      <c r="O301" s="121">
        <v>722.9</v>
      </c>
      <c r="P301" s="121" t="s">
        <v>17</v>
      </c>
      <c r="Q301" s="121" t="s">
        <v>17</v>
      </c>
      <c r="R301" s="121"/>
      <c r="S301" s="121"/>
      <c r="T301" s="121"/>
      <c r="U301" s="121" t="s">
        <v>17</v>
      </c>
      <c r="V301" s="121" t="s">
        <v>17</v>
      </c>
      <c r="W301" s="121"/>
      <c r="X301" s="121"/>
      <c r="Y301" s="121"/>
      <c r="Z301" s="121"/>
    </row>
    <row r="302" spans="4:26" x14ac:dyDescent="0.3">
      <c r="D302" s="136">
        <v>79</v>
      </c>
      <c r="E302" s="630"/>
      <c r="F302" s="630"/>
      <c r="G302" s="634"/>
      <c r="H302" s="634"/>
      <c r="I302" s="634"/>
      <c r="J302" s="121">
        <v>614.5</v>
      </c>
      <c r="K302" s="121" t="s">
        <v>17</v>
      </c>
      <c r="L302" s="121" t="s">
        <v>17</v>
      </c>
      <c r="M302" s="121"/>
      <c r="N302" s="121">
        <v>655.29999999999995</v>
      </c>
      <c r="O302" s="121">
        <v>727.9</v>
      </c>
      <c r="P302" s="121" t="s">
        <v>17</v>
      </c>
      <c r="Q302" s="121" t="s">
        <v>17</v>
      </c>
      <c r="R302" s="121"/>
      <c r="S302" s="121"/>
      <c r="T302" s="121"/>
      <c r="U302" s="121" t="s">
        <v>17</v>
      </c>
      <c r="V302" s="121" t="s">
        <v>17</v>
      </c>
      <c r="W302" s="121"/>
      <c r="X302" s="121"/>
      <c r="Y302" s="121"/>
      <c r="Z302" s="121"/>
    </row>
    <row r="303" spans="4:26" x14ac:dyDescent="0.3">
      <c r="D303" s="623">
        <v>80</v>
      </c>
      <c r="E303" s="630"/>
      <c r="F303" s="630"/>
      <c r="G303" s="634"/>
      <c r="H303" s="634"/>
      <c r="I303" s="634"/>
      <c r="J303" s="627">
        <v>621.4</v>
      </c>
      <c r="K303" s="627" t="s">
        <v>17</v>
      </c>
      <c r="L303" s="627" t="s">
        <v>17</v>
      </c>
      <c r="M303" s="627"/>
      <c r="N303" s="627">
        <v>657.8</v>
      </c>
      <c r="O303" s="627">
        <v>733.1</v>
      </c>
      <c r="P303" s="627" t="s">
        <v>17</v>
      </c>
      <c r="Q303" s="627" t="s">
        <v>17</v>
      </c>
      <c r="R303" s="627"/>
      <c r="S303" s="627"/>
      <c r="T303" s="627"/>
      <c r="U303" s="627" t="s">
        <v>17</v>
      </c>
      <c r="V303" s="627" t="s">
        <v>17</v>
      </c>
      <c r="W303" s="627"/>
      <c r="X303" s="627"/>
      <c r="Y303" s="627"/>
      <c r="Z303" s="627"/>
    </row>
    <row r="304" spans="4:26" x14ac:dyDescent="0.3">
      <c r="D304" s="136">
        <v>81</v>
      </c>
      <c r="E304" s="630"/>
      <c r="F304" s="630"/>
      <c r="G304" s="634"/>
      <c r="H304" s="634"/>
      <c r="I304" s="634"/>
      <c r="J304" s="121">
        <v>628.4</v>
      </c>
      <c r="K304" s="121" t="s">
        <v>17</v>
      </c>
      <c r="L304" s="121" t="s">
        <v>17</v>
      </c>
      <c r="M304" s="121"/>
      <c r="N304" s="121">
        <v>661</v>
      </c>
      <c r="O304" s="121" t="s">
        <v>17</v>
      </c>
      <c r="P304" s="121" t="s">
        <v>17</v>
      </c>
      <c r="Q304" s="121" t="s">
        <v>17</v>
      </c>
      <c r="R304" s="121"/>
      <c r="S304" s="121"/>
      <c r="T304" s="121"/>
      <c r="U304" s="121" t="s">
        <v>17</v>
      </c>
      <c r="V304" s="121" t="s">
        <v>17</v>
      </c>
      <c r="W304" s="121"/>
      <c r="X304" s="121"/>
      <c r="Y304" s="121"/>
      <c r="Z304" s="121"/>
    </row>
    <row r="305" spans="4:26" x14ac:dyDescent="0.3">
      <c r="D305" s="136">
        <v>82</v>
      </c>
      <c r="E305" s="630"/>
      <c r="F305" s="630"/>
      <c r="G305" s="634"/>
      <c r="H305" s="634"/>
      <c r="I305" s="634"/>
      <c r="J305" s="121">
        <v>634.9</v>
      </c>
      <c r="K305" s="121" t="s">
        <v>17</v>
      </c>
      <c r="L305" s="121" t="s">
        <v>17</v>
      </c>
      <c r="M305" s="121"/>
      <c r="N305" s="121">
        <v>664.3</v>
      </c>
      <c r="O305" s="121" t="s">
        <v>17</v>
      </c>
      <c r="P305" s="121" t="s">
        <v>17</v>
      </c>
      <c r="Q305" s="121" t="s">
        <v>17</v>
      </c>
      <c r="R305" s="121"/>
      <c r="S305" s="121"/>
      <c r="T305" s="121"/>
      <c r="U305" s="121" t="s">
        <v>17</v>
      </c>
      <c r="V305" s="121" t="s">
        <v>17</v>
      </c>
      <c r="W305" s="121"/>
      <c r="X305" s="121"/>
      <c r="Y305" s="121"/>
      <c r="Z305" s="121"/>
    </row>
    <row r="306" spans="4:26" x14ac:dyDescent="0.3">
      <c r="D306" s="136">
        <v>83</v>
      </c>
      <c r="E306" s="630"/>
      <c r="F306" s="630"/>
      <c r="G306" s="634"/>
      <c r="H306" s="634"/>
      <c r="I306" s="634"/>
      <c r="J306" s="121">
        <v>642.1</v>
      </c>
      <c r="K306" s="121" t="s">
        <v>17</v>
      </c>
      <c r="L306" s="121" t="s">
        <v>17</v>
      </c>
      <c r="M306" s="121"/>
      <c r="N306" s="121">
        <v>667.7</v>
      </c>
      <c r="O306" s="121" t="s">
        <v>17</v>
      </c>
      <c r="P306" s="121" t="s">
        <v>17</v>
      </c>
      <c r="Q306" s="121" t="s">
        <v>17</v>
      </c>
      <c r="R306" s="121"/>
      <c r="S306" s="121"/>
      <c r="T306" s="121"/>
      <c r="U306" s="121" t="s">
        <v>17</v>
      </c>
      <c r="V306" s="121" t="s">
        <v>17</v>
      </c>
      <c r="W306" s="121"/>
      <c r="X306" s="121"/>
      <c r="Y306" s="121"/>
      <c r="Z306" s="121"/>
    </row>
    <row r="307" spans="4:26" x14ac:dyDescent="0.3">
      <c r="D307" s="136">
        <v>84</v>
      </c>
      <c r="E307" s="630"/>
      <c r="F307" s="630"/>
      <c r="G307" s="634"/>
      <c r="H307" s="634"/>
      <c r="I307" s="634"/>
      <c r="J307" s="121">
        <v>649.5</v>
      </c>
      <c r="K307" s="121" t="s">
        <v>17</v>
      </c>
      <c r="L307" s="121" t="s">
        <v>17</v>
      </c>
      <c r="M307" s="121"/>
      <c r="N307" s="121">
        <v>671</v>
      </c>
      <c r="O307" s="121" t="s">
        <v>17</v>
      </c>
      <c r="P307" s="121" t="s">
        <v>17</v>
      </c>
      <c r="Q307" s="121" t="s">
        <v>17</v>
      </c>
      <c r="R307" s="121"/>
      <c r="S307" s="121"/>
      <c r="T307" s="121"/>
      <c r="U307" s="121" t="s">
        <v>17</v>
      </c>
      <c r="V307" s="121" t="s">
        <v>17</v>
      </c>
      <c r="W307" s="121"/>
      <c r="X307" s="121"/>
      <c r="Y307" s="121"/>
      <c r="Z307" s="121"/>
    </row>
    <row r="308" spans="4:26" x14ac:dyDescent="0.3">
      <c r="D308" s="136">
        <v>85</v>
      </c>
      <c r="E308" s="630"/>
      <c r="F308" s="630"/>
      <c r="G308" s="634"/>
      <c r="H308" s="634"/>
      <c r="I308" s="634"/>
      <c r="J308" s="121">
        <v>656.5</v>
      </c>
      <c r="K308" s="121" t="s">
        <v>17</v>
      </c>
      <c r="L308" s="121" t="s">
        <v>17</v>
      </c>
      <c r="M308" s="121"/>
      <c r="N308" s="121">
        <v>674</v>
      </c>
      <c r="O308" s="121" t="s">
        <v>17</v>
      </c>
      <c r="P308" s="121" t="s">
        <v>17</v>
      </c>
      <c r="Q308" s="121" t="s">
        <v>17</v>
      </c>
      <c r="R308" s="121"/>
      <c r="S308" s="121"/>
      <c r="T308" s="121"/>
      <c r="U308" s="121" t="s">
        <v>17</v>
      </c>
      <c r="V308" s="121" t="s">
        <v>17</v>
      </c>
      <c r="W308" s="121"/>
      <c r="X308" s="121"/>
      <c r="Y308" s="121"/>
      <c r="Z308" s="121"/>
    </row>
    <row r="309" spans="4:26" x14ac:dyDescent="0.3">
      <c r="D309" s="136">
        <v>86</v>
      </c>
      <c r="E309" s="630"/>
      <c r="F309" s="630"/>
      <c r="G309" s="634"/>
      <c r="H309" s="634"/>
      <c r="I309" s="634"/>
      <c r="J309" s="121">
        <v>665</v>
      </c>
      <c r="K309" s="121" t="s">
        <v>17</v>
      </c>
      <c r="L309" s="121" t="s">
        <v>17</v>
      </c>
      <c r="M309" s="121"/>
      <c r="N309" s="121">
        <v>677.6</v>
      </c>
      <c r="O309" s="121" t="s">
        <v>17</v>
      </c>
      <c r="P309" s="121" t="s">
        <v>17</v>
      </c>
      <c r="Q309" s="121" t="s">
        <v>17</v>
      </c>
      <c r="R309" s="121"/>
      <c r="S309" s="121"/>
      <c r="T309" s="121"/>
      <c r="U309" s="121" t="s">
        <v>17</v>
      </c>
      <c r="V309" s="121" t="s">
        <v>17</v>
      </c>
      <c r="W309" s="121"/>
      <c r="X309" s="121"/>
      <c r="Y309" s="121"/>
      <c r="Z309" s="121"/>
    </row>
    <row r="310" spans="4:26" x14ac:dyDescent="0.3">
      <c r="D310" s="136">
        <v>87</v>
      </c>
      <c r="E310" s="630"/>
      <c r="F310" s="630"/>
      <c r="G310" s="634"/>
      <c r="H310" s="634"/>
      <c r="I310" s="634"/>
      <c r="J310" s="121">
        <v>673.5</v>
      </c>
      <c r="K310" s="121" t="s">
        <v>17</v>
      </c>
      <c r="L310" s="121" t="s">
        <v>17</v>
      </c>
      <c r="M310" s="121"/>
      <c r="N310" s="121">
        <v>681.5</v>
      </c>
      <c r="O310" s="121" t="s">
        <v>17</v>
      </c>
      <c r="P310" s="121" t="s">
        <v>17</v>
      </c>
      <c r="Q310" s="121" t="s">
        <v>17</v>
      </c>
      <c r="R310" s="121"/>
      <c r="S310" s="121"/>
      <c r="T310" s="121"/>
      <c r="U310" s="121" t="s">
        <v>17</v>
      </c>
      <c r="V310" s="121" t="s">
        <v>17</v>
      </c>
      <c r="W310" s="121"/>
      <c r="X310" s="121"/>
      <c r="Y310" s="121"/>
      <c r="Z310" s="121"/>
    </row>
    <row r="311" spans="4:26" x14ac:dyDescent="0.3">
      <c r="D311" s="136">
        <v>88</v>
      </c>
      <c r="E311" s="630"/>
      <c r="F311" s="630"/>
      <c r="G311" s="634"/>
      <c r="H311" s="634"/>
      <c r="I311" s="634"/>
      <c r="J311" s="121">
        <v>682.5</v>
      </c>
      <c r="K311" s="121" t="s">
        <v>17</v>
      </c>
      <c r="L311" s="121" t="s">
        <v>17</v>
      </c>
      <c r="M311" s="121"/>
      <c r="N311" s="121">
        <v>684.9</v>
      </c>
      <c r="O311" s="121" t="s">
        <v>17</v>
      </c>
      <c r="P311" s="121" t="s">
        <v>17</v>
      </c>
      <c r="Q311" s="121" t="s">
        <v>17</v>
      </c>
      <c r="R311" s="121"/>
      <c r="S311" s="121"/>
      <c r="T311" s="121"/>
      <c r="U311" s="121" t="s">
        <v>17</v>
      </c>
      <c r="V311" s="121" t="s">
        <v>17</v>
      </c>
      <c r="W311" s="121"/>
      <c r="X311" s="121"/>
      <c r="Y311" s="121"/>
      <c r="Z311" s="121"/>
    </row>
    <row r="312" spans="4:26" x14ac:dyDescent="0.3">
      <c r="D312" s="136">
        <v>89</v>
      </c>
      <c r="E312" s="630"/>
      <c r="F312" s="630"/>
      <c r="G312" s="634"/>
      <c r="H312" s="634"/>
      <c r="I312" s="634"/>
      <c r="J312" s="121">
        <v>690.8</v>
      </c>
      <c r="K312" s="121" t="s">
        <v>17</v>
      </c>
      <c r="L312" s="121" t="s">
        <v>17</v>
      </c>
      <c r="M312" s="121"/>
      <c r="N312" s="121">
        <v>688.4</v>
      </c>
      <c r="O312" s="121" t="s">
        <v>17</v>
      </c>
      <c r="P312" s="121" t="s">
        <v>17</v>
      </c>
      <c r="Q312" s="121" t="s">
        <v>17</v>
      </c>
      <c r="R312" s="121"/>
      <c r="S312" s="121"/>
      <c r="T312" s="121"/>
      <c r="U312" s="121" t="s">
        <v>17</v>
      </c>
      <c r="V312" s="121" t="s">
        <v>17</v>
      </c>
      <c r="W312" s="121"/>
      <c r="X312" s="121"/>
      <c r="Y312" s="121"/>
      <c r="Z312" s="121"/>
    </row>
    <row r="313" spans="4:26" x14ac:dyDescent="0.3">
      <c r="D313" s="623">
        <v>90</v>
      </c>
      <c r="E313" s="630"/>
      <c r="F313" s="630"/>
      <c r="G313" s="634"/>
      <c r="H313" s="634"/>
      <c r="I313" s="634"/>
      <c r="J313" s="627">
        <v>698.3</v>
      </c>
      <c r="K313" s="627" t="s">
        <v>17</v>
      </c>
      <c r="L313" s="627" t="s">
        <v>17</v>
      </c>
      <c r="M313" s="627"/>
      <c r="N313" s="627">
        <v>691.8</v>
      </c>
      <c r="O313" s="627" t="s">
        <v>17</v>
      </c>
      <c r="P313" s="627" t="s">
        <v>17</v>
      </c>
      <c r="Q313" s="627" t="s">
        <v>17</v>
      </c>
      <c r="R313" s="627"/>
      <c r="S313" s="627"/>
      <c r="T313" s="627"/>
      <c r="U313" s="627" t="s">
        <v>17</v>
      </c>
      <c r="V313" s="627" t="s">
        <v>17</v>
      </c>
      <c r="W313" s="627"/>
      <c r="X313" s="627"/>
      <c r="Y313" s="627"/>
      <c r="Z313" s="627"/>
    </row>
    <row r="314" spans="4:26" x14ac:dyDescent="0.3">
      <c r="D314" s="136">
        <v>91</v>
      </c>
      <c r="E314" s="630"/>
      <c r="F314" s="630"/>
      <c r="G314" s="635"/>
      <c r="H314" s="635"/>
      <c r="I314" s="635"/>
      <c r="J314" s="121">
        <v>705.6</v>
      </c>
      <c r="K314" s="121" t="s">
        <v>17</v>
      </c>
      <c r="L314" s="121" t="s">
        <v>17</v>
      </c>
      <c r="M314" s="121"/>
      <c r="N314" s="121">
        <v>694.7</v>
      </c>
      <c r="O314" s="121" t="s">
        <v>17</v>
      </c>
      <c r="P314" s="121" t="s">
        <v>17</v>
      </c>
      <c r="Q314" s="121" t="s">
        <v>17</v>
      </c>
      <c r="R314" s="121"/>
      <c r="S314" s="121"/>
      <c r="T314" s="121"/>
      <c r="U314" s="121" t="s">
        <v>17</v>
      </c>
      <c r="V314" s="121" t="s">
        <v>17</v>
      </c>
      <c r="W314" s="121"/>
      <c r="X314" s="121"/>
      <c r="Y314" s="121"/>
      <c r="Z314" s="121"/>
    </row>
    <row r="315" spans="4:26" x14ac:dyDescent="0.3">
      <c r="D315" s="136">
        <v>92</v>
      </c>
      <c r="E315" s="630"/>
      <c r="F315" s="630"/>
      <c r="G315" s="635"/>
      <c r="H315" s="635"/>
      <c r="I315" s="635"/>
      <c r="J315" s="121">
        <v>713.5</v>
      </c>
      <c r="K315" s="121" t="s">
        <v>17</v>
      </c>
      <c r="L315" s="121" t="s">
        <v>17</v>
      </c>
      <c r="M315" s="121"/>
      <c r="N315" s="121">
        <v>698.8</v>
      </c>
      <c r="O315" s="121" t="s">
        <v>17</v>
      </c>
      <c r="P315" s="121" t="s">
        <v>17</v>
      </c>
      <c r="Q315" s="121" t="s">
        <v>17</v>
      </c>
      <c r="R315" s="121"/>
      <c r="S315" s="121"/>
      <c r="T315" s="121"/>
      <c r="U315" s="121" t="s">
        <v>17</v>
      </c>
      <c r="V315" s="121" t="s">
        <v>17</v>
      </c>
      <c r="W315" s="121"/>
      <c r="X315" s="121"/>
      <c r="Y315" s="121"/>
      <c r="Z315" s="121"/>
    </row>
    <row r="316" spans="4:26" x14ac:dyDescent="0.3">
      <c r="D316" s="136">
        <v>93</v>
      </c>
      <c r="E316" s="630"/>
      <c r="F316" s="630"/>
      <c r="G316" s="635"/>
      <c r="H316" s="635"/>
      <c r="I316" s="635"/>
      <c r="J316" s="121" t="s">
        <v>17</v>
      </c>
      <c r="K316" s="121" t="s">
        <v>17</v>
      </c>
      <c r="L316" s="121" t="s">
        <v>17</v>
      </c>
      <c r="M316" s="121"/>
      <c r="N316" s="121">
        <v>702.4</v>
      </c>
      <c r="O316" s="121" t="s">
        <v>17</v>
      </c>
      <c r="P316" s="121" t="s">
        <v>17</v>
      </c>
      <c r="Q316" s="121" t="s">
        <v>17</v>
      </c>
      <c r="R316" s="121"/>
      <c r="S316" s="121"/>
      <c r="T316" s="121"/>
      <c r="U316" s="121" t="s">
        <v>17</v>
      </c>
      <c r="V316" s="121" t="s">
        <v>17</v>
      </c>
      <c r="W316" s="121"/>
      <c r="X316" s="121"/>
      <c r="Y316" s="121"/>
      <c r="Z316" s="121"/>
    </row>
    <row r="317" spans="4:26" x14ac:dyDescent="0.3">
      <c r="D317" s="136">
        <v>94</v>
      </c>
      <c r="E317" s="630"/>
      <c r="F317" s="630"/>
      <c r="G317" s="635"/>
      <c r="H317" s="635"/>
      <c r="I317" s="635"/>
      <c r="J317" s="121" t="s">
        <v>17</v>
      </c>
      <c r="K317" s="121" t="s">
        <v>17</v>
      </c>
      <c r="L317" s="121" t="s">
        <v>17</v>
      </c>
      <c r="M317" s="121"/>
      <c r="N317" s="121">
        <v>706</v>
      </c>
      <c r="O317" s="121" t="s">
        <v>17</v>
      </c>
      <c r="P317" s="121" t="s">
        <v>17</v>
      </c>
      <c r="Q317" s="121" t="s">
        <v>17</v>
      </c>
      <c r="R317" s="121"/>
      <c r="S317" s="121"/>
      <c r="T317" s="121"/>
      <c r="U317" s="121" t="s">
        <v>17</v>
      </c>
      <c r="V317" s="121" t="s">
        <v>17</v>
      </c>
      <c r="W317" s="121"/>
      <c r="X317" s="121"/>
      <c r="Y317" s="121"/>
      <c r="Z317" s="121"/>
    </row>
    <row r="318" spans="4:26" x14ac:dyDescent="0.3">
      <c r="D318" s="623">
        <v>95</v>
      </c>
      <c r="E318" s="630"/>
      <c r="F318" s="630"/>
      <c r="G318" s="635"/>
      <c r="H318" s="635"/>
      <c r="I318" s="635"/>
      <c r="J318" s="627" t="s">
        <v>17</v>
      </c>
      <c r="K318" s="627" t="s">
        <v>17</v>
      </c>
      <c r="L318" s="627" t="s">
        <v>17</v>
      </c>
      <c r="M318" s="627"/>
      <c r="N318" s="627">
        <v>710</v>
      </c>
      <c r="O318" s="627" t="s">
        <v>17</v>
      </c>
      <c r="P318" s="627" t="s">
        <v>17</v>
      </c>
      <c r="Q318" s="627" t="s">
        <v>17</v>
      </c>
      <c r="R318" s="627"/>
      <c r="S318" s="627"/>
      <c r="T318" s="627"/>
      <c r="U318" s="627" t="s">
        <v>17</v>
      </c>
      <c r="V318" s="627" t="s">
        <v>17</v>
      </c>
      <c r="W318" s="627"/>
      <c r="X318" s="627"/>
      <c r="Y318" s="627"/>
      <c r="Z318" s="627"/>
    </row>
    <row r="319" spans="4:26" x14ac:dyDescent="0.3">
      <c r="D319" s="136">
        <v>96</v>
      </c>
      <c r="E319" s="630"/>
      <c r="F319" s="630"/>
      <c r="G319" s="635"/>
      <c r="H319" s="635"/>
      <c r="I319" s="635"/>
      <c r="J319" s="121" t="s">
        <v>17</v>
      </c>
      <c r="K319" s="121" t="s">
        <v>17</v>
      </c>
      <c r="L319" s="121" t="s">
        <v>17</v>
      </c>
      <c r="M319" s="121"/>
      <c r="N319" s="121">
        <v>714.3</v>
      </c>
      <c r="O319" s="121" t="s">
        <v>17</v>
      </c>
      <c r="P319" s="121" t="s">
        <v>17</v>
      </c>
      <c r="Q319" s="121" t="s">
        <v>17</v>
      </c>
      <c r="R319" s="121"/>
      <c r="S319" s="121"/>
      <c r="T319" s="121"/>
      <c r="U319" s="121" t="s">
        <v>17</v>
      </c>
      <c r="V319" s="121" t="s">
        <v>17</v>
      </c>
      <c r="W319" s="121"/>
      <c r="X319" s="121"/>
      <c r="Y319" s="121"/>
      <c r="Z319" s="121"/>
    </row>
    <row r="320" spans="4:26" x14ac:dyDescent="0.3">
      <c r="D320" s="136">
        <v>97</v>
      </c>
      <c r="E320" s="630"/>
      <c r="F320" s="630"/>
      <c r="G320" s="635"/>
      <c r="H320" s="635"/>
      <c r="I320" s="635"/>
      <c r="J320" s="121" t="s">
        <v>17</v>
      </c>
      <c r="K320" s="121" t="s">
        <v>17</v>
      </c>
      <c r="L320" s="121" t="s">
        <v>17</v>
      </c>
      <c r="M320" s="121"/>
      <c r="N320" s="121">
        <v>718.8</v>
      </c>
      <c r="O320" s="121" t="s">
        <v>17</v>
      </c>
      <c r="P320" s="121" t="s">
        <v>17</v>
      </c>
      <c r="Q320" s="121" t="s">
        <v>17</v>
      </c>
      <c r="R320" s="121"/>
      <c r="S320" s="121"/>
      <c r="T320" s="121"/>
      <c r="U320" s="121" t="s">
        <v>17</v>
      </c>
      <c r="V320" s="121" t="s">
        <v>17</v>
      </c>
      <c r="W320" s="121"/>
      <c r="X320" s="121"/>
      <c r="Y320" s="121"/>
      <c r="Z320" s="121"/>
    </row>
    <row r="321" spans="4:26" x14ac:dyDescent="0.3">
      <c r="D321" s="136">
        <v>98</v>
      </c>
      <c r="E321" s="630"/>
      <c r="F321" s="630"/>
      <c r="G321" s="635"/>
      <c r="H321" s="635"/>
      <c r="I321" s="635"/>
      <c r="J321" s="121" t="s">
        <v>17</v>
      </c>
      <c r="K321" s="121" t="s">
        <v>17</v>
      </c>
      <c r="L321" s="121" t="s">
        <v>17</v>
      </c>
      <c r="M321" s="121"/>
      <c r="N321" s="121">
        <v>723.7</v>
      </c>
      <c r="O321" s="121" t="s">
        <v>17</v>
      </c>
      <c r="P321" s="121" t="s">
        <v>17</v>
      </c>
      <c r="Q321" s="121" t="s">
        <v>17</v>
      </c>
      <c r="R321" s="121"/>
      <c r="S321" s="121"/>
      <c r="T321" s="121"/>
      <c r="U321" s="121" t="s">
        <v>17</v>
      </c>
      <c r="V321" s="121" t="s">
        <v>17</v>
      </c>
      <c r="W321" s="121"/>
      <c r="X321" s="121"/>
      <c r="Y321" s="121"/>
      <c r="Z321" s="121"/>
    </row>
    <row r="322" spans="4:26" x14ac:dyDescent="0.3">
      <c r="D322" s="136">
        <v>99</v>
      </c>
      <c r="E322" s="630"/>
      <c r="F322" s="630"/>
      <c r="G322" s="635"/>
      <c r="H322" s="635"/>
      <c r="I322" s="635"/>
      <c r="J322" s="121" t="s">
        <v>17</v>
      </c>
      <c r="K322" s="121" t="s">
        <v>17</v>
      </c>
      <c r="L322" s="121" t="s">
        <v>17</v>
      </c>
      <c r="M322" s="121"/>
      <c r="N322" s="121">
        <v>729</v>
      </c>
      <c r="O322" s="121" t="s">
        <v>17</v>
      </c>
      <c r="P322" s="121" t="s">
        <v>17</v>
      </c>
      <c r="Q322" s="121" t="s">
        <v>17</v>
      </c>
      <c r="R322" s="121"/>
      <c r="S322" s="121"/>
      <c r="T322" s="121"/>
      <c r="U322" s="121" t="s">
        <v>17</v>
      </c>
      <c r="V322" s="121" t="s">
        <v>17</v>
      </c>
      <c r="W322" s="121"/>
      <c r="X322" s="121"/>
      <c r="Y322" s="121"/>
      <c r="Z322" s="121"/>
    </row>
    <row r="323" spans="4:26" x14ac:dyDescent="0.3">
      <c r="D323" s="623">
        <v>100</v>
      </c>
      <c r="E323" s="630"/>
      <c r="F323" s="630"/>
      <c r="G323" s="635"/>
      <c r="H323" s="635"/>
      <c r="I323" s="635"/>
      <c r="J323" s="627" t="s">
        <v>17</v>
      </c>
      <c r="K323" s="627" t="s">
        <v>17</v>
      </c>
      <c r="L323" s="627" t="s">
        <v>17</v>
      </c>
      <c r="M323" s="627"/>
      <c r="N323" s="627">
        <v>731.8</v>
      </c>
      <c r="O323" s="627" t="s">
        <v>17</v>
      </c>
      <c r="P323" s="627" t="s">
        <v>17</v>
      </c>
      <c r="Q323" s="627" t="s">
        <v>17</v>
      </c>
      <c r="R323" s="627"/>
      <c r="S323" s="627"/>
      <c r="T323" s="627"/>
      <c r="U323" s="627" t="s">
        <v>17</v>
      </c>
      <c r="V323" s="627" t="s">
        <v>17</v>
      </c>
      <c r="W323" s="627"/>
      <c r="X323" s="627"/>
      <c r="Y323" s="627"/>
      <c r="Z323" s="627"/>
    </row>
  </sheetData>
  <mergeCells count="3">
    <mergeCell ref="D1:M1"/>
    <mergeCell ref="Z113:AE113"/>
    <mergeCell ref="Z220:AE220"/>
  </mergeCells>
  <phoneticPr fontId="29" type="noConversion"/>
  <printOptions horizontalCentered="1"/>
  <pageMargins left="0.24" right="0.17" top="0.52" bottom="0.38" header="0.31496062992126" footer="0.16"/>
  <pageSetup paperSize="9" scale="3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029E-561A-432E-8319-0C66AE763BA6}">
  <sheetPr codeName="Sheet2">
    <tabColor theme="6" tint="0.59999389629810485"/>
    <pageSetUpPr fitToPage="1"/>
  </sheetPr>
  <dimension ref="F35:J35"/>
  <sheetViews>
    <sheetView topLeftCell="A96" zoomScale="50" zoomScaleNormal="59" zoomScaleSheetLayoutView="69" zoomScalePageLayoutView="50" workbookViewId="0">
      <selection activeCell="BT109" sqref="BT109"/>
    </sheetView>
  </sheetViews>
  <sheetFormatPr defaultColWidth="8.85546875" defaultRowHeight="15" x14ac:dyDescent="0.25"/>
  <cols>
    <col min="1" max="2" width="8.85546875" style="142"/>
    <col min="3" max="3" width="12.85546875" style="142" customWidth="1"/>
    <col min="4" max="9" width="8.85546875" style="142"/>
    <col min="10" max="10" width="8.85546875" style="142" customWidth="1"/>
    <col min="11" max="16384" width="8.85546875" style="142"/>
  </cols>
  <sheetData>
    <row r="35" spans="6:10" x14ac:dyDescent="0.25">
      <c r="F35" s="142" t="s">
        <v>323</v>
      </c>
      <c r="H35" s="171">
        <f>AVERAGE('Master Template'!J141:L141)</f>
        <v>65.603649606026593</v>
      </c>
      <c r="I35" s="142" t="s">
        <v>55</v>
      </c>
      <c r="J35" s="142" t="s">
        <v>324</v>
      </c>
    </row>
  </sheetData>
  <pageMargins left="0.7" right="0.7" top="0.75" bottom="0.75" header="0.3" footer="0.3"/>
  <pageSetup paperSize="9" scale="20"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AD93-5B23-4BE7-A293-D981A55698C6}">
  <dimension ref="G53:AB89"/>
  <sheetViews>
    <sheetView topLeftCell="B61" zoomScale="49" zoomScaleNormal="85" zoomScaleSheetLayoutView="73" zoomScalePageLayoutView="68" workbookViewId="0">
      <selection activeCell="AG86" sqref="AG86"/>
    </sheetView>
  </sheetViews>
  <sheetFormatPr defaultColWidth="8.85546875" defaultRowHeight="15" x14ac:dyDescent="0.25"/>
  <cols>
    <col min="1" max="15" width="8.85546875" style="142"/>
    <col min="16" max="16" width="8.85546875" style="142" customWidth="1"/>
    <col min="17" max="16384" width="8.85546875" style="142"/>
  </cols>
  <sheetData>
    <row r="53" spans="7:8" x14ac:dyDescent="0.25">
      <c r="G53" s="142">
        <v>4.5</v>
      </c>
      <c r="H53" s="142">
        <v>-2</v>
      </c>
    </row>
    <row r="54" spans="7:8" x14ac:dyDescent="0.25">
      <c r="G54" s="142">
        <v>4.5</v>
      </c>
      <c r="H54" s="142">
        <v>150</v>
      </c>
    </row>
    <row r="56" spans="7:8" x14ac:dyDescent="0.25">
      <c r="G56" s="142">
        <v>10.5</v>
      </c>
      <c r="H56" s="142">
        <v>-2</v>
      </c>
    </row>
    <row r="57" spans="7:8" x14ac:dyDescent="0.25">
      <c r="G57" s="142">
        <v>10.5</v>
      </c>
      <c r="H57" s="142">
        <v>150</v>
      </c>
    </row>
    <row r="75" spans="24:28" x14ac:dyDescent="0.25">
      <c r="X75" s="142" t="s">
        <v>616</v>
      </c>
    </row>
    <row r="76" spans="24:28" x14ac:dyDescent="0.25">
      <c r="X76" s="142" t="s">
        <v>883</v>
      </c>
      <c r="Y76" s="142">
        <v>6</v>
      </c>
      <c r="Z76" s="142">
        <v>8</v>
      </c>
      <c r="AA76" s="142">
        <v>12</v>
      </c>
      <c r="AB76" s="142">
        <v>14</v>
      </c>
    </row>
    <row r="89" spans="23:23" x14ac:dyDescent="0.25">
      <c r="W89" s="142">
        <f>17.4-2.3</f>
        <v>15.099999999999998</v>
      </c>
    </row>
  </sheetData>
  <pageMargins left="0.7" right="0.7" top="0.75" bottom="0.75" header="0.3" footer="0.3"/>
  <pageSetup paperSize="9" scale="78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CF67-859D-482D-8113-C87D88E169CF}">
  <dimension ref="C1:Y41"/>
  <sheetViews>
    <sheetView topLeftCell="B1" zoomScale="56" workbookViewId="0">
      <pane xSplit="3" ySplit="5" topLeftCell="E6" activePane="bottomRight" state="frozen"/>
      <selection activeCell="B1" sqref="B1"/>
      <selection pane="topRight" activeCell="D1" sqref="D1"/>
      <selection pane="bottomLeft" activeCell="B6" sqref="B6"/>
      <selection pane="bottomRight" activeCell="H35" sqref="H35"/>
    </sheetView>
  </sheetViews>
  <sheetFormatPr defaultRowHeight="15" x14ac:dyDescent="0.25"/>
  <cols>
    <col min="3" max="3" width="23.5703125" style="1" customWidth="1"/>
    <col min="4" max="4" width="11.42578125" hidden="1" customWidth="1"/>
    <col min="5" max="5" width="11.42578125" customWidth="1"/>
    <col min="6" max="6" width="11.85546875" style="165" customWidth="1"/>
    <col min="7" max="7" width="9.140625" style="165" customWidth="1"/>
    <col min="8" max="8" width="10.85546875" style="142" customWidth="1"/>
    <col min="9" max="9" width="1.85546875" customWidth="1"/>
    <col min="10" max="10" width="8.5703125" customWidth="1"/>
    <col min="11" max="11" width="16.140625" customWidth="1"/>
    <col min="12" max="12" width="8.85546875" customWidth="1"/>
    <col min="13" max="13" width="13.140625" customWidth="1"/>
    <col min="14" max="14" width="7.42578125" customWidth="1"/>
    <col min="15" max="15" width="13.85546875" customWidth="1"/>
    <col min="16" max="16" width="15.5703125" customWidth="1"/>
    <col min="17" max="17" width="13.140625" customWidth="1"/>
    <col min="18" max="18" width="6.140625" customWidth="1"/>
    <col min="19" max="19" width="14.85546875" customWidth="1"/>
    <col min="20" max="20" width="6.5703125" customWidth="1"/>
    <col min="21" max="21" width="16.5703125" customWidth="1"/>
    <col min="23" max="23" width="6.140625" customWidth="1"/>
  </cols>
  <sheetData>
    <row r="1" spans="3:25" x14ac:dyDescent="0.25">
      <c r="C1" s="179"/>
      <c r="D1" s="142"/>
      <c r="E1" s="142"/>
      <c r="F1" s="183"/>
      <c r="G1" s="183"/>
    </row>
    <row r="2" spans="3:25" x14ac:dyDescent="0.25">
      <c r="C2" s="179"/>
      <c r="D2" s="142" t="s">
        <v>286</v>
      </c>
      <c r="E2" s="142"/>
      <c r="F2" s="183"/>
      <c r="G2" s="183"/>
    </row>
    <row r="3" spans="3:25" ht="15.75" thickBot="1" x14ac:dyDescent="0.3">
      <c r="C3" s="179"/>
      <c r="D3" s="142" t="s">
        <v>291</v>
      </c>
      <c r="E3" s="142"/>
      <c r="F3" s="183"/>
      <c r="G3" s="183"/>
    </row>
    <row r="4" spans="3:25" ht="15.75" thickBot="1" x14ac:dyDescent="0.3">
      <c r="C4" s="179"/>
      <c r="D4" s="179" t="s">
        <v>615</v>
      </c>
      <c r="E4" s="1610" t="s">
        <v>549</v>
      </c>
      <c r="F4" s="1611"/>
      <c r="G4" s="1528" t="s">
        <v>614</v>
      </c>
      <c r="H4" s="1530"/>
      <c r="J4" s="1612" t="s">
        <v>623</v>
      </c>
      <c r="K4" s="1613"/>
      <c r="L4" s="1613"/>
      <c r="M4" s="1613"/>
      <c r="N4" s="1613"/>
      <c r="O4" s="1613"/>
      <c r="P4" s="1613"/>
      <c r="Q4" s="1613"/>
      <c r="R4" s="1613"/>
      <c r="S4" s="1613"/>
      <c r="T4" s="1614"/>
      <c r="U4" s="1615"/>
      <c r="X4" s="1619" t="s">
        <v>849</v>
      </c>
      <c r="Y4" s="1619"/>
    </row>
    <row r="5" spans="3:25" ht="30.75" thickBot="1" x14ac:dyDescent="0.3">
      <c r="C5" s="179"/>
      <c r="D5" s="179"/>
      <c r="E5" s="995" t="s">
        <v>616</v>
      </c>
      <c r="F5" s="1001" t="s">
        <v>295</v>
      </c>
      <c r="G5" s="995" t="s">
        <v>616</v>
      </c>
      <c r="H5" s="996" t="s">
        <v>295</v>
      </c>
      <c r="J5" s="1024" t="s">
        <v>550</v>
      </c>
      <c r="K5" s="1036" t="s">
        <v>643</v>
      </c>
      <c r="L5" s="1030" t="s">
        <v>551</v>
      </c>
      <c r="M5" s="1026" t="s">
        <v>644</v>
      </c>
      <c r="N5" s="1042" t="s">
        <v>552</v>
      </c>
      <c r="O5" s="1026" t="s">
        <v>646</v>
      </c>
      <c r="P5" s="1056" t="s">
        <v>621</v>
      </c>
      <c r="Q5" s="1057" t="s">
        <v>649</v>
      </c>
      <c r="R5" s="1025" t="s">
        <v>554</v>
      </c>
      <c r="S5" s="1030" t="s">
        <v>650</v>
      </c>
      <c r="T5" s="1024" t="s">
        <v>617</v>
      </c>
      <c r="U5" s="1026" t="s">
        <v>651</v>
      </c>
      <c r="X5" s="163" t="s">
        <v>552</v>
      </c>
      <c r="Y5" s="163" t="s">
        <v>553</v>
      </c>
    </row>
    <row r="6" spans="3:25" s="165" customFormat="1" x14ac:dyDescent="0.25">
      <c r="C6" s="1069" t="s">
        <v>618</v>
      </c>
      <c r="D6" s="1065"/>
      <c r="E6" s="1066">
        <v>95.34</v>
      </c>
      <c r="F6" s="987">
        <v>96.2</v>
      </c>
      <c r="G6" s="989">
        <v>93.87</v>
      </c>
      <c r="H6" s="1067">
        <v>93.7</v>
      </c>
      <c r="J6" s="989">
        <v>94</v>
      </c>
      <c r="K6" s="1041" t="s">
        <v>648</v>
      </c>
      <c r="L6" s="1054">
        <v>95.5</v>
      </c>
      <c r="M6" s="1059" t="s">
        <v>647</v>
      </c>
      <c r="N6" s="1058">
        <v>93.3</v>
      </c>
      <c r="O6" s="1059" t="s">
        <v>648</v>
      </c>
      <c r="P6" s="1058" t="s">
        <v>622</v>
      </c>
      <c r="Q6" s="1059">
        <v>575</v>
      </c>
      <c r="R6" s="1068">
        <v>98</v>
      </c>
      <c r="S6" s="1054" t="s">
        <v>648</v>
      </c>
      <c r="T6" s="989">
        <v>95</v>
      </c>
      <c r="U6" s="1076" t="s">
        <v>647</v>
      </c>
      <c r="W6" s="1314" t="s">
        <v>852</v>
      </c>
      <c r="X6" s="165" t="s">
        <v>647</v>
      </c>
      <c r="Y6" s="165" t="s">
        <v>647</v>
      </c>
    </row>
    <row r="7" spans="3:25" x14ac:dyDescent="0.25">
      <c r="C7" s="997" t="s">
        <v>288</v>
      </c>
      <c r="D7" s="978"/>
      <c r="E7" s="979">
        <v>0.61</v>
      </c>
      <c r="F7" s="1002">
        <v>0.74</v>
      </c>
      <c r="G7" s="974">
        <v>0.7</v>
      </c>
      <c r="H7" s="982">
        <v>0.78</v>
      </c>
      <c r="J7" s="881">
        <v>0.34</v>
      </c>
      <c r="K7" s="1037">
        <v>0.49469999999999997</v>
      </c>
      <c r="L7" s="1031">
        <v>0.79</v>
      </c>
      <c r="M7" s="882">
        <v>0.89190000000000003</v>
      </c>
      <c r="N7" s="1043">
        <v>0.94489999999999996</v>
      </c>
      <c r="O7" s="1049">
        <v>0.93569999999999998</v>
      </c>
      <c r="P7" s="1060">
        <v>0.76200000000000001</v>
      </c>
      <c r="Q7" s="982">
        <v>0.90749999999999997</v>
      </c>
      <c r="R7" s="1029">
        <v>0.28660000000000002</v>
      </c>
      <c r="S7" s="1032">
        <v>0.2767</v>
      </c>
      <c r="T7" s="1007">
        <v>0.84</v>
      </c>
      <c r="U7" s="882">
        <v>0.99239999999999995</v>
      </c>
      <c r="W7" t="s">
        <v>156</v>
      </c>
      <c r="X7">
        <v>0.86890000000000001</v>
      </c>
      <c r="Y7">
        <f>0.9075</f>
        <v>0.90749999999999997</v>
      </c>
    </row>
    <row r="8" spans="3:25" x14ac:dyDescent="0.25">
      <c r="C8" s="997" t="s">
        <v>287</v>
      </c>
      <c r="D8" s="978"/>
      <c r="E8" s="979">
        <v>5.8</v>
      </c>
      <c r="F8" s="970">
        <v>5.7</v>
      </c>
      <c r="G8" s="974">
        <v>4.4000000000000004</v>
      </c>
      <c r="H8" s="1305">
        <v>5.2480000000000002</v>
      </c>
      <c r="J8" s="881">
        <v>7.6</v>
      </c>
      <c r="K8" s="1037">
        <v>7.43</v>
      </c>
      <c r="L8" s="1031">
        <v>5.8</v>
      </c>
      <c r="M8" s="882">
        <v>6.53</v>
      </c>
      <c r="N8" s="1044">
        <v>0.84499999999999997</v>
      </c>
      <c r="O8" s="882">
        <v>0.82</v>
      </c>
      <c r="P8" s="1044">
        <v>0.76</v>
      </c>
      <c r="Q8" s="882">
        <v>0.91</v>
      </c>
      <c r="R8" s="1004">
        <v>0.26700000000000002</v>
      </c>
      <c r="S8" s="1031">
        <v>7.6999999999999999E-2</v>
      </c>
      <c r="T8" s="881">
        <v>3.37</v>
      </c>
      <c r="U8" s="882">
        <v>3.21</v>
      </c>
      <c r="W8" t="s">
        <v>157</v>
      </c>
      <c r="X8">
        <v>0.76</v>
      </c>
      <c r="Y8">
        <v>0.91</v>
      </c>
    </row>
    <row r="9" spans="3:25" x14ac:dyDescent="0.25">
      <c r="C9" s="997" t="s">
        <v>289</v>
      </c>
      <c r="D9" s="978"/>
      <c r="E9" s="979">
        <v>26.89</v>
      </c>
      <c r="F9" s="971">
        <v>31.6</v>
      </c>
      <c r="G9" s="975">
        <v>25.28</v>
      </c>
      <c r="H9" s="973">
        <v>32.07</v>
      </c>
      <c r="J9" s="881">
        <v>33</v>
      </c>
      <c r="K9" s="1037">
        <v>29.2</v>
      </c>
      <c r="L9" s="1031">
        <v>30.1</v>
      </c>
      <c r="M9" s="882">
        <v>36.200000000000003</v>
      </c>
      <c r="N9" s="1044">
        <v>16.88</v>
      </c>
      <c r="O9" s="882">
        <v>15.5</v>
      </c>
      <c r="P9" s="1044">
        <v>20.9</v>
      </c>
      <c r="Q9" s="882">
        <v>23.4</v>
      </c>
      <c r="R9" s="1004">
        <v>20.295000000000002</v>
      </c>
      <c r="S9" s="1031">
        <v>11.1</v>
      </c>
      <c r="T9" s="881">
        <v>34.335000000000001</v>
      </c>
      <c r="U9" s="882">
        <v>33.200000000000003</v>
      </c>
      <c r="X9">
        <v>16.8</v>
      </c>
      <c r="Y9">
        <v>23.4</v>
      </c>
    </row>
    <row r="10" spans="3:25" x14ac:dyDescent="0.25">
      <c r="C10" s="997" t="s">
        <v>298</v>
      </c>
      <c r="D10" s="978"/>
      <c r="E10" s="979">
        <v>34.97</v>
      </c>
      <c r="F10" s="970">
        <v>33.22</v>
      </c>
      <c r="G10" s="972">
        <v>33.19</v>
      </c>
      <c r="H10" s="982">
        <v>40.28</v>
      </c>
      <c r="J10" s="881">
        <v>35.1</v>
      </c>
      <c r="K10" s="1037"/>
      <c r="L10" s="1031">
        <v>33.17</v>
      </c>
      <c r="M10" s="882"/>
      <c r="N10" s="1044">
        <v>14.79</v>
      </c>
      <c r="O10" s="882"/>
      <c r="P10" s="1061" t="s">
        <v>17</v>
      </c>
      <c r="Q10" s="1062"/>
      <c r="R10" s="1004">
        <v>27.5</v>
      </c>
      <c r="S10" s="1031"/>
      <c r="T10" s="881">
        <v>47.3</v>
      </c>
      <c r="U10" s="882"/>
    </row>
    <row r="11" spans="3:25" x14ac:dyDescent="0.25">
      <c r="C11" s="997" t="s">
        <v>299</v>
      </c>
      <c r="D11" s="978"/>
      <c r="E11" s="979">
        <v>20.25</v>
      </c>
      <c r="F11" s="970">
        <v>20.9</v>
      </c>
      <c r="G11" s="974">
        <v>20.54</v>
      </c>
      <c r="H11" s="973">
        <v>22</v>
      </c>
      <c r="J11" s="881">
        <v>21.3</v>
      </c>
      <c r="K11" s="1037">
        <v>19.7</v>
      </c>
      <c r="L11" s="1031">
        <v>19.8</v>
      </c>
      <c r="M11" s="882">
        <v>15</v>
      </c>
      <c r="N11" s="1044">
        <v>4.4000000000000004</v>
      </c>
      <c r="O11" s="882">
        <v>3.4</v>
      </c>
      <c r="P11" s="1044">
        <v>4.74</v>
      </c>
      <c r="Q11" s="882">
        <v>4.5999999999999996</v>
      </c>
      <c r="R11" s="1004">
        <v>10.050000000000001</v>
      </c>
      <c r="S11" s="1031">
        <v>0.2</v>
      </c>
      <c r="T11" s="881">
        <v>31.85</v>
      </c>
      <c r="U11" s="882">
        <v>24.6</v>
      </c>
      <c r="X11">
        <v>4.3</v>
      </c>
      <c r="Y11">
        <v>4.5999999999999996</v>
      </c>
    </row>
    <row r="12" spans="3:25" x14ac:dyDescent="0.25">
      <c r="C12" s="997" t="s">
        <v>96</v>
      </c>
      <c r="D12" s="978"/>
      <c r="E12" s="979">
        <v>97.9</v>
      </c>
      <c r="F12" s="971">
        <v>113.36</v>
      </c>
      <c r="G12" s="975">
        <v>138</v>
      </c>
      <c r="H12" s="973">
        <v>171.3</v>
      </c>
      <c r="J12" s="881">
        <v>77.7</v>
      </c>
      <c r="K12" s="1037">
        <v>67.5</v>
      </c>
      <c r="L12" s="1031">
        <v>173.4</v>
      </c>
      <c r="M12" s="882">
        <v>191</v>
      </c>
      <c r="N12" s="1044">
        <v>54.39</v>
      </c>
      <c r="O12" s="882">
        <v>50.9</v>
      </c>
      <c r="P12" s="1044">
        <v>98.9</v>
      </c>
      <c r="Q12" s="882">
        <v>110.9</v>
      </c>
      <c r="R12" s="1004">
        <v>44.42</v>
      </c>
      <c r="S12" s="1031">
        <v>11</v>
      </c>
      <c r="T12" s="881">
        <v>356.73</v>
      </c>
      <c r="U12" s="882">
        <v>365.5</v>
      </c>
      <c r="X12">
        <v>49.6</v>
      </c>
      <c r="Y12">
        <v>46.1</v>
      </c>
    </row>
    <row r="13" spans="3:25" x14ac:dyDescent="0.25">
      <c r="C13" s="997" t="s">
        <v>97</v>
      </c>
      <c r="D13" s="978"/>
      <c r="E13" s="979">
        <v>266</v>
      </c>
      <c r="F13" s="971">
        <v>285.95999999999998</v>
      </c>
      <c r="G13" s="975">
        <v>351</v>
      </c>
      <c r="H13" s="982">
        <v>481.4</v>
      </c>
      <c r="J13" s="881">
        <v>273.45</v>
      </c>
      <c r="K13" s="1037">
        <v>257.39999999999998</v>
      </c>
      <c r="L13" s="1031">
        <v>431.17</v>
      </c>
      <c r="M13" s="882">
        <v>523</v>
      </c>
      <c r="N13" s="1044">
        <v>56.75</v>
      </c>
      <c r="O13" s="882">
        <v>49.9</v>
      </c>
      <c r="P13" s="1044">
        <v>38.4</v>
      </c>
      <c r="Q13" s="882">
        <v>46.1</v>
      </c>
      <c r="R13" s="1004">
        <v>0.71</v>
      </c>
      <c r="S13" s="1031">
        <v>0.8</v>
      </c>
      <c r="T13" s="881">
        <v>958.57</v>
      </c>
      <c r="U13" s="882">
        <v>978</v>
      </c>
      <c r="X13">
        <v>45.1</v>
      </c>
      <c r="Y13">
        <v>110.9</v>
      </c>
    </row>
    <row r="14" spans="3:25" hidden="1" x14ac:dyDescent="0.25">
      <c r="C14" s="997" t="s">
        <v>98</v>
      </c>
      <c r="D14" s="978"/>
      <c r="E14" s="979"/>
      <c r="F14" s="970"/>
      <c r="G14" s="974"/>
      <c r="H14" s="973"/>
      <c r="J14" s="881"/>
      <c r="K14" s="1037"/>
      <c r="L14" s="1031"/>
      <c r="M14" s="882"/>
      <c r="N14" s="1044"/>
      <c r="O14" s="882"/>
      <c r="P14" s="1044"/>
      <c r="Q14" s="882"/>
      <c r="R14" s="1004"/>
      <c r="S14" s="1031"/>
      <c r="T14" s="881"/>
      <c r="U14" s="882"/>
    </row>
    <row r="15" spans="3:25" hidden="1" x14ac:dyDescent="0.25">
      <c r="C15" s="997" t="s">
        <v>290</v>
      </c>
      <c r="D15" s="978"/>
      <c r="E15" s="979"/>
      <c r="F15" s="971"/>
      <c r="G15" s="975"/>
      <c r="H15" s="973"/>
      <c r="J15" s="881"/>
      <c r="K15" s="1037"/>
      <c r="L15" s="1031"/>
      <c r="M15" s="882"/>
      <c r="N15" s="1044"/>
      <c r="O15" s="882"/>
      <c r="P15" s="1044"/>
      <c r="Q15" s="882"/>
      <c r="R15" s="1004"/>
      <c r="S15" s="1031"/>
      <c r="T15" s="881"/>
      <c r="U15" s="882"/>
    </row>
    <row r="16" spans="3:25" hidden="1" x14ac:dyDescent="0.25">
      <c r="C16" s="997" t="s">
        <v>296</v>
      </c>
      <c r="D16" s="978"/>
      <c r="E16" s="979"/>
      <c r="F16" s="971"/>
      <c r="G16" s="975"/>
      <c r="H16" s="973"/>
      <c r="J16" s="881"/>
      <c r="K16" s="1037"/>
      <c r="L16" s="1031"/>
      <c r="M16" s="882"/>
      <c r="N16" s="1044"/>
      <c r="O16" s="882"/>
      <c r="P16" s="1044"/>
      <c r="Q16" s="882"/>
      <c r="R16" s="1004"/>
      <c r="S16" s="1031"/>
      <c r="T16" s="881"/>
      <c r="U16" s="882"/>
    </row>
    <row r="17" spans="3:25" hidden="1" x14ac:dyDescent="0.25">
      <c r="C17" s="997" t="s">
        <v>297</v>
      </c>
      <c r="D17" s="978"/>
      <c r="E17" s="979"/>
      <c r="F17" s="971"/>
      <c r="G17" s="975"/>
      <c r="H17" s="973"/>
      <c r="J17" s="881"/>
      <c r="K17" s="1037"/>
      <c r="L17" s="1031"/>
      <c r="M17" s="882"/>
      <c r="N17" s="1044"/>
      <c r="O17" s="882"/>
      <c r="P17" s="1044"/>
      <c r="Q17" s="882"/>
      <c r="R17" s="1004"/>
      <c r="S17" s="1031"/>
      <c r="T17" s="881"/>
      <c r="U17" s="882"/>
    </row>
    <row r="18" spans="3:25" x14ac:dyDescent="0.25">
      <c r="C18" s="997" t="s">
        <v>108</v>
      </c>
      <c r="D18" s="978"/>
      <c r="E18" s="979">
        <v>0.113</v>
      </c>
      <c r="F18" s="971">
        <v>0.115</v>
      </c>
      <c r="G18" s="975">
        <v>0.11600000000000001</v>
      </c>
      <c r="H18" s="973">
        <v>0.11600000000000001</v>
      </c>
      <c r="J18" s="881">
        <v>0.115</v>
      </c>
      <c r="K18" s="1037"/>
      <c r="L18" s="1031">
        <v>0.11600000000000001</v>
      </c>
      <c r="M18" s="882"/>
      <c r="N18" s="1045">
        <v>0.128</v>
      </c>
      <c r="O18" s="1050"/>
      <c r="P18" s="1045">
        <v>0.11799999999999999</v>
      </c>
      <c r="Q18" s="1050"/>
      <c r="R18" s="1004">
        <v>0.13900000000000001</v>
      </c>
      <c r="S18" s="1031"/>
      <c r="T18" s="881">
        <v>0.12</v>
      </c>
      <c r="U18" s="882"/>
      <c r="W18" t="s">
        <v>108</v>
      </c>
    </row>
    <row r="19" spans="3:25" hidden="1" x14ac:dyDescent="0.25">
      <c r="C19" s="997" t="s">
        <v>150</v>
      </c>
      <c r="D19" s="978"/>
      <c r="E19" s="979"/>
      <c r="F19" s="971"/>
      <c r="G19" s="975"/>
      <c r="H19" s="973"/>
      <c r="J19" s="881"/>
      <c r="K19" s="1037"/>
      <c r="L19" s="1031"/>
      <c r="M19" s="882"/>
      <c r="N19" s="1046"/>
      <c r="O19" s="1051"/>
      <c r="P19" s="1046"/>
      <c r="Q19" s="1051"/>
      <c r="R19" s="1004"/>
      <c r="S19" s="1031"/>
      <c r="T19" s="881"/>
      <c r="U19" s="882"/>
    </row>
    <row r="20" spans="3:25" x14ac:dyDescent="0.25">
      <c r="C20" s="998" t="s">
        <v>619</v>
      </c>
      <c r="D20" s="240"/>
      <c r="E20" s="1000">
        <f>E7/E8</f>
        <v>0.10517241379310345</v>
      </c>
      <c r="F20" s="318">
        <f>F7/F8</f>
        <v>0.12982456140350876</v>
      </c>
      <c r="G20" s="1003">
        <f>G7/G8</f>
        <v>0.15909090909090906</v>
      </c>
      <c r="H20" s="999">
        <f>H7/H8</f>
        <v>0.1486280487804878</v>
      </c>
      <c r="J20" s="1007">
        <f t="shared" ref="J20:T20" si="0">J7/J8</f>
        <v>4.4736842105263165E-2</v>
      </c>
      <c r="K20" s="1038"/>
      <c r="L20" s="1032">
        <f t="shared" si="0"/>
        <v>0.13620689655172416</v>
      </c>
      <c r="M20" s="1010"/>
      <c r="N20" s="1047">
        <f t="shared" si="0"/>
        <v>1.1182248520710059</v>
      </c>
      <c r="O20" s="1052"/>
      <c r="P20" s="1047">
        <f t="shared" si="0"/>
        <v>1.0026315789473683</v>
      </c>
      <c r="Q20" s="1052"/>
      <c r="R20" s="1006">
        <f t="shared" si="0"/>
        <v>1.0734082397003746</v>
      </c>
      <c r="S20" s="1063"/>
      <c r="T20" s="1007">
        <f t="shared" si="0"/>
        <v>0.2492581602373887</v>
      </c>
      <c r="U20" s="882"/>
      <c r="W20" t="s">
        <v>619</v>
      </c>
      <c r="X20" s="865">
        <f>X7/X8</f>
        <v>1.1432894736842105</v>
      </c>
      <c r="Y20" s="865">
        <f>Y7/Y8</f>
        <v>0.99725274725274715</v>
      </c>
    </row>
    <row r="21" spans="3:25" ht="15.75" thickBot="1" x14ac:dyDescent="0.3">
      <c r="C21" s="1070" t="s">
        <v>620</v>
      </c>
      <c r="D21" s="229"/>
      <c r="E21" s="1071">
        <f>E12/E13</f>
        <v>0.3680451127819549</v>
      </c>
      <c r="F21" s="1072">
        <f>F12/F13</f>
        <v>0.39641907959155132</v>
      </c>
      <c r="G21" s="1073">
        <f>G12/G13</f>
        <v>0.39316239316239315</v>
      </c>
      <c r="H21" s="1074">
        <f>H12/H13</f>
        <v>0.35583714167012881</v>
      </c>
      <c r="J21" s="1008">
        <f t="shared" ref="J21:T21" si="1">J12/J13</f>
        <v>0.28414701042238072</v>
      </c>
      <c r="K21" s="1039"/>
      <c r="L21" s="1033">
        <f t="shared" si="1"/>
        <v>0.40216156040540851</v>
      </c>
      <c r="M21" s="1011"/>
      <c r="N21" s="1048">
        <f t="shared" si="1"/>
        <v>0.95841409691629953</v>
      </c>
      <c r="O21" s="1053"/>
      <c r="P21" s="1048">
        <f t="shared" si="1"/>
        <v>2.5755208333333335</v>
      </c>
      <c r="Q21" s="1053"/>
      <c r="R21" s="1009">
        <f t="shared" si="1"/>
        <v>62.563380281690144</v>
      </c>
      <c r="S21" s="1055"/>
      <c r="T21" s="1008">
        <f t="shared" si="1"/>
        <v>0.37214809560073858</v>
      </c>
      <c r="U21" s="1077"/>
      <c r="W21" t="s">
        <v>620</v>
      </c>
      <c r="X21" s="865">
        <f>X12/X13</f>
        <v>1.0997782705099779</v>
      </c>
      <c r="Y21" s="865">
        <f>Y12/Y13</f>
        <v>0.41568981064021643</v>
      </c>
    </row>
    <row r="22" spans="3:25" ht="15.75" thickBot="1" x14ac:dyDescent="0.3">
      <c r="C22" s="795" t="s">
        <v>645</v>
      </c>
      <c r="D22" s="1031"/>
      <c r="E22" s="1000"/>
      <c r="F22" s="318"/>
      <c r="G22" s="1003"/>
      <c r="H22" s="1075"/>
      <c r="J22" s="1040"/>
      <c r="K22" s="1078">
        <v>2.9</v>
      </c>
      <c r="L22" s="1079"/>
      <c r="M22" s="1078">
        <v>4.8</v>
      </c>
      <c r="N22" s="1080"/>
      <c r="O22" s="1081">
        <v>5.8</v>
      </c>
      <c r="P22" s="1080"/>
      <c r="Q22" s="1081">
        <v>6.8</v>
      </c>
      <c r="R22" s="1079"/>
      <c r="S22" s="1078">
        <v>24</v>
      </c>
      <c r="T22" s="1080"/>
      <c r="U22" s="1078">
        <v>4.3</v>
      </c>
      <c r="W22" t="s">
        <v>851</v>
      </c>
      <c r="X22">
        <v>0.6</v>
      </c>
      <c r="Y22">
        <v>7.4</v>
      </c>
    </row>
    <row r="23" spans="3:25" ht="15.75" thickBot="1" x14ac:dyDescent="0.3">
      <c r="C23" s="1" t="s">
        <v>850</v>
      </c>
      <c r="D23" s="233"/>
      <c r="E23" s="1307"/>
      <c r="F23" s="1308"/>
      <c r="G23" s="1309"/>
      <c r="H23" s="1310"/>
      <c r="J23" s="1040"/>
      <c r="K23" s="1311"/>
      <c r="L23" s="1079"/>
      <c r="M23" s="1312"/>
      <c r="N23" s="1080"/>
      <c r="O23" s="1079"/>
      <c r="P23" s="1079"/>
      <c r="Q23" s="1313"/>
      <c r="R23" s="1079"/>
      <c r="S23" s="1311"/>
      <c r="T23" s="1080"/>
      <c r="U23" s="1081"/>
      <c r="W23" t="s">
        <v>850</v>
      </c>
      <c r="X23" s="865">
        <v>12</v>
      </c>
      <c r="Y23" s="865">
        <v>11.7</v>
      </c>
    </row>
    <row r="24" spans="3:25" ht="16.5" customHeight="1" thickBot="1" x14ac:dyDescent="0.3">
      <c r="C24" s="990"/>
      <c r="D24" s="233"/>
      <c r="E24" s="991"/>
      <c r="F24" s="992"/>
      <c r="G24" s="993"/>
      <c r="H24" s="994"/>
      <c r="J24" s="1005" t="s">
        <v>624</v>
      </c>
      <c r="K24" s="1005"/>
      <c r="L24" s="1035" t="s">
        <v>626</v>
      </c>
      <c r="M24" s="1034"/>
      <c r="N24" s="1616" t="s">
        <v>625</v>
      </c>
      <c r="O24" s="1617"/>
      <c r="P24" s="1617"/>
      <c r="Q24" s="1618"/>
      <c r="R24" s="1005" t="s">
        <v>627</v>
      </c>
      <c r="S24" s="1005"/>
      <c r="T24" s="894" t="s">
        <v>628</v>
      </c>
      <c r="U24" s="1064"/>
    </row>
    <row r="25" spans="3:25" x14ac:dyDescent="0.25">
      <c r="C25" s="897" t="s">
        <v>550</v>
      </c>
      <c r="D25" s="898">
        <v>55</v>
      </c>
      <c r="E25" s="897">
        <v>55</v>
      </c>
      <c r="F25" s="987">
        <v>55</v>
      </c>
      <c r="G25" s="989">
        <v>40</v>
      </c>
      <c r="H25" s="983">
        <v>40</v>
      </c>
    </row>
    <row r="26" spans="3:25" x14ac:dyDescent="0.25">
      <c r="C26" s="881" t="s">
        <v>551</v>
      </c>
      <c r="D26" s="240">
        <v>25</v>
      </c>
      <c r="E26" s="881">
        <v>25</v>
      </c>
      <c r="F26" s="969">
        <v>25</v>
      </c>
      <c r="G26" s="972">
        <v>25</v>
      </c>
      <c r="H26" s="973">
        <v>25</v>
      </c>
      <c r="K26" s="1303"/>
    </row>
    <row r="27" spans="3:25" x14ac:dyDescent="0.25">
      <c r="C27" s="984" t="s">
        <v>553</v>
      </c>
      <c r="D27" s="240">
        <v>10</v>
      </c>
      <c r="E27" s="986">
        <v>10</v>
      </c>
      <c r="F27" s="985" t="s">
        <v>17</v>
      </c>
      <c r="G27" s="986">
        <v>10</v>
      </c>
      <c r="H27" s="980" t="s">
        <v>17</v>
      </c>
      <c r="K27" s="1303"/>
    </row>
    <row r="28" spans="3:25" x14ac:dyDescent="0.25">
      <c r="C28" s="984" t="s">
        <v>552</v>
      </c>
      <c r="D28" s="985" t="s">
        <v>17</v>
      </c>
      <c r="E28" s="986" t="s">
        <v>17</v>
      </c>
      <c r="F28" s="985">
        <v>10</v>
      </c>
      <c r="G28" s="986" t="s">
        <v>17</v>
      </c>
      <c r="H28" s="980">
        <v>10</v>
      </c>
      <c r="K28" s="1303"/>
    </row>
    <row r="29" spans="3:25" x14ac:dyDescent="0.25">
      <c r="C29" s="881" t="s">
        <v>554</v>
      </c>
      <c r="D29" s="240">
        <v>10</v>
      </c>
      <c r="E29" s="881">
        <v>10</v>
      </c>
      <c r="F29" s="969">
        <v>10</v>
      </c>
      <c r="G29" s="972">
        <v>10</v>
      </c>
      <c r="H29" s="973">
        <v>10</v>
      </c>
      <c r="K29" s="1303"/>
    </row>
    <row r="30" spans="3:25" ht="15.75" thickBot="1" x14ac:dyDescent="0.3">
      <c r="C30" s="901" t="s">
        <v>617</v>
      </c>
      <c r="D30" s="902"/>
      <c r="E30" s="981"/>
      <c r="F30" s="988"/>
      <c r="G30" s="976">
        <v>15</v>
      </c>
      <c r="H30" s="977">
        <v>15</v>
      </c>
      <c r="K30" s="1303"/>
    </row>
    <row r="31" spans="3:25" x14ac:dyDescent="0.25">
      <c r="E31">
        <f>SUM(E25:E30)</f>
        <v>100</v>
      </c>
      <c r="F31" s="165">
        <f>SUM(F25:F30)</f>
        <v>100</v>
      </c>
      <c r="G31" s="165">
        <f>SUM(G25:G30)</f>
        <v>100</v>
      </c>
      <c r="H31" s="142">
        <f>SUM(H25:H30)</f>
        <v>100</v>
      </c>
      <c r="K31" s="1303"/>
    </row>
    <row r="32" spans="3:25" x14ac:dyDescent="0.25">
      <c r="K32" s="1303"/>
    </row>
    <row r="33" spans="11:19" x14ac:dyDescent="0.25">
      <c r="K33" s="1303"/>
    </row>
    <row r="34" spans="11:19" x14ac:dyDescent="0.25">
      <c r="K34" s="1303"/>
      <c r="L34" s="1303"/>
      <c r="M34" s="1303">
        <v>75</v>
      </c>
      <c r="N34" s="1303"/>
      <c r="O34" s="1303"/>
      <c r="P34" s="1303"/>
      <c r="Q34" s="1303">
        <v>85</v>
      </c>
    </row>
    <row r="35" spans="11:19" x14ac:dyDescent="0.25">
      <c r="K35" s="1303"/>
      <c r="L35" s="1303" t="s">
        <v>550</v>
      </c>
      <c r="M35" s="1304">
        <v>0.4</v>
      </c>
      <c r="N35" s="1303">
        <f>M35*$M$34</f>
        <v>30</v>
      </c>
      <c r="O35" s="1303">
        <f>N35*J8/100</f>
        <v>2.2799999999999998</v>
      </c>
      <c r="P35" s="1303"/>
      <c r="Q35" s="1304">
        <v>0.55000000000000004</v>
      </c>
      <c r="R35">
        <f>$Q$34*Q35</f>
        <v>46.750000000000007</v>
      </c>
      <c r="S35">
        <f>R35*J8/100</f>
        <v>3.5529999999999999</v>
      </c>
    </row>
    <row r="36" spans="11:19" x14ac:dyDescent="0.25">
      <c r="K36" s="1303"/>
      <c r="L36" s="1303" t="s">
        <v>551</v>
      </c>
      <c r="M36" s="1304">
        <v>0.25</v>
      </c>
      <c r="N36" s="1303">
        <f>M36*$M$34</f>
        <v>18.75</v>
      </c>
      <c r="O36" s="1303">
        <f>N36*L8/100</f>
        <v>1.0874999999999999</v>
      </c>
      <c r="P36" s="1303"/>
      <c r="Q36" s="1304">
        <v>0.25</v>
      </c>
      <c r="R36">
        <f>$Q$34*Q36</f>
        <v>21.25</v>
      </c>
      <c r="S36">
        <f>R36*L8/100</f>
        <v>1.2324999999999999</v>
      </c>
    </row>
    <row r="37" spans="11:19" x14ac:dyDescent="0.25">
      <c r="L37" s="1303" t="s">
        <v>552</v>
      </c>
      <c r="M37" s="1304">
        <v>0.1</v>
      </c>
      <c r="N37" s="1303">
        <f>M37*$M$34</f>
        <v>7.5</v>
      </c>
      <c r="O37" s="1303">
        <f>N37*N8/100</f>
        <v>6.3375000000000001E-2</v>
      </c>
      <c r="P37" s="1303"/>
      <c r="Q37" s="1304">
        <v>0.1</v>
      </c>
      <c r="R37">
        <f>$Q$34*Q37</f>
        <v>8.5</v>
      </c>
      <c r="S37">
        <f>R37*O8/100</f>
        <v>6.9699999999999998E-2</v>
      </c>
    </row>
    <row r="38" spans="11:19" x14ac:dyDescent="0.25">
      <c r="L38" s="1303" t="s">
        <v>554</v>
      </c>
      <c r="M38" s="1304">
        <v>0.1</v>
      </c>
      <c r="N38" s="1303">
        <f>M38*$M$34</f>
        <v>7.5</v>
      </c>
      <c r="O38" s="1303">
        <f>N38*R8/100</f>
        <v>2.0025000000000001E-2</v>
      </c>
      <c r="P38" s="1303"/>
      <c r="Q38" s="1304">
        <v>0.1</v>
      </c>
      <c r="R38">
        <f>$Q$34*Q38</f>
        <v>8.5</v>
      </c>
      <c r="S38">
        <f>R8*R38/100</f>
        <v>2.2695000000000003E-2</v>
      </c>
    </row>
    <row r="39" spans="11:19" x14ac:dyDescent="0.25">
      <c r="L39" s="1303" t="s">
        <v>617</v>
      </c>
      <c r="M39" s="1304">
        <v>0.15</v>
      </c>
      <c r="N39" s="1303">
        <f>M39*$M$34</f>
        <v>11.25</v>
      </c>
      <c r="O39" s="1303">
        <f>N39*T8/100</f>
        <v>0.37912499999999999</v>
      </c>
      <c r="P39" s="1303"/>
      <c r="Q39" s="1303"/>
      <c r="S39">
        <f>SUM(S35:S38)</f>
        <v>4.8778949999999996</v>
      </c>
    </row>
    <row r="40" spans="11:19" x14ac:dyDescent="0.25">
      <c r="L40" s="1303"/>
      <c r="M40" s="1303"/>
      <c r="N40" s="1303"/>
      <c r="O40" s="1303">
        <f>SUM(O35:O39)</f>
        <v>3.830025</v>
      </c>
      <c r="Q40" s="1303"/>
      <c r="S40">
        <f>S39/Q34</f>
        <v>5.7386999999999994E-2</v>
      </c>
    </row>
    <row r="41" spans="11:19" x14ac:dyDescent="0.25">
      <c r="L41" s="1303"/>
      <c r="M41" s="1303"/>
      <c r="N41" s="1303"/>
      <c r="O41" s="1303">
        <f>O40/M34</f>
        <v>5.1067000000000001E-2</v>
      </c>
      <c r="P41" s="1303"/>
      <c r="Q41" s="1303"/>
    </row>
  </sheetData>
  <mergeCells count="5">
    <mergeCell ref="E4:F4"/>
    <mergeCell ref="G4:H4"/>
    <mergeCell ref="J4:U4"/>
    <mergeCell ref="N24:Q24"/>
    <mergeCell ref="X4:Y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BDEF-26B1-4B7F-A12B-719BDF7A1EAB}">
  <sheetPr codeName="Sheet1">
    <tabColor theme="4" tint="0.59999389629810485"/>
  </sheetPr>
  <dimension ref="A2:DJ293"/>
  <sheetViews>
    <sheetView zoomScale="88" zoomScaleNormal="60" workbookViewId="0">
      <pane xSplit="5" ySplit="6" topLeftCell="BR135" activePane="bottomRight" state="frozen"/>
      <selection pane="topRight" activeCell="F1" sqref="F1"/>
      <selection pane="bottomLeft" activeCell="A7" sqref="A7"/>
      <selection pane="bottomRight" activeCell="CB156" sqref="CB156"/>
    </sheetView>
  </sheetViews>
  <sheetFormatPr defaultRowHeight="15" x14ac:dyDescent="0.25"/>
  <cols>
    <col min="1" max="2" width="1.85546875" customWidth="1"/>
    <col min="3" max="3" width="42.140625" style="1" customWidth="1"/>
    <col min="4" max="5" width="5.85546875" style="1" customWidth="1"/>
    <col min="6" max="6" width="8.5703125" style="320" customWidth="1"/>
    <col min="7" max="7" width="9.42578125" style="241" bestFit="1" customWidth="1"/>
    <col min="8" max="8" width="6.42578125" style="241" customWidth="1"/>
    <col min="9" max="9" width="6.42578125" style="1330" customWidth="1"/>
    <col min="10" max="10" width="7.140625" style="320" customWidth="1"/>
    <col min="11" max="12" width="6.42578125" style="241" customWidth="1"/>
    <col min="13" max="13" width="6.85546875" style="241" customWidth="1"/>
    <col min="14" max="14" width="6.42578125" style="1407" customWidth="1"/>
    <col min="15" max="15" width="7" style="1330" customWidth="1"/>
    <col min="16" max="16" width="7.85546875" style="320" customWidth="1"/>
    <col min="17" max="17" width="6.42578125" style="241" customWidth="1"/>
    <col min="18" max="18" width="6.85546875" style="241" customWidth="1"/>
    <col min="19" max="19" width="7.85546875" style="1407" customWidth="1"/>
    <col min="20" max="20" width="6.42578125" style="1407" customWidth="1"/>
    <col min="21" max="21" width="8" style="1407" customWidth="1"/>
    <col min="22" max="22" width="6.42578125" style="241" customWidth="1"/>
    <col min="23" max="23" width="1.85546875" style="444" customWidth="1"/>
    <col min="24" max="24" width="7.85546875" style="320" customWidth="1"/>
    <col min="25" max="25" width="7.140625" style="241" customWidth="1"/>
    <col min="26" max="26" width="8.140625" style="241" customWidth="1"/>
    <col min="27" max="27" width="6.42578125" style="240" customWidth="1"/>
    <col min="28" max="28" width="6.42578125" style="320" customWidth="1"/>
    <col min="29" max="30" width="6.42578125" style="241" customWidth="1"/>
    <col min="31" max="31" width="6.5703125" style="241" customWidth="1"/>
    <col min="32" max="32" width="7.42578125" style="241" bestFit="1" customWidth="1"/>
    <col min="33" max="33" width="7.42578125" style="240" bestFit="1" customWidth="1"/>
    <col min="34" max="34" width="6.42578125" style="320" customWidth="1"/>
    <col min="35" max="40" width="6.42578125" style="241" customWidth="1"/>
    <col min="41" max="41" width="1.85546875" style="419" customWidth="1"/>
    <col min="42" max="44" width="6.5703125" style="241" customWidth="1"/>
    <col min="45" max="45" width="6.5703125" style="240" customWidth="1"/>
    <col min="46" max="46" width="6.5703125" style="320" customWidth="1"/>
    <col min="47" max="48" width="7.5703125" style="241" bestFit="1" customWidth="1"/>
    <col min="49" max="49" width="7.42578125" style="241" bestFit="1" customWidth="1"/>
    <col min="50" max="50" width="6.5703125" style="241" customWidth="1"/>
    <col min="51" max="51" width="6.5703125" style="240" customWidth="1"/>
    <col min="52" max="52" width="6.5703125" style="320" customWidth="1"/>
    <col min="53" max="53" width="6.5703125" style="241" customWidth="1"/>
    <col min="54" max="54" width="7" style="241" bestFit="1" customWidth="1"/>
    <col min="55" max="57" width="6.5703125" style="241" customWidth="1"/>
    <col min="58" max="58" width="6.42578125" style="241" customWidth="1"/>
    <col min="59" max="59" width="1.85546875" style="419" customWidth="1"/>
    <col min="60" max="62" width="6.42578125" style="241" customWidth="1"/>
    <col min="63" max="63" width="6.42578125" style="240" customWidth="1"/>
    <col min="64" max="64" width="6.42578125" style="320" customWidth="1"/>
    <col min="65" max="68" width="6.42578125" style="241" customWidth="1"/>
    <col min="69" max="69" width="6.42578125" style="240" customWidth="1"/>
    <col min="70" max="70" width="6.42578125" style="320" customWidth="1"/>
    <col min="71" max="76" width="6.42578125" style="241" customWidth="1"/>
    <col min="77" max="77" width="2.85546875" style="419" customWidth="1"/>
    <col min="78" max="78" width="15.42578125" style="250" customWidth="1"/>
    <col min="79" max="81" width="6.42578125" style="241" customWidth="1"/>
    <col min="82" max="82" width="6.42578125" style="240" customWidth="1"/>
    <col min="83" max="83" width="6.42578125" style="320" customWidth="1"/>
    <col min="84" max="87" width="6.42578125" style="241" customWidth="1"/>
    <col min="88" max="88" width="6.42578125" style="240" customWidth="1"/>
    <col min="89" max="89" width="6.42578125" style="320" customWidth="1"/>
    <col min="90" max="94" width="6.42578125" style="241" customWidth="1"/>
    <col min="95" max="95" width="6.85546875" style="241" customWidth="1"/>
    <col min="96" max="96" width="4.5703125" style="419" customWidth="1"/>
    <col min="97" max="97" width="9.85546875" style="241" customWidth="1"/>
    <col min="98" max="99" width="7.42578125" style="241" customWidth="1"/>
    <col min="100" max="100" width="7.42578125" style="240" customWidth="1"/>
    <col min="101" max="101" width="7.42578125" style="320" customWidth="1"/>
    <col min="102" max="105" width="7.42578125" style="241" customWidth="1"/>
    <col min="106" max="106" width="7.42578125" style="240" customWidth="1"/>
    <col min="107" max="107" width="6.42578125" style="320" customWidth="1"/>
    <col min="108" max="108" width="6.42578125" style="241" customWidth="1"/>
    <col min="109" max="109" width="8.5703125" style="241" customWidth="1"/>
    <col min="110" max="110" width="8" style="241" customWidth="1"/>
    <col min="111" max="113" width="8.85546875" style="241"/>
  </cols>
  <sheetData>
    <row r="2" spans="3:114" ht="8.1" customHeight="1" x14ac:dyDescent="0.25">
      <c r="F2" s="1520" t="s">
        <v>206</v>
      </c>
      <c r="G2" s="1521"/>
      <c r="H2" s="404"/>
      <c r="I2" s="1319"/>
      <c r="J2" s="1522" t="s">
        <v>206</v>
      </c>
      <c r="K2" s="1523"/>
      <c r="L2" s="404"/>
      <c r="M2" s="404"/>
      <c r="N2" s="1394"/>
      <c r="O2" s="1319"/>
      <c r="P2" s="1524" t="s">
        <v>206</v>
      </c>
      <c r="Q2" s="1525"/>
      <c r="R2" s="404"/>
      <c r="S2" s="1394"/>
      <c r="T2" s="1394"/>
      <c r="U2" s="1394"/>
      <c r="X2" s="456" t="s">
        <v>393</v>
      </c>
      <c r="Y2" s="251"/>
      <c r="AB2" s="456" t="s">
        <v>394</v>
      </c>
      <c r="AC2" s="251"/>
      <c r="AH2" s="348" t="s">
        <v>395</v>
      </c>
      <c r="AP2" s="410" t="s">
        <v>354</v>
      </c>
      <c r="AQ2" s="410"/>
      <c r="AR2" s="411"/>
      <c r="AS2" s="606"/>
      <c r="AT2" s="1526" t="s">
        <v>15</v>
      </c>
      <c r="AU2" s="1527"/>
      <c r="AV2" s="411"/>
      <c r="AW2" s="411"/>
      <c r="AX2" s="411"/>
      <c r="AY2" s="606"/>
      <c r="AZ2" s="1533" t="s">
        <v>15</v>
      </c>
      <c r="BA2" s="1527"/>
      <c r="BB2" s="411"/>
      <c r="BC2" s="411"/>
      <c r="BD2" s="412"/>
      <c r="BE2" s="412"/>
      <c r="BF2" s="412"/>
      <c r="BH2" s="1534" t="s">
        <v>0</v>
      </c>
      <c r="BI2" s="1535"/>
      <c r="BJ2" s="414"/>
      <c r="BK2" s="791"/>
      <c r="BL2" s="1534" t="s">
        <v>0</v>
      </c>
      <c r="BM2" s="1535"/>
      <c r="BN2" s="414"/>
      <c r="BO2" s="414"/>
      <c r="BP2" s="414"/>
      <c r="BQ2" s="791"/>
      <c r="BR2" s="1534" t="s">
        <v>0</v>
      </c>
      <c r="BS2" s="1535"/>
      <c r="CA2" s="417" t="s">
        <v>1</v>
      </c>
      <c r="CB2" s="407"/>
      <c r="CC2" s="418"/>
      <c r="CD2" s="767"/>
      <c r="CE2" s="770" t="s">
        <v>1</v>
      </c>
      <c r="CF2" s="418"/>
      <c r="CG2" s="418"/>
      <c r="CH2" s="418"/>
      <c r="CI2" s="418"/>
      <c r="CJ2" s="767"/>
      <c r="CK2" s="770" t="s">
        <v>1</v>
      </c>
      <c r="CL2" s="418"/>
      <c r="CM2" s="418"/>
      <c r="CN2" s="418"/>
      <c r="CO2" s="418"/>
      <c r="CP2" s="418"/>
      <c r="CQ2" s="418"/>
      <c r="CS2" s="1536" t="s">
        <v>2</v>
      </c>
      <c r="CT2" s="1537"/>
      <c r="CW2" s="735" t="s">
        <v>2</v>
      </c>
      <c r="CX2" s="420"/>
      <c r="DC2" s="735" t="s">
        <v>2</v>
      </c>
    </row>
    <row r="3" spans="3:114" x14ac:dyDescent="0.25">
      <c r="F3" s="474" t="s">
        <v>399</v>
      </c>
      <c r="G3" s="475"/>
      <c r="H3" s="404"/>
      <c r="I3" s="1319"/>
      <c r="J3" s="442" t="s">
        <v>403</v>
      </c>
      <c r="K3" s="404"/>
      <c r="L3" s="404"/>
      <c r="M3" s="404"/>
      <c r="N3" s="1394"/>
      <c r="O3" s="1319"/>
      <c r="P3" s="457" t="s">
        <v>404</v>
      </c>
      <c r="Q3" s="251"/>
      <c r="R3" s="404"/>
      <c r="S3" s="1394"/>
      <c r="T3" s="1394"/>
      <c r="U3" s="1394"/>
      <c r="X3" s="456" t="s">
        <v>400</v>
      </c>
      <c r="Y3" s="251"/>
      <c r="AB3" s="456" t="s">
        <v>403</v>
      </c>
      <c r="AC3" s="251"/>
      <c r="AH3" s="348" t="s">
        <v>405</v>
      </c>
      <c r="AP3" s="410" t="s">
        <v>401</v>
      </c>
      <c r="AQ3" s="410"/>
      <c r="AR3" s="411"/>
      <c r="AS3" s="606"/>
      <c r="AT3" s="608" t="s">
        <v>403</v>
      </c>
      <c r="AU3" s="411"/>
      <c r="AV3" s="411"/>
      <c r="AW3" s="411"/>
      <c r="AX3" s="411"/>
      <c r="AY3" s="606"/>
      <c r="AZ3" s="608" t="s">
        <v>405</v>
      </c>
      <c r="BA3" s="411"/>
      <c r="BB3" s="411"/>
      <c r="BC3" s="411"/>
      <c r="BD3" s="412"/>
      <c r="BE3" s="412"/>
      <c r="BF3" s="412"/>
      <c r="BH3" s="413" t="s">
        <v>402</v>
      </c>
      <c r="BI3" s="414"/>
      <c r="BJ3" s="414"/>
      <c r="BK3" s="791"/>
      <c r="BL3" s="796" t="s">
        <v>403</v>
      </c>
      <c r="BM3" s="414"/>
      <c r="BN3" s="414"/>
      <c r="BO3" s="414"/>
      <c r="BP3" s="414"/>
      <c r="BQ3" s="791"/>
      <c r="BR3" s="796" t="s">
        <v>405</v>
      </c>
      <c r="BS3" s="414"/>
      <c r="CA3" s="417" t="s">
        <v>400</v>
      </c>
      <c r="CB3" s="407"/>
      <c r="CC3" s="418"/>
      <c r="CD3" s="767"/>
      <c r="CE3" s="770" t="s">
        <v>403</v>
      </c>
      <c r="CF3" s="418"/>
      <c r="CG3" s="418"/>
      <c r="CH3" s="418"/>
      <c r="CI3" s="418"/>
      <c r="CJ3" s="767"/>
      <c r="CK3" s="770" t="s">
        <v>405</v>
      </c>
      <c r="CL3" s="418"/>
      <c r="CM3" s="418"/>
      <c r="CN3" s="418"/>
      <c r="CO3" s="418"/>
      <c r="CP3" s="418"/>
      <c r="CQ3" s="418"/>
      <c r="CS3" s="1536" t="s">
        <v>401</v>
      </c>
      <c r="CT3" s="1537"/>
      <c r="CW3" s="735" t="s">
        <v>403</v>
      </c>
      <c r="CX3" s="420"/>
      <c r="DC3" s="735" t="s">
        <v>405</v>
      </c>
    </row>
    <row r="4" spans="3:114" x14ac:dyDescent="0.25">
      <c r="C4" s="163" t="s">
        <v>293</v>
      </c>
      <c r="D4" s="163"/>
      <c r="E4" s="163"/>
      <c r="F4" s="443">
        <v>45855</v>
      </c>
      <c r="G4" s="405">
        <v>45856</v>
      </c>
      <c r="H4" s="405">
        <v>45857</v>
      </c>
      <c r="I4" s="1320">
        <v>45858</v>
      </c>
      <c r="J4" s="443">
        <v>45859</v>
      </c>
      <c r="K4" s="405">
        <v>45860</v>
      </c>
      <c r="L4" s="405">
        <v>45861</v>
      </c>
      <c r="M4" s="405">
        <v>45862</v>
      </c>
      <c r="N4" s="1395">
        <v>45863</v>
      </c>
      <c r="O4" s="1320">
        <v>45864</v>
      </c>
      <c r="P4" s="443">
        <v>45865</v>
      </c>
      <c r="Q4" s="405">
        <v>45866</v>
      </c>
      <c r="R4" s="405">
        <v>45867</v>
      </c>
      <c r="S4" s="1395">
        <v>45868</v>
      </c>
      <c r="T4" s="1395">
        <v>45869</v>
      </c>
      <c r="U4" s="1395">
        <v>45870</v>
      </c>
      <c r="AP4" s="405"/>
      <c r="AQ4" s="405"/>
      <c r="AR4" s="405"/>
      <c r="AS4" s="408"/>
      <c r="AT4" s="443"/>
      <c r="AU4" s="405"/>
      <c r="AV4" s="405"/>
      <c r="AW4" s="405"/>
      <c r="AX4" s="405"/>
      <c r="AY4" s="408"/>
      <c r="AZ4" s="443"/>
      <c r="BA4" s="405"/>
      <c r="BB4" s="405"/>
      <c r="BC4" s="405"/>
      <c r="BD4" s="405"/>
      <c r="BE4" s="405"/>
      <c r="BF4" s="405"/>
      <c r="BH4" s="405"/>
      <c r="BI4" s="405"/>
      <c r="BJ4" s="405"/>
      <c r="BK4" s="408"/>
      <c r="BL4" s="443"/>
      <c r="BM4" s="405"/>
      <c r="BN4" s="405"/>
      <c r="BO4" s="405"/>
      <c r="BP4" s="405"/>
      <c r="BQ4" s="408"/>
      <c r="BR4" s="443"/>
      <c r="BS4" s="405"/>
      <c r="BT4" s="405"/>
      <c r="BU4" s="405"/>
      <c r="BV4" s="405"/>
      <c r="BW4" s="405"/>
      <c r="CA4" s="405"/>
      <c r="CB4" s="405"/>
      <c r="CC4" s="405"/>
      <c r="CD4" s="408"/>
      <c r="CE4" s="443"/>
      <c r="CF4" s="405"/>
      <c r="CG4" s="405"/>
      <c r="CH4" s="405"/>
      <c r="CI4" s="405"/>
      <c r="CJ4" s="408"/>
      <c r="CK4" s="443"/>
      <c r="CL4" s="405"/>
      <c r="CM4" s="405"/>
      <c r="CN4" s="405"/>
      <c r="CO4" s="405"/>
      <c r="CP4" s="405"/>
      <c r="CQ4" s="405"/>
      <c r="CS4" s="405"/>
      <c r="CT4" s="405"/>
      <c r="CU4" s="405"/>
      <c r="CV4" s="408"/>
      <c r="CW4" s="443"/>
      <c r="CX4" s="405"/>
      <c r="CY4" s="405"/>
      <c r="CZ4" s="405"/>
      <c r="DA4" s="405"/>
      <c r="DB4" s="408"/>
      <c r="DC4" s="443"/>
      <c r="DD4" s="405"/>
      <c r="DE4" s="405"/>
    </row>
    <row r="5" spans="3:114" ht="15.75" thickBot="1" x14ac:dyDescent="0.3">
      <c r="C5" s="163" t="s">
        <v>215</v>
      </c>
      <c r="D5" s="163"/>
      <c r="E5" s="163"/>
      <c r="F5" s="458">
        <v>45856</v>
      </c>
      <c r="G5" s="459">
        <v>45857</v>
      </c>
      <c r="H5" s="459">
        <v>45858</v>
      </c>
      <c r="I5" s="1321">
        <v>45859</v>
      </c>
      <c r="J5" s="458">
        <v>45860</v>
      </c>
      <c r="K5" s="459">
        <v>45861</v>
      </c>
      <c r="L5" s="459"/>
      <c r="M5" s="459"/>
      <c r="N5" s="1396"/>
      <c r="O5" s="1321"/>
      <c r="P5" s="458"/>
      <c r="Q5" s="459"/>
      <c r="R5" s="459"/>
      <c r="S5" s="1396"/>
      <c r="T5" s="1396"/>
      <c r="U5" s="1396"/>
      <c r="V5" s="459"/>
      <c r="W5" s="461"/>
      <c r="X5" s="458"/>
      <c r="Y5" s="459"/>
      <c r="Z5" s="459"/>
      <c r="AA5" s="460"/>
      <c r="AB5" s="458"/>
      <c r="AC5" s="459"/>
      <c r="AD5" s="459"/>
      <c r="AE5" s="459"/>
      <c r="AF5" s="459"/>
      <c r="AG5" s="460"/>
      <c r="AH5" s="458"/>
      <c r="AI5" s="459"/>
      <c r="AJ5" s="459"/>
      <c r="AK5" s="459"/>
      <c r="AL5" s="459"/>
      <c r="AM5" s="459"/>
      <c r="AN5" s="459"/>
      <c r="AO5" s="462"/>
      <c r="AP5" s="459"/>
      <c r="AQ5" s="459"/>
      <c r="AR5" s="459"/>
      <c r="AS5" s="460"/>
      <c r="AT5" s="458"/>
      <c r="AU5" s="459"/>
      <c r="AV5" s="459"/>
      <c r="AW5" s="459"/>
      <c r="AX5" s="459"/>
      <c r="AY5" s="460"/>
      <c r="AZ5" s="458"/>
      <c r="BA5" s="459"/>
      <c r="BB5" s="459"/>
      <c r="BC5" s="459"/>
      <c r="BD5" s="459"/>
      <c r="BE5" s="459"/>
      <c r="BF5" s="459"/>
      <c r="BG5" s="463"/>
      <c r="BH5" s="459"/>
      <c r="BI5" s="459"/>
      <c r="BJ5" s="459"/>
      <c r="BK5" s="460"/>
      <c r="BL5" s="458"/>
      <c r="BM5" s="459"/>
      <c r="BN5" s="459"/>
      <c r="BO5" s="459"/>
      <c r="BP5" s="459"/>
      <c r="BQ5" s="460"/>
      <c r="BR5" s="458"/>
      <c r="BS5" s="459"/>
      <c r="BT5" s="459"/>
      <c r="BU5" s="459"/>
      <c r="BV5" s="459"/>
      <c r="BW5" s="459"/>
      <c r="BX5" s="228"/>
      <c r="BY5" s="463"/>
      <c r="BZ5" s="464"/>
      <c r="CA5" s="459"/>
      <c r="CB5" s="459"/>
      <c r="CC5" s="459"/>
      <c r="CD5" s="460"/>
      <c r="CE5" s="458"/>
      <c r="CF5" s="459"/>
      <c r="CG5" s="459"/>
      <c r="CH5" s="459"/>
      <c r="CI5" s="459"/>
      <c r="CJ5" s="460"/>
      <c r="CK5" s="458"/>
      <c r="CL5" s="459"/>
      <c r="CM5" s="459"/>
      <c r="CN5" s="459"/>
      <c r="CO5" s="459"/>
      <c r="CP5" s="459"/>
      <c r="CQ5" s="459"/>
      <c r="CR5" s="463"/>
      <c r="CS5" s="459"/>
      <c r="CT5" s="459"/>
      <c r="CU5" s="459"/>
      <c r="CV5" s="460"/>
      <c r="CW5" s="458"/>
      <c r="CX5" s="459"/>
      <c r="CY5" s="459"/>
      <c r="CZ5" s="459"/>
      <c r="DA5" s="459"/>
      <c r="DB5" s="460"/>
      <c r="DC5" s="458"/>
      <c r="DD5" s="459"/>
      <c r="DE5" s="459"/>
      <c r="DF5" s="228"/>
      <c r="DG5" s="228"/>
      <c r="DH5" s="228"/>
      <c r="DI5" s="228"/>
    </row>
    <row r="6" spans="3:114" s="360" customFormat="1" ht="16.5" thickTop="1" thickBot="1" x14ac:dyDescent="0.3">
      <c r="C6" s="357" t="s">
        <v>292</v>
      </c>
      <c r="D6" s="357"/>
      <c r="E6" s="357"/>
      <c r="F6" s="821">
        <v>1</v>
      </c>
      <c r="G6" s="822">
        <v>2</v>
      </c>
      <c r="H6" s="822">
        <v>3</v>
      </c>
      <c r="I6" s="1322">
        <v>4</v>
      </c>
      <c r="J6" s="381">
        <v>5</v>
      </c>
      <c r="K6" s="379">
        <v>6</v>
      </c>
      <c r="L6" s="379">
        <v>7</v>
      </c>
      <c r="M6" s="379">
        <v>8</v>
      </c>
      <c r="N6" s="1397">
        <v>9</v>
      </c>
      <c r="O6" s="1398">
        <v>10</v>
      </c>
      <c r="P6" s="381">
        <v>11</v>
      </c>
      <c r="Q6" s="379">
        <v>12</v>
      </c>
      <c r="R6" s="379">
        <v>13</v>
      </c>
      <c r="S6" s="1397">
        <v>14</v>
      </c>
      <c r="T6" s="1397">
        <v>15</v>
      </c>
      <c r="U6" s="1397">
        <v>16</v>
      </c>
      <c r="V6" s="358" t="s">
        <v>592</v>
      </c>
      <c r="W6" s="470"/>
      <c r="X6" s="381">
        <v>1</v>
      </c>
      <c r="Y6" s="379">
        <v>2</v>
      </c>
      <c r="Z6" s="379">
        <v>3</v>
      </c>
      <c r="AA6" s="380">
        <v>4</v>
      </c>
      <c r="AB6" s="381">
        <v>5</v>
      </c>
      <c r="AC6" s="379">
        <v>6</v>
      </c>
      <c r="AD6" s="379">
        <v>7</v>
      </c>
      <c r="AE6" s="379">
        <v>8</v>
      </c>
      <c r="AF6" s="379">
        <v>9</v>
      </c>
      <c r="AG6" s="380">
        <v>10</v>
      </c>
      <c r="AH6" s="381">
        <v>11</v>
      </c>
      <c r="AI6" s="379">
        <v>12</v>
      </c>
      <c r="AJ6" s="379">
        <v>13</v>
      </c>
      <c r="AK6" s="379">
        <v>14</v>
      </c>
      <c r="AL6" s="379">
        <v>15</v>
      </c>
      <c r="AM6" s="379">
        <v>16</v>
      </c>
      <c r="AN6" s="358" t="s">
        <v>592</v>
      </c>
      <c r="AO6" s="471"/>
      <c r="AP6" s="379">
        <v>1</v>
      </c>
      <c r="AQ6" s="379">
        <v>2</v>
      </c>
      <c r="AR6" s="379">
        <v>3</v>
      </c>
      <c r="AS6" s="380">
        <v>4</v>
      </c>
      <c r="AT6" s="381">
        <v>5</v>
      </c>
      <c r="AU6" s="379">
        <v>6</v>
      </c>
      <c r="AV6" s="379">
        <v>7</v>
      </c>
      <c r="AW6" s="379">
        <v>8</v>
      </c>
      <c r="AX6" s="379">
        <v>9</v>
      </c>
      <c r="AY6" s="380">
        <v>10</v>
      </c>
      <c r="AZ6" s="381">
        <v>11</v>
      </c>
      <c r="BA6" s="379">
        <v>12</v>
      </c>
      <c r="BB6" s="379">
        <v>13</v>
      </c>
      <c r="BC6" s="379">
        <v>14</v>
      </c>
      <c r="BD6" s="379">
        <v>15</v>
      </c>
      <c r="BE6" s="379">
        <v>16</v>
      </c>
      <c r="BF6" s="358" t="s">
        <v>592</v>
      </c>
      <c r="BG6" s="472"/>
      <c r="BH6" s="379">
        <v>1</v>
      </c>
      <c r="BI6" s="379">
        <v>2</v>
      </c>
      <c r="BJ6" s="379">
        <v>3</v>
      </c>
      <c r="BK6" s="380">
        <v>4</v>
      </c>
      <c r="BL6" s="381">
        <v>5</v>
      </c>
      <c r="BM6" s="379">
        <v>6</v>
      </c>
      <c r="BN6" s="379">
        <v>7</v>
      </c>
      <c r="BO6" s="818">
        <v>8</v>
      </c>
      <c r="BP6" s="379">
        <v>9</v>
      </c>
      <c r="BQ6" s="380">
        <v>10</v>
      </c>
      <c r="BR6" s="381">
        <v>11</v>
      </c>
      <c r="BS6" s="379">
        <v>12</v>
      </c>
      <c r="BT6" s="379">
        <v>13</v>
      </c>
      <c r="BU6" s="379">
        <v>14</v>
      </c>
      <c r="BV6" s="379">
        <v>15</v>
      </c>
      <c r="BW6" s="379">
        <v>16</v>
      </c>
      <c r="BX6" s="358" t="s">
        <v>592</v>
      </c>
      <c r="BY6" s="471"/>
      <c r="BZ6" s="473"/>
      <c r="CA6" s="379">
        <v>1</v>
      </c>
      <c r="CB6" s="379">
        <v>2</v>
      </c>
      <c r="CC6" s="379">
        <v>3</v>
      </c>
      <c r="CD6" s="380">
        <v>4</v>
      </c>
      <c r="CE6" s="381">
        <v>5</v>
      </c>
      <c r="CF6" s="379">
        <v>6</v>
      </c>
      <c r="CG6" s="379">
        <v>7</v>
      </c>
      <c r="CH6" s="379">
        <v>8</v>
      </c>
      <c r="CI6" s="818">
        <v>9</v>
      </c>
      <c r="CJ6" s="819">
        <v>10</v>
      </c>
      <c r="CK6" s="820">
        <v>11</v>
      </c>
      <c r="CL6" s="818">
        <v>12</v>
      </c>
      <c r="CM6" s="818">
        <v>13</v>
      </c>
      <c r="CN6" s="818">
        <v>14</v>
      </c>
      <c r="CO6" s="818">
        <v>15</v>
      </c>
      <c r="CP6" s="379">
        <v>16</v>
      </c>
      <c r="CQ6" s="358" t="s">
        <v>592</v>
      </c>
      <c r="CR6" s="471"/>
      <c r="CS6" s="379">
        <v>1</v>
      </c>
      <c r="CT6" s="379">
        <v>2</v>
      </c>
      <c r="CU6" s="379">
        <v>3</v>
      </c>
      <c r="CV6" s="380">
        <v>4</v>
      </c>
      <c r="CW6" s="381">
        <v>5</v>
      </c>
      <c r="CX6" s="379">
        <v>6</v>
      </c>
      <c r="CY6" s="379">
        <v>7</v>
      </c>
      <c r="CZ6" s="379">
        <v>8</v>
      </c>
      <c r="DA6" s="818">
        <v>9</v>
      </c>
      <c r="DB6" s="819">
        <v>10</v>
      </c>
      <c r="DC6" s="820">
        <v>11</v>
      </c>
      <c r="DD6" s="818">
        <v>12</v>
      </c>
      <c r="DE6" s="818">
        <v>13</v>
      </c>
      <c r="DF6" s="818">
        <v>14</v>
      </c>
      <c r="DG6" s="818">
        <v>15</v>
      </c>
      <c r="DH6" s="379">
        <v>16</v>
      </c>
      <c r="DI6" s="358" t="s">
        <v>592</v>
      </c>
    </row>
    <row r="7" spans="3:114" s="360" customFormat="1" ht="16.5" thickTop="1" thickBot="1" x14ac:dyDescent="0.3">
      <c r="C7" s="357"/>
      <c r="D7" s="357"/>
      <c r="E7" s="357"/>
      <c r="F7" s="1528" t="s">
        <v>36</v>
      </c>
      <c r="G7" s="1529"/>
      <c r="H7" s="1529"/>
      <c r="I7" s="1530"/>
      <c r="J7" s="1531" t="s">
        <v>36</v>
      </c>
      <c r="K7" s="1532"/>
      <c r="L7" s="1532"/>
      <c r="M7" s="1532"/>
      <c r="N7" s="1532"/>
      <c r="O7" s="1532"/>
      <c r="P7" s="1517" t="s">
        <v>36</v>
      </c>
      <c r="Q7" s="1517"/>
      <c r="R7" s="1517"/>
      <c r="S7" s="1517"/>
      <c r="T7" s="1517"/>
      <c r="U7" s="1517"/>
      <c r="V7" s="377"/>
      <c r="W7" s="489"/>
      <c r="X7" s="1517" t="s">
        <v>36</v>
      </c>
      <c r="Y7" s="1517"/>
      <c r="Z7" s="1517"/>
      <c r="AA7" s="1517"/>
      <c r="AB7" s="1517" t="s">
        <v>36</v>
      </c>
      <c r="AC7" s="1517"/>
      <c r="AD7" s="1517"/>
      <c r="AE7" s="1517"/>
      <c r="AF7" s="1517"/>
      <c r="AG7" s="1517"/>
      <c r="AH7" s="1517" t="s">
        <v>36</v>
      </c>
      <c r="AI7" s="1517"/>
      <c r="AJ7" s="1517"/>
      <c r="AK7" s="1517"/>
      <c r="AL7" s="1517"/>
      <c r="AM7" s="358"/>
      <c r="AN7" s="358"/>
      <c r="AO7" s="471"/>
      <c r="AP7" s="1517" t="s">
        <v>36</v>
      </c>
      <c r="AQ7" s="1517"/>
      <c r="AR7" s="1517"/>
      <c r="AS7" s="1517"/>
      <c r="AT7" s="1517" t="s">
        <v>36</v>
      </c>
      <c r="AU7" s="1517"/>
      <c r="AV7" s="1517"/>
      <c r="AW7" s="1517"/>
      <c r="AX7" s="1517"/>
      <c r="AY7" s="1517"/>
      <c r="AZ7" s="1517" t="s">
        <v>36</v>
      </c>
      <c r="BA7" s="1517"/>
      <c r="BB7" s="1517"/>
      <c r="BC7" s="1517"/>
      <c r="BD7" s="1517"/>
      <c r="BE7" s="1517"/>
      <c r="BF7" s="377"/>
      <c r="BG7" s="472"/>
      <c r="BH7" s="1517" t="s">
        <v>36</v>
      </c>
      <c r="BI7" s="1517"/>
      <c r="BJ7" s="1517"/>
      <c r="BK7" s="1517"/>
      <c r="BL7" s="1517" t="s">
        <v>36</v>
      </c>
      <c r="BM7" s="1517"/>
      <c r="BN7" s="1517"/>
      <c r="BO7" s="1517"/>
      <c r="BP7" s="1517"/>
      <c r="BQ7" s="1517"/>
      <c r="BR7" s="1517" t="s">
        <v>36</v>
      </c>
      <c r="BS7" s="1517"/>
      <c r="BT7" s="1517"/>
      <c r="BU7" s="1517"/>
      <c r="BV7" s="1517"/>
      <c r="BW7" s="1517"/>
      <c r="BX7" s="358"/>
      <c r="BY7" s="471"/>
      <c r="BZ7" s="473"/>
      <c r="CA7" s="1517" t="s">
        <v>36</v>
      </c>
      <c r="CB7" s="1517"/>
      <c r="CC7" s="1517"/>
      <c r="CD7" s="1517"/>
      <c r="CE7" s="1517" t="s">
        <v>36</v>
      </c>
      <c r="CF7" s="1517"/>
      <c r="CG7" s="1517"/>
      <c r="CH7" s="1517"/>
      <c r="CI7" s="1517"/>
      <c r="CJ7" s="749"/>
      <c r="CK7" s="1518" t="s">
        <v>36</v>
      </c>
      <c r="CL7" s="1518"/>
      <c r="CM7" s="1518"/>
      <c r="CN7" s="1518"/>
      <c r="CO7" s="1518"/>
      <c r="CP7" s="1518"/>
      <c r="CQ7" s="1518"/>
      <c r="CR7" s="471"/>
      <c r="CS7" s="1517" t="s">
        <v>377</v>
      </c>
      <c r="CT7" s="1517"/>
      <c r="CU7" s="1517"/>
      <c r="CV7" s="1517"/>
      <c r="CW7" s="1517" t="s">
        <v>377</v>
      </c>
      <c r="CX7" s="1517"/>
      <c r="CY7" s="1517"/>
      <c r="CZ7" s="1517"/>
      <c r="DA7" s="1517"/>
      <c r="DB7" s="1517"/>
      <c r="DC7" s="1518" t="s">
        <v>377</v>
      </c>
      <c r="DD7" s="1518"/>
      <c r="DE7" s="1518"/>
      <c r="DF7" s="1518"/>
      <c r="DG7" s="1518"/>
      <c r="DH7" s="1518"/>
      <c r="DI7" s="377"/>
    </row>
    <row r="8" spans="3:114" ht="15.75" thickTop="1" x14ac:dyDescent="0.25">
      <c r="C8" s="1" t="s">
        <v>101</v>
      </c>
      <c r="F8" s="363" cm="1">
        <f t="array" ref="F8:F15">'HPS DAILY'!$G$66:$G$73</f>
        <v>0</v>
      </c>
      <c r="G8" s="364" cm="1">
        <f t="array" ref="G8:G15">'HPS DAILY'!$G$66:$G$73</f>
        <v>0</v>
      </c>
      <c r="H8" s="364" cm="1">
        <f t="array" ref="H8:H15">'HPS DAILY'!$G$66:$G$73</f>
        <v>0</v>
      </c>
      <c r="I8" s="1323" cm="1">
        <f t="array" ref="I8:I15">'HPS DAILY'!$G$66:$G$73</f>
        <v>0</v>
      </c>
      <c r="J8" s="363" cm="1">
        <f t="array" ref="J8:J15">'HPS DAILY'!H66:H73</f>
        <v>0</v>
      </c>
      <c r="K8" s="364" cm="1">
        <f t="array" ref="K8:K15">'HPS DAILY'!H66:H73</f>
        <v>0</v>
      </c>
      <c r="L8" s="364" cm="1">
        <f t="array" ref="L8:L15">'HPS DAILY'!H66:H73</f>
        <v>0</v>
      </c>
      <c r="M8" s="364" cm="1">
        <f t="array" ref="M8:M15">'HPS DAILY'!H66:H73</f>
        <v>0</v>
      </c>
      <c r="N8" s="1399" cm="1">
        <f t="array" ref="N8:N15">'HPS DAILY'!H66:H73</f>
        <v>0</v>
      </c>
      <c r="O8" s="1323" cm="1">
        <f t="array" ref="O8:O15">'HPS DAILY'!H66:H73</f>
        <v>0</v>
      </c>
      <c r="P8" s="363" cm="1">
        <f t="array" ref="P8:P15">'HPS DAILY'!I66:I73</f>
        <v>0</v>
      </c>
      <c r="Q8" s="364" cm="1">
        <f t="array" ref="Q8:Q15">'HPS DAILY'!I66:I73</f>
        <v>0</v>
      </c>
      <c r="R8" s="364" cm="1">
        <f t="array" ref="R8:R15">'HPS DAILY'!I66:I73</f>
        <v>0</v>
      </c>
      <c r="S8" s="1399" cm="1">
        <f t="array" ref="S8:S15">'HPS DAILY'!I66:I73</f>
        <v>0</v>
      </c>
      <c r="T8" s="1399" cm="1">
        <f t="array" ref="T8:T15">'HPS DAILY'!I66:I73</f>
        <v>0</v>
      </c>
      <c r="U8" s="1399" cm="1">
        <f t="array" ref="U8:U15">'HPS DAILY'!$I$66:$I$73</f>
        <v>0</v>
      </c>
      <c r="V8" s="364" cm="1">
        <f t="array" ref="V8:V15">'HPS DAILY'!$I$66:$I$73</f>
        <v>0</v>
      </c>
      <c r="W8" s="493"/>
      <c r="X8" s="494" cm="1">
        <f t="array" ref="X8:X15">ISV!G65:G$72</f>
        <v>0.14199999999999999</v>
      </c>
      <c r="Y8" s="362" cm="1">
        <f t="array" ref="Y8:Y15">ISV!H65:H$72</f>
        <v>0.504</v>
      </c>
      <c r="Z8" s="362" cm="1">
        <f t="array" ref="Z8:Z15">ISV!I65:I$72</f>
        <v>0.121</v>
      </c>
      <c r="AA8" s="244" cm="1">
        <f t="array" ref="AA8:AA15">ISV!J65:J$72</f>
        <v>0</v>
      </c>
      <c r="AB8" s="494" cm="1">
        <f t="array" ref="AB8:AB15">ISV!K65:K$72</f>
        <v>0.19</v>
      </c>
      <c r="AC8" s="362" cm="1">
        <f t="array" ref="AC8:AC15">ISV!L65:L$72</f>
        <v>0.36</v>
      </c>
      <c r="AD8" s="362" cm="1">
        <f t="array" ref="AD8:AD15">ISV!M65:M$72</f>
        <v>0.69299999999999995</v>
      </c>
      <c r="AE8" s="362" cm="1">
        <f t="array" ref="AE8:AE15">ISV!N65:N$72</f>
        <v>0.23</v>
      </c>
      <c r="AF8" s="234" cm="1">
        <f t="array" ref="AF8:AF15">ISV!O65:O$72</f>
        <v>0</v>
      </c>
      <c r="AG8" s="235" cm="1">
        <f t="array" ref="AG8:AG15">ISV!P65:P$72</f>
        <v>0</v>
      </c>
      <c r="AH8" s="352" cm="1">
        <f t="array" ref="AH8:AH15">ISV!Q65:Q$72</f>
        <v>0</v>
      </c>
      <c r="AI8" s="234" cm="1">
        <f t="array" ref="AI8:AI15">ISV!R65:R$72</f>
        <v>4.8000000000000001E-2</v>
      </c>
      <c r="AJ8" s="234" cm="1">
        <f t="array" ref="AJ8:AJ15">ISV!S65:S$72</f>
        <v>0.309</v>
      </c>
      <c r="AK8" s="234" cm="1">
        <f t="array" ref="AK8:AK15">ISV!T65:T$72</f>
        <v>0</v>
      </c>
      <c r="AL8" s="234" cm="1">
        <f t="array" ref="AL8:AL15">ISV!U65:U$72</f>
        <v>0</v>
      </c>
      <c r="AM8" s="234" cm="1">
        <f t="array" ref="AM8:AM15">ISV!V65:V$72</f>
        <v>0</v>
      </c>
      <c r="AN8" s="234"/>
      <c r="AO8" s="486"/>
      <c r="AP8" s="495" cm="1">
        <f t="array" ref="AP8:AP15">'HPS DAILY'!J$66:J$73</f>
        <v>0.14299999999999999</v>
      </c>
      <c r="AQ8" s="495" cm="1">
        <f t="array" ref="AQ8:AQ15">'HPS DAILY'!K$66:K$73</f>
        <v>0.26600000000000001</v>
      </c>
      <c r="AR8" s="495" cm="1">
        <f t="array" ref="AR8:AR15">'HPS DAILY'!L$66:L$73</f>
        <v>0.151</v>
      </c>
      <c r="AS8" s="607" cm="1">
        <f t="array" ref="AS8:AS15">'HPS DAILY'!M$66:M$73</f>
        <v>0.26400000000000001</v>
      </c>
      <c r="AT8" s="609" cm="1">
        <f t="array" ref="AT8:AT15">'HPS DAILY'!N$66:N$73</f>
        <v>0.58399999999999996</v>
      </c>
      <c r="AU8" s="495" cm="1">
        <f t="array" ref="AU8:AU15">'HPS DAILY'!O$66:O$73</f>
        <v>0.73</v>
      </c>
      <c r="AV8" s="495" cm="1">
        <f t="array" ref="AV8:AV15">'HPS DAILY'!P$66:P$73</f>
        <v>0.28000000000000003</v>
      </c>
      <c r="AW8" s="495" cm="1">
        <f t="array" ref="AW8:AW15">'HPS DAILY'!Q$66:Q$73</f>
        <v>0.45400000000000001</v>
      </c>
      <c r="AX8" s="495" cm="1">
        <f t="array" ref="AX8:AX15">'HPS DAILY'!R$66:R$73</f>
        <v>0.161</v>
      </c>
      <c r="AY8" s="607" cm="1">
        <f t="array" ref="AY8:AY15">'HPS DAILY'!S$66:S$73</f>
        <v>0.158</v>
      </c>
      <c r="AZ8" s="609" cm="1">
        <f t="array" ref="AZ8:AZ15">'HPS DAILY'!T$66:T$73</f>
        <v>0.308</v>
      </c>
      <c r="BA8" s="495" cm="1">
        <f t="array" ref="BA8:BA15">'HPS DAILY'!U$66:U$73</f>
        <v>0.77400000000000002</v>
      </c>
      <c r="BB8" s="495" cm="1">
        <f t="array" ref="BB8:BB15">'HPS DAILY'!V$66:V$73</f>
        <v>0.156</v>
      </c>
      <c r="BC8" s="495" cm="1">
        <f t="array" ref="BC8:BC15">'HPS DAILY'!W$66:W$73</f>
        <v>0.64700000000000002</v>
      </c>
      <c r="BD8" s="495" cm="1">
        <f t="array" ref="BD8:BD15">'HPS DAILY'!X$66:X$73</f>
        <v>0.20499999999999999</v>
      </c>
      <c r="BE8" s="495" cm="1">
        <f t="array" ref="BE8:BE15">'HPS DAILY'!Y$66:Y$73</f>
        <v>0.19600000000000001</v>
      </c>
      <c r="BF8" s="495" cm="1">
        <f t="array" ref="BF8:BF15">'HPS DAILY'!Z$66:Z$73</f>
        <v>0.192</v>
      </c>
      <c r="BG8" s="487"/>
      <c r="BH8" s="351" cm="1">
        <f t="array" ref="BH8:BH15">'LTO DAILY'!H$55:H$62</f>
        <v>2</v>
      </c>
      <c r="BI8" s="351" cm="1">
        <f t="array" ref="BI8:BI15">'LTO DAILY'!I$55:I$62</f>
        <v>7.5</v>
      </c>
      <c r="BJ8" s="351" cm="1">
        <f t="array" ref="BJ8:BJ15">'LTO DAILY'!J$55:J$62</f>
        <v>9.5</v>
      </c>
      <c r="BK8" s="231" cm="1">
        <f t="array" ref="BK8:BK15">'LTO DAILY'!K$55:K$62</f>
        <v>6.5</v>
      </c>
      <c r="BL8" s="350" cm="1">
        <f t="array" ref="BL8:BL15">'LTO DAILY'!L$55:L$62</f>
        <v>4.5</v>
      </c>
      <c r="BM8" s="351" cm="1">
        <f t="array" ref="BM8:BM15">'LTO DAILY'!M$55:M$62</f>
        <v>2.5</v>
      </c>
      <c r="BN8" s="351" cm="1">
        <f t="array" ref="BN8:BN15">'LTO DAILY'!N$55:N$62</f>
        <v>3.5</v>
      </c>
      <c r="BO8" s="351" cm="1">
        <f t="array" ref="BO8:BO15">'LTO DAILY'!O$55:O$62</f>
        <v>3.5</v>
      </c>
      <c r="BP8" s="351" cm="1">
        <f t="array" ref="BP8:BP15">'LTO DAILY'!P$55:P$62</f>
        <v>3.5</v>
      </c>
      <c r="BQ8" s="231" cm="1">
        <f t="array" ref="BQ8:BQ15">'LTO DAILY'!Q$55:Q$62</f>
        <v>3.5</v>
      </c>
      <c r="BR8" s="350" cm="1">
        <f t="array" ref="BR8:BR15">'LTO DAILY'!R$55:R$62</f>
        <v>6.7</v>
      </c>
      <c r="BS8" s="351" cm="1">
        <f t="array" ref="BS8:BS15">'LTO DAILY'!S$55:S$62</f>
        <v>3.5</v>
      </c>
      <c r="BT8" s="351" cm="1">
        <f t="array" ref="BT8:BT15">'LTO DAILY'!T$55:T$62</f>
        <v>3.4</v>
      </c>
      <c r="BU8" s="351" cm="1">
        <f t="array" ref="BU8:BU15">'LTO DAILY'!U$55:U$62</f>
        <v>3.6</v>
      </c>
      <c r="BV8" s="351" cm="1">
        <f t="array" ref="BV8:BV15">'LTO DAILY'!V$55:V$62</f>
        <v>3.7</v>
      </c>
      <c r="BW8" s="351" cm="1">
        <f t="array" ref="BW8:BW15">'LTO DAILY'!W$55:W$62</f>
        <v>6.8</v>
      </c>
      <c r="BX8" s="351" cm="1">
        <f t="array" ref="BX8:BX15">'LTO DAILY'!X$55:X$62</f>
        <v>1.1000000000000001</v>
      </c>
      <c r="BY8" s="486"/>
      <c r="BZ8" s="469" t="s">
        <v>191</v>
      </c>
      <c r="CA8" s="351" cm="1">
        <f t="array" ref="CA8:CA14">'HPS DAILY'!J106:J112</f>
        <v>54.35</v>
      </c>
      <c r="CB8" s="351" cm="1">
        <f t="array" ref="CB8:CB14">'HPS DAILY'!K106:K112</f>
        <v>46.17</v>
      </c>
      <c r="CC8" s="351" cm="1">
        <f t="array" ref="CC8:CC14">'HPS DAILY'!L106:L112</f>
        <v>59.72</v>
      </c>
      <c r="CD8" s="231" cm="1">
        <f t="array" ref="CD8:CD14">'HPS DAILY'!M106:M112</f>
        <v>71.92</v>
      </c>
      <c r="CE8" s="350" cm="1">
        <f t="array" ref="CE8:CE14">'HPS DAILY'!N106:N112</f>
        <v>51.89</v>
      </c>
      <c r="CF8" s="351" cm="1">
        <f t="array" ref="CF8:CF14">'HPS DAILY'!O106:O112</f>
        <v>51.32</v>
      </c>
      <c r="CG8" s="351" cm="1">
        <f t="array" ref="CG8:CG14">'HPS DAILY'!P106:P112</f>
        <v>50.92</v>
      </c>
      <c r="CH8" s="351" cm="1">
        <f t="array" ref="CH8:CH14">'HPS DAILY'!Q106:Q112</f>
        <v>49.96</v>
      </c>
      <c r="CI8" s="351" cm="1">
        <f t="array" ref="CI8:CI14">'HPS DAILY'!R106:R112</f>
        <v>51.37</v>
      </c>
      <c r="CJ8" s="231" cm="1">
        <f t="array" ref="CJ8:CJ14">'HPS DAILY'!S106:S112</f>
        <v>49.83</v>
      </c>
      <c r="CK8" s="350" cm="1">
        <f t="array" ref="CK8:CK14">'HPS DAILY'!T106:T112</f>
        <v>47.22</v>
      </c>
      <c r="CL8" s="351" cm="1">
        <f t="array" ref="CL8:CL14">'HPS DAILY'!U106:U112</f>
        <v>50.25</v>
      </c>
      <c r="CM8" s="351" cm="1">
        <f t="array" ref="CM8:CM14">'HPS DAILY'!V106:V112</f>
        <v>49.67</v>
      </c>
      <c r="CN8" s="351" cm="1">
        <f t="array" ref="CN8:CN14">'HPS DAILY'!W106:W112</f>
        <v>50.83</v>
      </c>
      <c r="CO8" s="351" cm="1">
        <f t="array" ref="CO8:CO14">'HPS DAILY'!X106:X112</f>
        <v>48.73</v>
      </c>
      <c r="CP8" s="351" cm="1">
        <f t="array" ref="CP8:CP14">'HPS DAILY'!Y106:Y112</f>
        <v>48.73</v>
      </c>
      <c r="CQ8" s="351" cm="1">
        <f t="array" ref="CQ8:CQ14">'HPS DAILY'!Z106:Z112</f>
        <v>0</v>
      </c>
      <c r="CR8" s="486"/>
      <c r="CS8" s="351" cm="1">
        <f t="array" ref="CS8:CS14">'HPS DAILY'!J$93:J$99</f>
        <v>37.869999999999997</v>
      </c>
      <c r="CT8" s="351">
        <f t="shared" ref="CT8:CT14" si="0">CU8</f>
        <v>13.51</v>
      </c>
      <c r="CU8" s="351" cm="1">
        <f t="array" ref="CU8:CU14">'HPS DAILY'!L$93:L$99</f>
        <v>13.51</v>
      </c>
      <c r="CV8" s="231" cm="1">
        <f t="array" ref="CV8:CV14">'HPS DAILY'!M$93:M$99</f>
        <v>5.58</v>
      </c>
      <c r="CW8" s="350" cm="1">
        <f t="array" ref="CW8:CW14">'HPS DAILY'!N$93:N$99</f>
        <v>2</v>
      </c>
      <c r="CX8" s="351" cm="1">
        <f t="array" ref="CX8:CX14">'HPS DAILY'!O$93:O$99</f>
        <v>2.11</v>
      </c>
      <c r="CY8" s="351" cm="1">
        <f t="array" ref="CY8:CY14">'HPS DAILY'!P$93:P$99</f>
        <v>1.78</v>
      </c>
      <c r="CZ8" s="351" cm="1">
        <f t="array" ref="CZ8:CZ14">'HPS DAILY'!Q$93:Q$99</f>
        <v>1.99</v>
      </c>
      <c r="DA8" s="351" cm="1">
        <f t="array" ref="DA8:DA14">'HPS DAILY'!R$93:R$99</f>
        <v>2</v>
      </c>
      <c r="DB8" s="231" cm="1">
        <f t="array" ref="DB8:DB14">'HPS DAILY'!S$93:S$99</f>
        <v>2.1</v>
      </c>
      <c r="DC8" s="350" cm="1">
        <f t="array" ref="DC8:DC14">'HPS DAILY'!T$93:T$99</f>
        <v>1.9</v>
      </c>
      <c r="DD8" s="351" cm="1">
        <f t="array" ref="DD8:DD14">'HPS DAILY'!U$93:U$99</f>
        <v>2.93</v>
      </c>
      <c r="DE8" s="351" cm="1">
        <f t="array" ref="DE8:DE14">'HPS DAILY'!V$93:V$99</f>
        <v>3.02</v>
      </c>
      <c r="DF8" s="351" cm="1">
        <f t="array" ref="DF8:DF14">'HPS DAILY'!W$93:W$99</f>
        <v>0.99</v>
      </c>
      <c r="DG8" s="351" cm="1">
        <f t="array" ref="DG8:DG14">'HPS DAILY'!X$93:X$99</f>
        <v>1.2</v>
      </c>
      <c r="DH8" s="351" cm="1">
        <f t="array" ref="DH8:DH14">'HPS DAILY'!Y$93:Y$99</f>
        <v>1.2</v>
      </c>
      <c r="DI8" s="351" cm="1">
        <f t="array" ref="DI8:DI14">'HPS DAILY'!Z$93:Z$99</f>
        <v>0</v>
      </c>
      <c r="DJ8" s="1" t="s">
        <v>191</v>
      </c>
    </row>
    <row r="9" spans="3:114" x14ac:dyDescent="0.25">
      <c r="C9" s="1" t="s">
        <v>102</v>
      </c>
      <c r="F9" s="365">
        <v>7.0000000000000001E-3</v>
      </c>
      <c r="G9" s="366">
        <v>7.0000000000000001E-3</v>
      </c>
      <c r="H9" s="366">
        <v>7.0000000000000001E-3</v>
      </c>
      <c r="I9" s="1324">
        <v>7.0000000000000001E-3</v>
      </c>
      <c r="J9" s="365">
        <v>0</v>
      </c>
      <c r="K9" s="366">
        <v>0</v>
      </c>
      <c r="L9" s="366">
        <v>0</v>
      </c>
      <c r="M9" s="366">
        <v>0</v>
      </c>
      <c r="N9" s="1400">
        <v>0</v>
      </c>
      <c r="O9" s="1324">
        <v>0</v>
      </c>
      <c r="P9" s="365">
        <v>0</v>
      </c>
      <c r="Q9" s="366">
        <v>0</v>
      </c>
      <c r="R9" s="366">
        <v>0</v>
      </c>
      <c r="S9" s="1400">
        <v>0</v>
      </c>
      <c r="T9" s="1400">
        <v>0</v>
      </c>
      <c r="U9" s="1400">
        <v>0</v>
      </c>
      <c r="V9" s="366">
        <v>0</v>
      </c>
      <c r="W9" s="445"/>
      <c r="X9" s="326">
        <v>41.622999999999998</v>
      </c>
      <c r="Y9" s="251">
        <v>2.633</v>
      </c>
      <c r="Z9" s="251">
        <v>0.34499999999999997</v>
      </c>
      <c r="AA9" s="236">
        <v>0</v>
      </c>
      <c r="AB9" s="326">
        <v>0.57299999999999995</v>
      </c>
      <c r="AC9" s="251">
        <v>0.495</v>
      </c>
      <c r="AD9" s="251">
        <v>0.59599999999999997</v>
      </c>
      <c r="AE9" s="251">
        <v>0.55200000000000005</v>
      </c>
      <c r="AF9" s="241">
        <v>0</v>
      </c>
      <c r="AG9" s="240">
        <v>0</v>
      </c>
      <c r="AH9" s="320">
        <v>0</v>
      </c>
      <c r="AI9" s="241">
        <v>0.14099999999999999</v>
      </c>
      <c r="AJ9" s="241">
        <v>0.58599999999999997</v>
      </c>
      <c r="AK9" s="241">
        <v>0</v>
      </c>
      <c r="AL9" s="241">
        <v>0</v>
      </c>
      <c r="AM9" s="241">
        <v>0</v>
      </c>
      <c r="AP9" s="255">
        <v>0.58399999999999996</v>
      </c>
      <c r="AQ9" s="255">
        <v>0.40200000000000002</v>
      </c>
      <c r="AR9" s="255">
        <v>0.45700000000000002</v>
      </c>
      <c r="AS9" s="317">
        <v>0.49399999999999999</v>
      </c>
      <c r="AT9" s="333">
        <v>1.6970000000000001</v>
      </c>
      <c r="AU9" s="255">
        <v>1.605</v>
      </c>
      <c r="AV9" s="255">
        <v>1.5880000000000001</v>
      </c>
      <c r="AW9" s="255">
        <v>1.393</v>
      </c>
      <c r="AX9" s="255">
        <v>1.5049999999999999</v>
      </c>
      <c r="AY9" s="317">
        <v>1.484</v>
      </c>
      <c r="AZ9" s="333">
        <v>1.8759999999999999</v>
      </c>
      <c r="BA9" s="255">
        <v>1.7490000000000001</v>
      </c>
      <c r="BB9" s="255">
        <v>1.4419999999999999</v>
      </c>
      <c r="BC9" s="255">
        <v>1.9410000000000001</v>
      </c>
      <c r="BD9" s="255">
        <v>1.897</v>
      </c>
      <c r="BE9" s="255">
        <v>1.3480000000000001</v>
      </c>
      <c r="BF9" s="255">
        <v>1.4990000000000001</v>
      </c>
      <c r="BG9" s="422"/>
      <c r="BH9" s="256">
        <v>29</v>
      </c>
      <c r="BI9" s="256">
        <v>22</v>
      </c>
      <c r="BJ9" s="256">
        <v>23</v>
      </c>
      <c r="BK9" s="309">
        <v>22</v>
      </c>
      <c r="BL9" s="321">
        <v>23.5</v>
      </c>
      <c r="BM9" s="256">
        <v>24</v>
      </c>
      <c r="BN9" s="256">
        <v>26.5</v>
      </c>
      <c r="BO9" s="256">
        <v>26.5</v>
      </c>
      <c r="BP9" s="256">
        <v>25.5</v>
      </c>
      <c r="BQ9" s="309">
        <v>27.4</v>
      </c>
      <c r="BR9" s="321">
        <v>29.4</v>
      </c>
      <c r="BS9" s="256">
        <v>26.6</v>
      </c>
      <c r="BT9" s="256">
        <v>23.8</v>
      </c>
      <c r="BU9" s="256">
        <v>26.9</v>
      </c>
      <c r="BV9" s="256">
        <v>28.3</v>
      </c>
      <c r="BW9" s="256">
        <v>28.5</v>
      </c>
      <c r="BX9" s="256">
        <v>20.399999999999999</v>
      </c>
      <c r="BZ9" s="253" t="s">
        <v>199</v>
      </c>
      <c r="CA9" s="256">
        <v>5.83</v>
      </c>
      <c r="CB9" s="256">
        <v>4.34</v>
      </c>
      <c r="CC9" s="256">
        <v>5.88</v>
      </c>
      <c r="CD9" s="309">
        <v>7.1</v>
      </c>
      <c r="CE9" s="321">
        <v>15.37</v>
      </c>
      <c r="CF9" s="256">
        <v>14.29</v>
      </c>
      <c r="CG9" s="256">
        <v>14.36</v>
      </c>
      <c r="CH9" s="256">
        <v>12.7</v>
      </c>
      <c r="CI9" s="256">
        <v>12.78</v>
      </c>
      <c r="CJ9" s="309">
        <v>13.91</v>
      </c>
      <c r="CK9" s="321">
        <v>14.9</v>
      </c>
      <c r="CL9" s="256">
        <v>15.42</v>
      </c>
      <c r="CM9" s="256">
        <v>15.02</v>
      </c>
      <c r="CN9" s="256">
        <v>14.69</v>
      </c>
      <c r="CO9" s="256">
        <v>13.62</v>
      </c>
      <c r="CP9" s="256">
        <v>13.62</v>
      </c>
      <c r="CQ9" s="256">
        <v>0</v>
      </c>
      <c r="CS9" s="256">
        <v>5.78</v>
      </c>
      <c r="CT9" s="256">
        <f t="shared" si="0"/>
        <v>0.21</v>
      </c>
      <c r="CU9" s="256">
        <v>0.21</v>
      </c>
      <c r="CV9" s="309">
        <v>0.1</v>
      </c>
      <c r="CW9" s="321">
        <v>0.15</v>
      </c>
      <c r="CX9" s="256">
        <v>0.19</v>
      </c>
      <c r="CY9" s="256">
        <v>0.12</v>
      </c>
      <c r="CZ9" s="256">
        <v>0.14000000000000001</v>
      </c>
      <c r="DA9" s="256">
        <v>0.16</v>
      </c>
      <c r="DB9" s="309">
        <v>0.17</v>
      </c>
      <c r="DC9" s="321">
        <v>0.2</v>
      </c>
      <c r="DD9" s="256">
        <v>0.33</v>
      </c>
      <c r="DE9" s="256">
        <v>0.35</v>
      </c>
      <c r="DF9" s="256">
        <v>0.15</v>
      </c>
      <c r="DG9" s="256">
        <v>0.19</v>
      </c>
      <c r="DH9" s="256">
        <v>0.19</v>
      </c>
      <c r="DI9" s="256">
        <v>0</v>
      </c>
      <c r="DJ9" s="1" t="s">
        <v>199</v>
      </c>
    </row>
    <row r="10" spans="3:114" x14ac:dyDescent="0.25">
      <c r="C10" s="1" t="s">
        <v>103</v>
      </c>
      <c r="F10" s="365">
        <v>0.26400000000000001</v>
      </c>
      <c r="G10" s="366">
        <v>0.26400000000000001</v>
      </c>
      <c r="H10" s="366">
        <v>0.26400000000000001</v>
      </c>
      <c r="I10" s="1324">
        <v>0.26400000000000001</v>
      </c>
      <c r="J10" s="365">
        <v>0.03</v>
      </c>
      <c r="K10" s="366">
        <v>0.03</v>
      </c>
      <c r="L10" s="366">
        <v>0.03</v>
      </c>
      <c r="M10" s="366">
        <v>0.03</v>
      </c>
      <c r="N10" s="1400">
        <v>0.03</v>
      </c>
      <c r="O10" s="1324">
        <v>0.03</v>
      </c>
      <c r="P10" s="365">
        <v>0</v>
      </c>
      <c r="Q10" s="366">
        <v>0</v>
      </c>
      <c r="R10" s="366">
        <v>0</v>
      </c>
      <c r="S10" s="1400">
        <v>0</v>
      </c>
      <c r="T10" s="1400">
        <v>0</v>
      </c>
      <c r="U10" s="1400">
        <v>0</v>
      </c>
      <c r="V10" s="366">
        <v>0</v>
      </c>
      <c r="W10" s="445"/>
      <c r="X10" s="326">
        <v>13.215</v>
      </c>
      <c r="Y10" s="251">
        <v>1.962</v>
      </c>
      <c r="Z10" s="251">
        <v>0.96199999999999997</v>
      </c>
      <c r="AA10" s="236">
        <v>0</v>
      </c>
      <c r="AB10" s="326">
        <v>1.381</v>
      </c>
      <c r="AC10" s="251">
        <v>1.542</v>
      </c>
      <c r="AD10" s="251">
        <v>2.2320000000000002</v>
      </c>
      <c r="AE10" s="251">
        <v>2.0310000000000001</v>
      </c>
      <c r="AF10" s="241">
        <v>0</v>
      </c>
      <c r="AG10" s="240">
        <v>0</v>
      </c>
      <c r="AH10" s="320">
        <v>0</v>
      </c>
      <c r="AI10" s="241">
        <v>1.038</v>
      </c>
      <c r="AJ10" s="241">
        <v>2.286</v>
      </c>
      <c r="AK10" s="241">
        <v>0</v>
      </c>
      <c r="AL10" s="241">
        <v>0</v>
      </c>
      <c r="AM10" s="241">
        <v>0</v>
      </c>
      <c r="AP10" s="255">
        <v>2.33</v>
      </c>
      <c r="AQ10" s="255">
        <v>1.913</v>
      </c>
      <c r="AR10" s="255">
        <v>2.169</v>
      </c>
      <c r="AS10" s="317">
        <v>2.0150000000000001</v>
      </c>
      <c r="AT10" s="333">
        <v>7.016</v>
      </c>
      <c r="AU10" s="255">
        <v>6.6289999999999996</v>
      </c>
      <c r="AV10" s="255">
        <v>7.0439999999999996</v>
      </c>
      <c r="AW10" s="255">
        <v>6.84</v>
      </c>
      <c r="AX10" s="255">
        <v>7.343</v>
      </c>
      <c r="AY10" s="317">
        <v>6.8390000000000004</v>
      </c>
      <c r="AZ10" s="333">
        <v>7.7</v>
      </c>
      <c r="BA10" s="255">
        <v>7.0110000000000001</v>
      </c>
      <c r="BB10" s="255">
        <v>7.4290000000000003</v>
      </c>
      <c r="BC10" s="255">
        <v>8.2919999999999998</v>
      </c>
      <c r="BD10" s="255">
        <v>8.5809999999999995</v>
      </c>
      <c r="BE10" s="255">
        <v>6.4180000000000001</v>
      </c>
      <c r="BF10" s="255">
        <v>6.6379999999999999</v>
      </c>
      <c r="BG10" s="422"/>
      <c r="BH10" s="256">
        <v>43.5</v>
      </c>
      <c r="BI10" s="256">
        <v>39.5</v>
      </c>
      <c r="BJ10" s="256">
        <v>36.5</v>
      </c>
      <c r="BK10" s="309">
        <v>37.5</v>
      </c>
      <c r="BL10" s="321">
        <v>39.5</v>
      </c>
      <c r="BM10" s="256">
        <v>45.5</v>
      </c>
      <c r="BN10" s="256">
        <v>45</v>
      </c>
      <c r="BO10" s="256">
        <v>45</v>
      </c>
      <c r="BP10" s="256">
        <v>46</v>
      </c>
      <c r="BQ10" s="309">
        <v>45.4</v>
      </c>
      <c r="BR10" s="321">
        <v>42.4</v>
      </c>
      <c r="BS10" s="256">
        <v>43.5</v>
      </c>
      <c r="BT10" s="256">
        <v>44.3</v>
      </c>
      <c r="BU10" s="256">
        <v>44.6</v>
      </c>
      <c r="BV10" s="256">
        <v>44.7</v>
      </c>
      <c r="BW10" s="256">
        <v>42</v>
      </c>
      <c r="BX10" s="256">
        <v>50.3</v>
      </c>
      <c r="BZ10" s="253" t="s">
        <v>200</v>
      </c>
      <c r="CA10" s="256">
        <v>5.2</v>
      </c>
      <c r="CB10" s="256">
        <v>3.69</v>
      </c>
      <c r="CC10" s="256">
        <v>4.78</v>
      </c>
      <c r="CD10" s="309">
        <v>5.68</v>
      </c>
      <c r="CE10" s="321">
        <v>11.69</v>
      </c>
      <c r="CF10" s="256">
        <v>11.12</v>
      </c>
      <c r="CG10" s="256">
        <v>11</v>
      </c>
      <c r="CH10" s="256">
        <v>10.130000000000001</v>
      </c>
      <c r="CI10" s="256">
        <v>10.07</v>
      </c>
      <c r="CJ10" s="309">
        <v>10.56</v>
      </c>
      <c r="CK10" s="321">
        <v>11.18</v>
      </c>
      <c r="CL10" s="256">
        <v>11.4</v>
      </c>
      <c r="CM10" s="256">
        <v>11.16</v>
      </c>
      <c r="CN10" s="256">
        <v>11.13</v>
      </c>
      <c r="CO10" s="256">
        <v>10.27</v>
      </c>
      <c r="CP10" s="256">
        <v>10.27</v>
      </c>
      <c r="CQ10" s="256">
        <v>0</v>
      </c>
      <c r="CS10" s="256">
        <v>9.36</v>
      </c>
      <c r="CT10" s="256">
        <f t="shared" si="0"/>
        <v>0.08</v>
      </c>
      <c r="CU10" s="256">
        <v>0.08</v>
      </c>
      <c r="CV10" s="309">
        <v>0.06</v>
      </c>
      <c r="CW10" s="321">
        <v>0.22</v>
      </c>
      <c r="CX10" s="256">
        <v>0.27</v>
      </c>
      <c r="CY10" s="256">
        <v>0.18</v>
      </c>
      <c r="CZ10" s="256">
        <v>0.2</v>
      </c>
      <c r="DA10" s="256">
        <v>0.22</v>
      </c>
      <c r="DB10" s="309">
        <v>0.23</v>
      </c>
      <c r="DC10" s="321">
        <v>0.36</v>
      </c>
      <c r="DD10" s="256">
        <v>0.53</v>
      </c>
      <c r="DE10" s="256">
        <v>0.53</v>
      </c>
      <c r="DF10" s="256">
        <v>0.28999999999999998</v>
      </c>
      <c r="DG10" s="256">
        <v>0.34</v>
      </c>
      <c r="DH10" s="256">
        <v>0.34</v>
      </c>
      <c r="DI10" s="256">
        <v>0</v>
      </c>
      <c r="DJ10" s="1" t="s">
        <v>200</v>
      </c>
    </row>
    <row r="11" spans="3:114" x14ac:dyDescent="0.25">
      <c r="C11" s="1" t="s">
        <v>104</v>
      </c>
      <c r="F11" s="365">
        <v>1.0409999999999999</v>
      </c>
      <c r="G11" s="366">
        <v>1.0409999999999999</v>
      </c>
      <c r="H11" s="366">
        <v>1.0409999999999999</v>
      </c>
      <c r="I11" s="1324">
        <v>1.0409999999999999</v>
      </c>
      <c r="J11" s="365">
        <v>0.16500000000000001</v>
      </c>
      <c r="K11" s="366">
        <v>0.16500000000000001</v>
      </c>
      <c r="L11" s="366">
        <v>0.16500000000000001</v>
      </c>
      <c r="M11" s="366">
        <v>0.16500000000000001</v>
      </c>
      <c r="N11" s="1400">
        <v>0.16500000000000001</v>
      </c>
      <c r="O11" s="1324">
        <v>0.16500000000000001</v>
      </c>
      <c r="P11" s="365">
        <v>0.219</v>
      </c>
      <c r="Q11" s="366">
        <v>0.219</v>
      </c>
      <c r="R11" s="366">
        <v>0.219</v>
      </c>
      <c r="S11" s="1400">
        <v>0.219</v>
      </c>
      <c r="T11" s="1400">
        <v>0.219</v>
      </c>
      <c r="U11" s="1400">
        <v>0.219</v>
      </c>
      <c r="V11" s="366">
        <v>0.219</v>
      </c>
      <c r="W11" s="445"/>
      <c r="X11" s="326">
        <v>2.5790000000000002</v>
      </c>
      <c r="Y11" s="251">
        <v>2.907</v>
      </c>
      <c r="Z11" s="251">
        <v>3.044</v>
      </c>
      <c r="AA11" s="236">
        <v>0</v>
      </c>
      <c r="AB11" s="326">
        <v>4.5860000000000003</v>
      </c>
      <c r="AC11" s="251">
        <v>4.5970000000000004</v>
      </c>
      <c r="AD11" s="251">
        <v>5.359</v>
      </c>
      <c r="AE11" s="251">
        <v>4.6180000000000003</v>
      </c>
      <c r="AF11" s="241">
        <v>0</v>
      </c>
      <c r="AG11" s="240">
        <v>0</v>
      </c>
      <c r="AH11" s="320">
        <v>0</v>
      </c>
      <c r="AI11" s="241">
        <v>4.492</v>
      </c>
      <c r="AJ11" s="241">
        <v>5.7290000000000001</v>
      </c>
      <c r="AK11" s="241">
        <v>0</v>
      </c>
      <c r="AL11" s="241">
        <v>0</v>
      </c>
      <c r="AM11" s="241">
        <v>0</v>
      </c>
      <c r="AP11" s="255">
        <v>6.6609999999999996</v>
      </c>
      <c r="AQ11" s="255">
        <v>6.17</v>
      </c>
      <c r="AR11" s="255">
        <v>6.61</v>
      </c>
      <c r="AS11" s="317">
        <v>6.5049999999999999</v>
      </c>
      <c r="AT11" s="333">
        <v>16.114999999999998</v>
      </c>
      <c r="AU11" s="255">
        <v>14.157</v>
      </c>
      <c r="AV11" s="255">
        <v>14.746</v>
      </c>
      <c r="AW11" s="255">
        <v>14.393000000000001</v>
      </c>
      <c r="AX11" s="255">
        <v>14.273</v>
      </c>
      <c r="AY11" s="317">
        <v>13.709</v>
      </c>
      <c r="AZ11" s="333">
        <v>15.262</v>
      </c>
      <c r="BA11" s="255">
        <v>14.618</v>
      </c>
      <c r="BB11" s="255">
        <v>15.250999999999999</v>
      </c>
      <c r="BC11" s="255">
        <v>15.74</v>
      </c>
      <c r="BD11" s="255">
        <v>16.094999999999999</v>
      </c>
      <c r="BE11" s="255">
        <v>14.513</v>
      </c>
      <c r="BF11" s="255">
        <v>14.006</v>
      </c>
      <c r="BG11" s="422"/>
      <c r="BH11" s="256">
        <v>16.5</v>
      </c>
      <c r="BI11" s="256">
        <v>23</v>
      </c>
      <c r="BJ11" s="256">
        <v>24</v>
      </c>
      <c r="BK11" s="309">
        <v>26.5</v>
      </c>
      <c r="BL11" s="321">
        <v>25.5</v>
      </c>
      <c r="BM11" s="256">
        <v>23.5</v>
      </c>
      <c r="BN11" s="256">
        <v>21.5</v>
      </c>
      <c r="BO11" s="256">
        <v>21.5</v>
      </c>
      <c r="BP11" s="256">
        <v>21.5</v>
      </c>
      <c r="BQ11" s="309">
        <v>20.3</v>
      </c>
      <c r="BR11" s="321">
        <v>18.399999999999999</v>
      </c>
      <c r="BS11" s="256">
        <v>20.8</v>
      </c>
      <c r="BT11" s="256">
        <v>23.8</v>
      </c>
      <c r="BU11" s="256">
        <v>21</v>
      </c>
      <c r="BV11" s="256">
        <v>19.899999999999999</v>
      </c>
      <c r="BW11" s="256">
        <v>19.5</v>
      </c>
      <c r="BX11" s="256">
        <v>24.4</v>
      </c>
      <c r="BZ11" s="253" t="s">
        <v>201</v>
      </c>
      <c r="CA11" s="256">
        <v>6.23</v>
      </c>
      <c r="CB11" s="256">
        <v>3.97</v>
      </c>
      <c r="CC11" s="256">
        <v>5.1100000000000003</v>
      </c>
      <c r="CD11" s="309">
        <v>5.36</v>
      </c>
      <c r="CE11" s="321">
        <v>9.9600000000000009</v>
      </c>
      <c r="CF11" s="256">
        <v>10.14</v>
      </c>
      <c r="CG11" s="256">
        <v>9.98</v>
      </c>
      <c r="CH11" s="256">
        <v>10.06</v>
      </c>
      <c r="CI11" s="256">
        <v>9.68</v>
      </c>
      <c r="CJ11" s="309">
        <v>9.5299999999999994</v>
      </c>
      <c r="CK11" s="321">
        <v>10.44</v>
      </c>
      <c r="CL11" s="256">
        <v>10.119999999999999</v>
      </c>
      <c r="CM11" s="256">
        <v>10.18</v>
      </c>
      <c r="CN11" s="256">
        <v>10.24</v>
      </c>
      <c r="CO11" s="256">
        <v>9.8699999999999992</v>
      </c>
      <c r="CP11" s="256">
        <v>9.8699999999999992</v>
      </c>
      <c r="CQ11" s="256">
        <v>0</v>
      </c>
      <c r="CS11" s="256">
        <v>13.81</v>
      </c>
      <c r="CT11" s="256">
        <f t="shared" si="0"/>
        <v>0.19</v>
      </c>
      <c r="CU11" s="256">
        <v>0.19</v>
      </c>
      <c r="CV11" s="309">
        <v>0.08</v>
      </c>
      <c r="CW11" s="321">
        <v>0.3</v>
      </c>
      <c r="CX11" s="256">
        <v>0.4</v>
      </c>
      <c r="CY11" s="256">
        <v>0.28999999999999998</v>
      </c>
      <c r="CZ11" s="256">
        <v>0.3</v>
      </c>
      <c r="DA11" s="256">
        <v>0.33</v>
      </c>
      <c r="DB11" s="309">
        <v>0.32</v>
      </c>
      <c r="DC11" s="321">
        <v>0.6</v>
      </c>
      <c r="DD11" s="256">
        <v>0.8</v>
      </c>
      <c r="DE11" s="256">
        <v>0.79</v>
      </c>
      <c r="DF11" s="256">
        <v>0.46</v>
      </c>
      <c r="DG11" s="256">
        <v>0.53</v>
      </c>
      <c r="DH11" s="256">
        <v>0.53</v>
      </c>
      <c r="DI11" s="256">
        <v>0</v>
      </c>
      <c r="DJ11" s="1" t="s">
        <v>201</v>
      </c>
    </row>
    <row r="12" spans="3:114" x14ac:dyDescent="0.25">
      <c r="C12" s="1" t="s">
        <v>105</v>
      </c>
      <c r="F12" s="365">
        <v>4.7430000000000003</v>
      </c>
      <c r="G12" s="366">
        <v>4.7430000000000003</v>
      </c>
      <c r="H12" s="366">
        <v>4.7430000000000003</v>
      </c>
      <c r="I12" s="1324">
        <v>4.7430000000000003</v>
      </c>
      <c r="J12" s="365">
        <v>0.47199999999999998</v>
      </c>
      <c r="K12" s="366">
        <v>0.47199999999999998</v>
      </c>
      <c r="L12" s="366">
        <v>0.47199999999999998</v>
      </c>
      <c r="M12" s="366">
        <v>0.47199999999999998</v>
      </c>
      <c r="N12" s="1400">
        <v>0.47199999999999998</v>
      </c>
      <c r="O12" s="1324">
        <v>0.47199999999999998</v>
      </c>
      <c r="P12" s="365">
        <v>0.80500000000000005</v>
      </c>
      <c r="Q12" s="366">
        <v>0.80500000000000005</v>
      </c>
      <c r="R12" s="366">
        <v>0.80500000000000005</v>
      </c>
      <c r="S12" s="1400">
        <v>0.80500000000000005</v>
      </c>
      <c r="T12" s="1400">
        <v>0.80500000000000005</v>
      </c>
      <c r="U12" s="1400">
        <v>0.80500000000000005</v>
      </c>
      <c r="V12" s="366">
        <v>0.80500000000000005</v>
      </c>
      <c r="W12" s="445"/>
      <c r="X12" s="326">
        <v>7.742</v>
      </c>
      <c r="Y12" s="251">
        <v>10.257</v>
      </c>
      <c r="Z12" s="251">
        <v>10.558</v>
      </c>
      <c r="AA12" s="236">
        <v>0</v>
      </c>
      <c r="AB12" s="326">
        <v>15.266999999999999</v>
      </c>
      <c r="AC12" s="251">
        <v>12.727</v>
      </c>
      <c r="AD12" s="251">
        <v>12.381</v>
      </c>
      <c r="AE12" s="251">
        <v>10.598000000000001</v>
      </c>
      <c r="AF12" s="241">
        <v>0</v>
      </c>
      <c r="AG12" s="240">
        <v>0</v>
      </c>
      <c r="AH12" s="320">
        <v>0</v>
      </c>
      <c r="AI12" s="241">
        <v>10.946</v>
      </c>
      <c r="AJ12" s="241">
        <v>12.404999999999999</v>
      </c>
      <c r="AK12" s="241">
        <v>0</v>
      </c>
      <c r="AL12" s="241">
        <v>0</v>
      </c>
      <c r="AM12" s="241">
        <v>0</v>
      </c>
      <c r="AP12" s="255">
        <v>16.82</v>
      </c>
      <c r="AQ12" s="255">
        <v>16.152000000000001</v>
      </c>
      <c r="AR12" s="255">
        <v>17.013000000000002</v>
      </c>
      <c r="AS12" s="317">
        <v>16.838000000000001</v>
      </c>
      <c r="AT12" s="333">
        <v>26.524000000000001</v>
      </c>
      <c r="AU12" s="255">
        <v>23.327999999999999</v>
      </c>
      <c r="AV12" s="255">
        <v>24.245000000000001</v>
      </c>
      <c r="AW12" s="255">
        <v>24.225999999999999</v>
      </c>
      <c r="AX12" s="255">
        <v>23.512</v>
      </c>
      <c r="AY12" s="317">
        <v>22.968</v>
      </c>
      <c r="AZ12" s="333">
        <v>23</v>
      </c>
      <c r="BA12" s="255">
        <v>22.116</v>
      </c>
      <c r="BB12" s="255">
        <v>24.204000000000001</v>
      </c>
      <c r="BC12" s="255">
        <v>24.353999999999999</v>
      </c>
      <c r="BD12" s="255">
        <v>24.951000000000001</v>
      </c>
      <c r="BE12" s="255">
        <v>22.513000000000002</v>
      </c>
      <c r="BF12" s="255">
        <v>21.085000000000001</v>
      </c>
      <c r="BG12" s="422"/>
      <c r="BH12" s="256">
        <v>9</v>
      </c>
      <c r="BI12" s="256">
        <v>8</v>
      </c>
      <c r="BJ12" s="256">
        <v>7</v>
      </c>
      <c r="BK12" s="309">
        <v>7.5</v>
      </c>
      <c r="BL12" s="321">
        <v>7</v>
      </c>
      <c r="BM12" s="256">
        <v>4.5</v>
      </c>
      <c r="BN12" s="256">
        <v>3.5</v>
      </c>
      <c r="BO12" s="256">
        <v>3.5</v>
      </c>
      <c r="BP12" s="256">
        <v>3.5</v>
      </c>
      <c r="BQ12" s="309">
        <v>3.4</v>
      </c>
      <c r="BR12" s="321">
        <v>3.1</v>
      </c>
      <c r="BS12" s="256">
        <v>5.6</v>
      </c>
      <c r="BT12" s="256">
        <v>4.7</v>
      </c>
      <c r="BU12" s="256">
        <v>3.9</v>
      </c>
      <c r="BV12" s="256">
        <v>3.4</v>
      </c>
      <c r="BW12" s="256">
        <v>3.2</v>
      </c>
      <c r="BX12" s="256">
        <v>3.8</v>
      </c>
      <c r="BZ12" s="253" t="s">
        <v>378</v>
      </c>
      <c r="CA12" s="256">
        <v>7.1</v>
      </c>
      <c r="CB12" s="256">
        <v>3.76</v>
      </c>
      <c r="CC12" s="256">
        <v>8.26</v>
      </c>
      <c r="CD12" s="309">
        <v>3.85</v>
      </c>
      <c r="CE12" s="321">
        <v>5.97</v>
      </c>
      <c r="CF12" s="256">
        <v>6.61</v>
      </c>
      <c r="CG12" s="256">
        <v>6.63</v>
      </c>
      <c r="CH12" s="256">
        <v>7.15</v>
      </c>
      <c r="CI12" s="256">
        <v>6.65</v>
      </c>
      <c r="CJ12" s="309">
        <v>6.43</v>
      </c>
      <c r="CK12" s="321">
        <v>6.95</v>
      </c>
      <c r="CL12" s="256">
        <v>6.46</v>
      </c>
      <c r="CM12" s="256">
        <v>6.82</v>
      </c>
      <c r="CN12" s="256">
        <v>6.76</v>
      </c>
      <c r="CO12" s="256">
        <v>7.04</v>
      </c>
      <c r="CP12" s="256">
        <v>7.04</v>
      </c>
      <c r="CQ12" s="256">
        <v>0</v>
      </c>
      <c r="CS12" s="256">
        <v>12.58</v>
      </c>
      <c r="CT12" s="256">
        <f t="shared" si="0"/>
        <v>0.7</v>
      </c>
      <c r="CU12" s="256">
        <v>0.7</v>
      </c>
      <c r="CV12" s="309">
        <v>0.23</v>
      </c>
      <c r="CW12" s="321">
        <v>0.45</v>
      </c>
      <c r="CX12" s="256">
        <v>0.52</v>
      </c>
      <c r="CY12" s="256">
        <v>0.41</v>
      </c>
      <c r="CZ12" s="256">
        <v>0.42</v>
      </c>
      <c r="DA12" s="256">
        <v>0.42</v>
      </c>
      <c r="DB12" s="309">
        <v>0.4</v>
      </c>
      <c r="DC12" s="321">
        <v>0.78</v>
      </c>
      <c r="DD12" s="256">
        <v>0.93</v>
      </c>
      <c r="DE12" s="256">
        <v>0.91</v>
      </c>
      <c r="DF12" s="256">
        <v>0.56999999999999995</v>
      </c>
      <c r="DG12" s="256">
        <v>0.61</v>
      </c>
      <c r="DH12" s="256">
        <v>0.61</v>
      </c>
      <c r="DI12" s="256">
        <v>0</v>
      </c>
      <c r="DJ12" s="1" t="s">
        <v>378</v>
      </c>
    </row>
    <row r="13" spans="3:114" x14ac:dyDescent="0.25">
      <c r="C13" s="1" t="s">
        <v>100</v>
      </c>
      <c r="F13" s="365">
        <v>5.3239999999999998</v>
      </c>
      <c r="G13" s="366">
        <v>5.3239999999999998</v>
      </c>
      <c r="H13" s="366">
        <v>5.3239999999999998</v>
      </c>
      <c r="I13" s="1324">
        <v>5.3239999999999998</v>
      </c>
      <c r="J13" s="365">
        <v>3.141</v>
      </c>
      <c r="K13" s="366">
        <v>3.141</v>
      </c>
      <c r="L13" s="366">
        <v>3.141</v>
      </c>
      <c r="M13" s="366">
        <v>3.141</v>
      </c>
      <c r="N13" s="1400">
        <v>3.141</v>
      </c>
      <c r="O13" s="1324">
        <v>3.141</v>
      </c>
      <c r="P13" s="365">
        <v>5.2809999999999997</v>
      </c>
      <c r="Q13" s="366">
        <v>5.2809999999999997</v>
      </c>
      <c r="R13" s="366">
        <v>5.2809999999999997</v>
      </c>
      <c r="S13" s="1400">
        <v>5.2809999999999997</v>
      </c>
      <c r="T13" s="1400">
        <v>5.2809999999999997</v>
      </c>
      <c r="U13" s="1400">
        <v>5.2809999999999997</v>
      </c>
      <c r="V13" s="366">
        <v>5.2809999999999997</v>
      </c>
      <c r="W13" s="445"/>
      <c r="X13" s="326">
        <v>5.5439999999999996</v>
      </c>
      <c r="Y13" s="251">
        <v>8.6440000000000001</v>
      </c>
      <c r="Z13" s="251">
        <v>9.3650000000000002</v>
      </c>
      <c r="AA13" s="236">
        <v>0</v>
      </c>
      <c r="AB13" s="326">
        <v>15.403</v>
      </c>
      <c r="AC13" s="251">
        <v>11.484999999999999</v>
      </c>
      <c r="AD13" s="251">
        <v>10.702</v>
      </c>
      <c r="AE13" s="251">
        <v>9.6229999999999993</v>
      </c>
      <c r="AF13" s="241">
        <v>0</v>
      </c>
      <c r="AG13" s="240">
        <v>0</v>
      </c>
      <c r="AH13" s="320">
        <v>0</v>
      </c>
      <c r="AI13" s="241">
        <v>9.8729999999999993</v>
      </c>
      <c r="AJ13" s="241">
        <v>10.145</v>
      </c>
      <c r="AK13" s="241">
        <v>0</v>
      </c>
      <c r="AL13" s="241">
        <v>0</v>
      </c>
      <c r="AM13" s="241">
        <v>0</v>
      </c>
      <c r="AP13" s="255">
        <v>13.346</v>
      </c>
      <c r="AQ13" s="255">
        <v>11.814</v>
      </c>
      <c r="AR13" s="255">
        <v>12.590999999999999</v>
      </c>
      <c r="AS13" s="317">
        <v>12.481999999999999</v>
      </c>
      <c r="AT13" s="333">
        <v>12.973000000000001</v>
      </c>
      <c r="AU13" s="255">
        <v>12.542</v>
      </c>
      <c r="AV13" s="255">
        <v>13.506</v>
      </c>
      <c r="AW13" s="255">
        <v>13.202999999999999</v>
      </c>
      <c r="AX13" s="255">
        <v>12.878</v>
      </c>
      <c r="AY13" s="317">
        <v>12.824999999999999</v>
      </c>
      <c r="AZ13" s="333">
        <v>12.103999999999999</v>
      </c>
      <c r="BA13" s="255">
        <v>11.558</v>
      </c>
      <c r="BB13" s="255">
        <v>12.454000000000001</v>
      </c>
      <c r="BC13" s="255">
        <v>12.411</v>
      </c>
      <c r="BD13" s="255">
        <v>12.65</v>
      </c>
      <c r="BE13" s="255">
        <v>11.971</v>
      </c>
      <c r="BF13" s="255">
        <v>11.154999999999999</v>
      </c>
      <c r="BG13" s="422"/>
      <c r="BH13" s="256">
        <v>0</v>
      </c>
      <c r="BI13" s="256">
        <v>0</v>
      </c>
      <c r="BJ13" s="256">
        <v>0</v>
      </c>
      <c r="BK13" s="309">
        <v>0</v>
      </c>
      <c r="BL13" s="321">
        <v>0</v>
      </c>
      <c r="BM13" s="256">
        <v>0</v>
      </c>
      <c r="BN13" s="256">
        <v>0</v>
      </c>
      <c r="BO13" s="256">
        <v>0</v>
      </c>
      <c r="BP13" s="256">
        <v>0</v>
      </c>
      <c r="BQ13" s="309">
        <v>0</v>
      </c>
      <c r="BR13" s="321">
        <v>0</v>
      </c>
      <c r="BS13" s="256">
        <v>0</v>
      </c>
      <c r="BT13" s="256">
        <v>0</v>
      </c>
      <c r="BU13" s="256">
        <v>0</v>
      </c>
      <c r="BV13" s="256">
        <v>0</v>
      </c>
      <c r="BW13" s="256">
        <v>0</v>
      </c>
      <c r="BX13" s="256">
        <v>0</v>
      </c>
      <c r="BZ13" s="253" t="s">
        <v>203</v>
      </c>
      <c r="CA13" s="256">
        <v>8.67</v>
      </c>
      <c r="CB13" s="256">
        <v>6.83</v>
      </c>
      <c r="CC13" s="256">
        <v>6.02</v>
      </c>
      <c r="CD13" s="309">
        <v>3.91</v>
      </c>
      <c r="CE13" s="321">
        <v>3.82</v>
      </c>
      <c r="CF13" s="256">
        <v>5.28</v>
      </c>
      <c r="CG13" s="256">
        <v>5.93</v>
      </c>
      <c r="CH13" s="256">
        <v>7.85</v>
      </c>
      <c r="CI13" s="256">
        <v>7.04</v>
      </c>
      <c r="CJ13" s="309">
        <v>7.2</v>
      </c>
      <c r="CK13" s="321">
        <v>7.24</v>
      </c>
      <c r="CL13" s="256">
        <v>5.23</v>
      </c>
      <c r="CM13" s="256">
        <v>6.38</v>
      </c>
      <c r="CN13" s="256">
        <v>5.68</v>
      </c>
      <c r="CO13" s="256">
        <v>8.67</v>
      </c>
      <c r="CP13" s="256">
        <v>8.67</v>
      </c>
      <c r="CQ13" s="256">
        <v>0</v>
      </c>
      <c r="CS13" s="256">
        <v>11.15</v>
      </c>
      <c r="CT13" s="256">
        <f t="shared" si="0"/>
        <v>0.35</v>
      </c>
      <c r="CU13" s="256">
        <v>0.35</v>
      </c>
      <c r="CV13" s="309">
        <v>0.23</v>
      </c>
      <c r="CW13" s="321">
        <v>1.59</v>
      </c>
      <c r="CX13" s="256">
        <v>1.48</v>
      </c>
      <c r="CY13" s="256">
        <v>1.52</v>
      </c>
      <c r="CZ13" s="256">
        <v>1.43</v>
      </c>
      <c r="DA13" s="256">
        <v>1.31</v>
      </c>
      <c r="DB13" s="309">
        <v>1.04</v>
      </c>
      <c r="DC13" s="321">
        <v>1.72</v>
      </c>
      <c r="DD13" s="256">
        <v>2.2000000000000002</v>
      </c>
      <c r="DE13" s="256">
        <v>2.0099999999999998</v>
      </c>
      <c r="DF13" s="256">
        <v>1.72</v>
      </c>
      <c r="DG13" s="256">
        <v>1.44</v>
      </c>
      <c r="DH13" s="256">
        <v>1.44</v>
      </c>
      <c r="DI13" s="256">
        <v>0</v>
      </c>
      <c r="DJ13" s="1" t="s">
        <v>203</v>
      </c>
    </row>
    <row r="14" spans="3:114" ht="15.75" thickBot="1" x14ac:dyDescent="0.3">
      <c r="C14" s="1" t="s">
        <v>407</v>
      </c>
      <c r="F14" s="368">
        <v>88.620999999999995</v>
      </c>
      <c r="G14" s="369">
        <v>88.620999999999995</v>
      </c>
      <c r="H14" s="369">
        <v>88.620999999999995</v>
      </c>
      <c r="I14" s="1325">
        <v>88.620999999999995</v>
      </c>
      <c r="J14" s="368">
        <v>96.192000000000007</v>
      </c>
      <c r="K14" s="369">
        <v>96.192000000000007</v>
      </c>
      <c r="L14" s="369">
        <v>96.192000000000007</v>
      </c>
      <c r="M14" s="369">
        <v>96.192000000000007</v>
      </c>
      <c r="N14" s="1401">
        <v>96.192000000000007</v>
      </c>
      <c r="O14" s="1325">
        <v>96.192000000000007</v>
      </c>
      <c r="P14" s="368">
        <v>93.694999999999993</v>
      </c>
      <c r="Q14" s="369">
        <v>93.694999999999993</v>
      </c>
      <c r="R14" s="369">
        <v>93.694999999999993</v>
      </c>
      <c r="S14" s="1401">
        <v>93.694999999999993</v>
      </c>
      <c r="T14" s="1401">
        <v>93.694999999999993</v>
      </c>
      <c r="U14" s="1401">
        <v>93.694999999999993</v>
      </c>
      <c r="V14" s="369">
        <v>93.694999999999993</v>
      </c>
      <c r="W14" s="476"/>
      <c r="X14" s="353">
        <v>29.155000000000001</v>
      </c>
      <c r="Y14" s="228">
        <v>73.093000000000004</v>
      </c>
      <c r="Z14" s="228">
        <v>75.605000000000004</v>
      </c>
      <c r="AA14" s="229">
        <v>100</v>
      </c>
      <c r="AB14" s="353">
        <v>62.6</v>
      </c>
      <c r="AC14" s="228">
        <v>68.793999999999997</v>
      </c>
      <c r="AD14" s="228">
        <v>68.037000000000006</v>
      </c>
      <c r="AE14" s="228">
        <v>72.347999999999999</v>
      </c>
      <c r="AF14" s="228">
        <v>100</v>
      </c>
      <c r="AG14" s="229">
        <v>100</v>
      </c>
      <c r="AH14" s="353">
        <v>100</v>
      </c>
      <c r="AI14" s="228">
        <v>73.462000000000003</v>
      </c>
      <c r="AJ14" s="228">
        <v>68.540000000000006</v>
      </c>
      <c r="AK14" s="228">
        <v>100</v>
      </c>
      <c r="AL14" s="228">
        <v>100</v>
      </c>
      <c r="AM14" s="228">
        <v>100</v>
      </c>
      <c r="AN14" s="228"/>
      <c r="AO14" s="463"/>
      <c r="AP14" s="787">
        <v>60.116</v>
      </c>
      <c r="AQ14" s="787">
        <v>63.283000000000001</v>
      </c>
      <c r="AR14" s="787">
        <v>61.009</v>
      </c>
      <c r="AS14" s="788">
        <v>61.402000000000001</v>
      </c>
      <c r="AT14" s="782">
        <v>35.090999999999994</v>
      </c>
      <c r="AU14" s="783">
        <v>41.009</v>
      </c>
      <c r="AV14" s="783">
        <v>38.590999999999994</v>
      </c>
      <c r="AW14" s="783">
        <v>39.491</v>
      </c>
      <c r="AX14" s="783">
        <v>40.328000000000003</v>
      </c>
      <c r="AY14" s="784">
        <v>42.016999999999996</v>
      </c>
      <c r="AZ14" s="785">
        <v>39.75</v>
      </c>
      <c r="BA14" s="786">
        <v>42.173999999999999</v>
      </c>
      <c r="BB14" s="786">
        <v>39.064</v>
      </c>
      <c r="BC14" s="786">
        <v>36.615000000000002</v>
      </c>
      <c r="BD14" s="786">
        <v>35.620999999999995</v>
      </c>
      <c r="BE14" s="786">
        <v>43.040999999999997</v>
      </c>
      <c r="BF14" s="786">
        <v>45.424999999999997</v>
      </c>
      <c r="BG14" s="477"/>
      <c r="BH14" s="370">
        <v>0</v>
      </c>
      <c r="BI14" s="370">
        <v>0</v>
      </c>
      <c r="BJ14" s="370">
        <v>0</v>
      </c>
      <c r="BK14" s="225">
        <v>0</v>
      </c>
      <c r="BL14" s="371">
        <v>0</v>
      </c>
      <c r="BM14" s="370">
        <v>0</v>
      </c>
      <c r="BN14" s="370">
        <v>0</v>
      </c>
      <c r="BO14" s="370">
        <v>0</v>
      </c>
      <c r="BP14" s="370">
        <v>0</v>
      </c>
      <c r="BQ14" s="225">
        <v>0</v>
      </c>
      <c r="BR14" s="371">
        <v>0</v>
      </c>
      <c r="BS14" s="370">
        <v>0</v>
      </c>
      <c r="BT14" s="370">
        <v>0</v>
      </c>
      <c r="BU14" s="370">
        <v>0</v>
      </c>
      <c r="BV14" s="370">
        <v>0</v>
      </c>
      <c r="BW14" s="370">
        <v>0</v>
      </c>
      <c r="BX14" s="370">
        <v>0</v>
      </c>
      <c r="BY14" s="463"/>
      <c r="BZ14" s="478" t="s">
        <v>406</v>
      </c>
      <c r="CA14" s="370">
        <v>12.33</v>
      </c>
      <c r="CB14" s="370">
        <v>30.83</v>
      </c>
      <c r="CC14" s="370">
        <v>10.039999999999999</v>
      </c>
      <c r="CD14" s="225">
        <v>1.85</v>
      </c>
      <c r="CE14" s="371">
        <v>0.92</v>
      </c>
      <c r="CF14" s="370">
        <v>1.03</v>
      </c>
      <c r="CG14" s="370">
        <v>0.99</v>
      </c>
      <c r="CH14" s="370">
        <v>1.94</v>
      </c>
      <c r="CI14" s="370">
        <v>1.68</v>
      </c>
      <c r="CJ14" s="225">
        <v>1.7</v>
      </c>
      <c r="CK14" s="371">
        <v>1.45</v>
      </c>
      <c r="CL14" s="370">
        <v>0.7</v>
      </c>
      <c r="CM14" s="370">
        <v>0.62</v>
      </c>
      <c r="CN14" s="370">
        <v>0.51</v>
      </c>
      <c r="CO14" s="370">
        <v>1.63</v>
      </c>
      <c r="CP14" s="370">
        <v>1.63</v>
      </c>
      <c r="CQ14" s="370">
        <v>0</v>
      </c>
      <c r="CR14" s="463"/>
      <c r="CS14" s="370">
        <v>2.57</v>
      </c>
      <c r="CT14" s="370">
        <f t="shared" si="0"/>
        <v>0.55000000000000004</v>
      </c>
      <c r="CU14" s="370">
        <v>0.55000000000000004</v>
      </c>
      <c r="CV14" s="225">
        <v>0.34</v>
      </c>
      <c r="CW14" s="371">
        <v>0.42</v>
      </c>
      <c r="CX14" s="370">
        <v>0.36</v>
      </c>
      <c r="CY14" s="370">
        <v>0.37</v>
      </c>
      <c r="CZ14" s="370">
        <v>0.28000000000000003</v>
      </c>
      <c r="DA14" s="370">
        <v>0.25</v>
      </c>
      <c r="DB14" s="225">
        <v>0.18</v>
      </c>
      <c r="DC14" s="371">
        <v>0.24</v>
      </c>
      <c r="DD14" s="370">
        <v>0.4</v>
      </c>
      <c r="DE14" s="370">
        <v>0.3</v>
      </c>
      <c r="DF14" s="370">
        <v>0.4</v>
      </c>
      <c r="DG14" s="370">
        <v>0.26</v>
      </c>
      <c r="DH14" s="370">
        <v>0.26</v>
      </c>
      <c r="DI14" s="370">
        <v>0</v>
      </c>
      <c r="DJ14" s="1" t="s">
        <v>406</v>
      </c>
    </row>
    <row r="15" spans="3:114" s="360" customFormat="1" ht="16.5" thickTop="1" thickBot="1" x14ac:dyDescent="0.3">
      <c r="C15" s="374" t="s">
        <v>166</v>
      </c>
      <c r="D15" s="374"/>
      <c r="E15" s="374"/>
      <c r="F15" s="375">
        <v>100</v>
      </c>
      <c r="G15" s="376">
        <v>100</v>
      </c>
      <c r="H15" s="376">
        <v>100</v>
      </c>
      <c r="I15" s="1326">
        <v>100</v>
      </c>
      <c r="J15" s="375">
        <v>100</v>
      </c>
      <c r="K15" s="376">
        <v>100</v>
      </c>
      <c r="L15" s="376">
        <v>100</v>
      </c>
      <c r="M15" s="376">
        <v>100</v>
      </c>
      <c r="N15" s="1402">
        <v>100</v>
      </c>
      <c r="O15" s="1326">
        <v>100</v>
      </c>
      <c r="P15" s="375">
        <v>100</v>
      </c>
      <c r="Q15" s="376">
        <v>100</v>
      </c>
      <c r="R15" s="376">
        <v>100</v>
      </c>
      <c r="S15" s="1402">
        <v>100</v>
      </c>
      <c r="T15" s="1402">
        <v>100</v>
      </c>
      <c r="U15" s="1402">
        <v>100</v>
      </c>
      <c r="V15" s="376">
        <v>100</v>
      </c>
      <c r="W15" s="489"/>
      <c r="X15" s="392">
        <v>100</v>
      </c>
      <c r="Y15" s="389">
        <v>100</v>
      </c>
      <c r="Z15" s="389">
        <v>100</v>
      </c>
      <c r="AA15" s="390">
        <v>100</v>
      </c>
      <c r="AB15" s="392">
        <v>100</v>
      </c>
      <c r="AC15" s="389">
        <v>100</v>
      </c>
      <c r="AD15" s="389">
        <v>100</v>
      </c>
      <c r="AE15" s="389">
        <v>100</v>
      </c>
      <c r="AF15" s="389">
        <v>100</v>
      </c>
      <c r="AG15" s="390">
        <v>100</v>
      </c>
      <c r="AH15" s="392">
        <v>100</v>
      </c>
      <c r="AI15" s="389">
        <v>100</v>
      </c>
      <c r="AJ15" s="389">
        <v>100</v>
      </c>
      <c r="AK15" s="389">
        <v>100</v>
      </c>
      <c r="AL15" s="389">
        <v>100</v>
      </c>
      <c r="AM15" s="389">
        <v>100</v>
      </c>
      <c r="AN15" s="377"/>
      <c r="AO15" s="490"/>
      <c r="AP15" s="379">
        <v>100</v>
      </c>
      <c r="AQ15" s="379">
        <v>100</v>
      </c>
      <c r="AR15" s="379">
        <v>100</v>
      </c>
      <c r="AS15" s="380">
        <v>100</v>
      </c>
      <c r="AT15" s="381">
        <v>100</v>
      </c>
      <c r="AU15" s="379">
        <v>100</v>
      </c>
      <c r="AV15" s="379">
        <v>100</v>
      </c>
      <c r="AW15" s="379">
        <v>100</v>
      </c>
      <c r="AX15" s="379">
        <v>100</v>
      </c>
      <c r="AY15" s="380">
        <v>100</v>
      </c>
      <c r="AZ15" s="381">
        <v>100</v>
      </c>
      <c r="BA15" s="379">
        <v>100</v>
      </c>
      <c r="BB15" s="379">
        <v>100</v>
      </c>
      <c r="BC15" s="379">
        <v>100</v>
      </c>
      <c r="BD15" s="379">
        <v>100</v>
      </c>
      <c r="BE15" s="379">
        <v>100</v>
      </c>
      <c r="BF15" s="379">
        <v>100</v>
      </c>
      <c r="BG15" s="491"/>
      <c r="BH15" s="379">
        <v>100</v>
      </c>
      <c r="BI15" s="379">
        <v>100</v>
      </c>
      <c r="BJ15" s="379">
        <v>100</v>
      </c>
      <c r="BK15" s="380">
        <v>100</v>
      </c>
      <c r="BL15" s="381">
        <v>100</v>
      </c>
      <c r="BM15" s="379">
        <v>100</v>
      </c>
      <c r="BN15" s="379">
        <v>100</v>
      </c>
      <c r="BO15" s="379">
        <v>100</v>
      </c>
      <c r="BP15" s="379">
        <v>100</v>
      </c>
      <c r="BQ15" s="380">
        <v>100</v>
      </c>
      <c r="BR15" s="381">
        <v>100</v>
      </c>
      <c r="BS15" s="379">
        <v>99.999999999999986</v>
      </c>
      <c r="BT15" s="379">
        <v>100</v>
      </c>
      <c r="BU15" s="379">
        <v>100</v>
      </c>
      <c r="BV15" s="379">
        <v>100</v>
      </c>
      <c r="BW15" s="379">
        <v>100</v>
      </c>
      <c r="BX15" s="379">
        <v>99.999999999999986</v>
      </c>
      <c r="BY15" s="490"/>
      <c r="BZ15" s="492"/>
      <c r="CA15" s="377"/>
      <c r="CB15" s="377"/>
      <c r="CC15" s="377"/>
      <c r="CD15" s="359"/>
      <c r="CE15" s="378"/>
      <c r="CF15" s="377"/>
      <c r="CG15" s="377"/>
      <c r="CH15" s="377"/>
      <c r="CI15" s="377"/>
      <c r="CJ15" s="359"/>
      <c r="CK15" s="378"/>
      <c r="CL15" s="377"/>
      <c r="CM15" s="377"/>
      <c r="CN15" s="377"/>
      <c r="CO15" s="377"/>
      <c r="CP15" s="377"/>
      <c r="CQ15" s="377"/>
      <c r="CR15" s="490"/>
      <c r="CS15" s="377"/>
      <c r="CT15" s="377"/>
      <c r="CU15" s="377"/>
      <c r="CV15" s="359"/>
      <c r="CW15" s="378"/>
      <c r="CX15" s="377"/>
      <c r="CY15" s="377"/>
      <c r="CZ15" s="377"/>
      <c r="DA15" s="377"/>
      <c r="DB15" s="359"/>
      <c r="DC15" s="378"/>
      <c r="DD15" s="377"/>
      <c r="DE15" s="377"/>
      <c r="DF15" s="377"/>
      <c r="DG15" s="377"/>
      <c r="DH15" s="377"/>
      <c r="DI15" s="377"/>
    </row>
    <row r="16" spans="3:114" ht="16.350000000000001" customHeight="1" thickTop="1" x14ac:dyDescent="0.25">
      <c r="F16" s="354"/>
      <c r="G16" s="355"/>
      <c r="H16" s="355"/>
      <c r="I16" s="1327"/>
      <c r="J16" s="354"/>
      <c r="K16" s="355"/>
      <c r="L16" s="355"/>
      <c r="M16" s="355"/>
      <c r="N16" s="1403"/>
      <c r="O16" s="1327"/>
      <c r="P16" s="354"/>
      <c r="Q16" s="355"/>
      <c r="R16" s="355"/>
      <c r="S16" s="1403"/>
      <c r="T16" s="1403"/>
      <c r="U16" s="1403"/>
      <c r="V16" s="234"/>
      <c r="W16" s="468"/>
      <c r="X16" s="352"/>
      <c r="Y16" s="234"/>
      <c r="Z16" s="234"/>
      <c r="AA16" s="235"/>
      <c r="AB16" s="352"/>
      <c r="AC16" s="234"/>
      <c r="AD16" s="234"/>
      <c r="AE16" s="234"/>
      <c r="AF16" s="234"/>
      <c r="AG16" s="235"/>
      <c r="AH16" s="352"/>
      <c r="AI16" s="234"/>
      <c r="AJ16" s="234"/>
      <c r="AK16" s="234"/>
      <c r="AL16" s="234"/>
      <c r="AM16" s="234"/>
      <c r="AN16" s="234"/>
      <c r="AO16" s="486"/>
      <c r="AP16" s="372"/>
      <c r="AQ16" s="372"/>
      <c r="AR16" s="372"/>
      <c r="AS16" s="243"/>
      <c r="AT16" s="373"/>
      <c r="AU16" s="372"/>
      <c r="AV16" s="372"/>
      <c r="AW16" s="372"/>
      <c r="AX16" s="372"/>
      <c r="AY16" s="243"/>
      <c r="AZ16" s="373"/>
      <c r="BA16" s="372"/>
      <c r="BB16" s="372"/>
      <c r="BC16" s="372"/>
      <c r="BD16" s="372"/>
      <c r="BE16" s="372"/>
      <c r="BF16" s="372"/>
      <c r="BG16" s="487"/>
      <c r="BH16" s="372"/>
      <c r="BI16" s="372"/>
      <c r="BJ16" s="372"/>
      <c r="BK16" s="243"/>
      <c r="BL16" s="373"/>
      <c r="BM16" s="372"/>
      <c r="BN16" s="372"/>
      <c r="BO16" s="372"/>
      <c r="BP16" s="372"/>
      <c r="BQ16" s="243"/>
      <c r="BR16" s="373"/>
      <c r="BS16" s="372"/>
      <c r="BT16" s="372"/>
      <c r="BU16" s="372"/>
      <c r="BV16" s="372"/>
      <c r="BW16" s="372"/>
      <c r="BX16" s="234"/>
      <c r="BY16" s="486"/>
      <c r="BZ16" s="469" t="s">
        <v>46</v>
      </c>
      <c r="CA16" s="383" cm="1">
        <f t="array" ref="CA16:CQ16">'HPS DAILY'!J117:Z117</f>
        <v>0.3</v>
      </c>
      <c r="CB16" s="351">
        <v>0.36</v>
      </c>
      <c r="CC16" s="351">
        <v>0.2</v>
      </c>
      <c r="CD16" s="231">
        <v>0.32</v>
      </c>
      <c r="CE16" s="350">
        <v>0.38</v>
      </c>
      <c r="CF16" s="351">
        <v>0</v>
      </c>
      <c r="CG16" s="351">
        <v>0.19</v>
      </c>
      <c r="CH16" s="351">
        <v>0</v>
      </c>
      <c r="CI16" s="351">
        <v>0.72</v>
      </c>
      <c r="CJ16" s="231">
        <v>0.85</v>
      </c>
      <c r="CK16" s="350">
        <v>0.6</v>
      </c>
      <c r="CL16" s="351">
        <v>0.42</v>
      </c>
      <c r="CM16" s="351">
        <v>0.15</v>
      </c>
      <c r="CN16" s="351">
        <v>0.15</v>
      </c>
      <c r="CO16" s="351">
        <v>0.17</v>
      </c>
      <c r="CP16" s="351">
        <v>0.17</v>
      </c>
      <c r="CQ16" s="234">
        <v>0</v>
      </c>
      <c r="CR16" s="486"/>
      <c r="CS16" s="383" cm="1">
        <f t="array" ref="CS16:DI16">'HPS DAILY'!J104:Z104</f>
        <v>6.47</v>
      </c>
      <c r="CT16" s="351">
        <v>89.55</v>
      </c>
      <c r="CU16" s="351">
        <v>84.4</v>
      </c>
      <c r="CV16" s="231">
        <v>93.38</v>
      </c>
      <c r="CW16" s="350">
        <v>94.87</v>
      </c>
      <c r="CX16" s="351">
        <v>94.69</v>
      </c>
      <c r="CY16" s="351">
        <v>95.33</v>
      </c>
      <c r="CZ16" s="351">
        <v>95.25</v>
      </c>
      <c r="DA16" s="351">
        <v>95.3</v>
      </c>
      <c r="DB16" s="231">
        <v>95.56</v>
      </c>
      <c r="DC16" s="350">
        <v>94.2</v>
      </c>
      <c r="DD16" s="351">
        <v>91.87</v>
      </c>
      <c r="DE16" s="351">
        <v>92.08</v>
      </c>
      <c r="DF16" s="351">
        <v>95.43</v>
      </c>
      <c r="DG16" s="351">
        <v>95.42</v>
      </c>
      <c r="DH16" s="351">
        <v>95.42</v>
      </c>
      <c r="DI16" s="351">
        <v>0</v>
      </c>
      <c r="DJ16" s="1" t="s">
        <v>46</v>
      </c>
    </row>
    <row r="17" spans="3:113" s="506" customFormat="1" ht="7.5" customHeight="1" thickBot="1" x14ac:dyDescent="0.3">
      <c r="C17" s="499"/>
      <c r="D17" s="499"/>
      <c r="E17" s="499"/>
      <c r="F17" s="500"/>
      <c r="G17" s="501"/>
      <c r="H17" s="501"/>
      <c r="I17" s="1328"/>
      <c r="J17" s="500"/>
      <c r="K17" s="501"/>
      <c r="L17" s="501"/>
      <c r="M17" s="501"/>
      <c r="N17" s="1404"/>
      <c r="O17" s="1328"/>
      <c r="P17" s="500"/>
      <c r="Q17" s="501"/>
      <c r="R17" s="501"/>
      <c r="S17" s="1404"/>
      <c r="T17" s="1404"/>
      <c r="U17" s="1404"/>
      <c r="V17" s="501"/>
      <c r="W17" s="503"/>
      <c r="X17" s="500"/>
      <c r="Y17" s="501"/>
      <c r="Z17" s="501"/>
      <c r="AA17" s="502"/>
      <c r="AB17" s="500"/>
      <c r="AC17" s="501"/>
      <c r="AD17" s="501"/>
      <c r="AE17" s="501"/>
      <c r="AF17" s="501"/>
      <c r="AG17" s="502"/>
      <c r="AH17" s="500"/>
      <c r="AI17" s="501"/>
      <c r="AJ17" s="501"/>
      <c r="AK17" s="501"/>
      <c r="AL17" s="501"/>
      <c r="AM17" s="501"/>
      <c r="AN17" s="501"/>
      <c r="AO17" s="504"/>
      <c r="AP17" s="501"/>
      <c r="AQ17" s="501"/>
      <c r="AR17" s="501"/>
      <c r="AS17" s="502"/>
      <c r="AT17" s="500"/>
      <c r="AU17" s="501"/>
      <c r="AV17" s="501"/>
      <c r="AW17" s="501"/>
      <c r="AX17" s="501"/>
      <c r="AY17" s="502"/>
      <c r="AZ17" s="500"/>
      <c r="BA17" s="501"/>
      <c r="BB17" s="501"/>
      <c r="BC17" s="501"/>
      <c r="BD17" s="501"/>
      <c r="BE17" s="501"/>
      <c r="BF17" s="501"/>
      <c r="BG17" s="504"/>
      <c r="BH17" s="501"/>
      <c r="BI17" s="501"/>
      <c r="BJ17" s="501"/>
      <c r="BK17" s="502"/>
      <c r="BL17" s="500"/>
      <c r="BM17" s="501"/>
      <c r="BN17" s="501"/>
      <c r="BO17" s="501"/>
      <c r="BP17" s="501"/>
      <c r="BQ17" s="502"/>
      <c r="BR17" s="500"/>
      <c r="BS17" s="501"/>
      <c r="BT17" s="501"/>
      <c r="BU17" s="501"/>
      <c r="BV17" s="501"/>
      <c r="BW17" s="501"/>
      <c r="BX17" s="501"/>
      <c r="BY17" s="504"/>
      <c r="BZ17" s="505"/>
      <c r="CA17" s="501"/>
      <c r="CB17" s="501"/>
      <c r="CC17" s="501"/>
      <c r="CD17" s="502"/>
      <c r="CE17" s="500"/>
      <c r="CF17" s="501"/>
      <c r="CG17" s="501"/>
      <c r="CH17" s="501"/>
      <c r="CI17" s="501"/>
      <c r="CJ17" s="502"/>
      <c r="CK17" s="500"/>
      <c r="CL17" s="501"/>
      <c r="CM17" s="501"/>
      <c r="CN17" s="501"/>
      <c r="CO17" s="501"/>
      <c r="CP17" s="501"/>
      <c r="CQ17" s="501"/>
      <c r="CR17" s="504"/>
      <c r="CS17" s="501"/>
      <c r="CT17" s="501"/>
      <c r="CU17" s="501"/>
      <c r="CV17" s="502"/>
      <c r="CW17" s="500"/>
      <c r="CX17" s="501"/>
      <c r="CY17" s="501"/>
      <c r="CZ17" s="501"/>
      <c r="DA17" s="501"/>
      <c r="DB17" s="502"/>
      <c r="DC17" s="500"/>
      <c r="DD17" s="501"/>
      <c r="DE17" s="501"/>
      <c r="DF17" s="501"/>
      <c r="DG17" s="501"/>
      <c r="DH17" s="501"/>
      <c r="DI17" s="501"/>
    </row>
    <row r="18" spans="3:113" ht="15.75" thickTop="1" x14ac:dyDescent="0.25">
      <c r="C18" s="1" t="s">
        <v>96</v>
      </c>
      <c r="F18" s="350">
        <f>'HPS DAILY'!$G$42</f>
        <v>57.54</v>
      </c>
      <c r="G18" s="351">
        <f>'HPS DAILY'!$G$42</f>
        <v>57.54</v>
      </c>
      <c r="H18" s="351">
        <f>'HPS DAILY'!$G$42</f>
        <v>57.54</v>
      </c>
      <c r="I18" s="1329">
        <f>'HPS DAILY'!$G$42</f>
        <v>57.54</v>
      </c>
      <c r="J18" s="496">
        <f>'HPS DAILY'!$H$42</f>
        <v>113.36</v>
      </c>
      <c r="K18" s="497">
        <f>'HPS DAILY'!$H$42</f>
        <v>113.36</v>
      </c>
      <c r="L18" s="497">
        <f>'HPS DAILY'!$H$42</f>
        <v>113.36</v>
      </c>
      <c r="M18" s="497">
        <f>'HPS DAILY'!$H$42</f>
        <v>113.36</v>
      </c>
      <c r="N18" s="1405">
        <f>'HPS DAILY'!$H$42</f>
        <v>113.36</v>
      </c>
      <c r="O18" s="1406">
        <f>'HPS DAILY'!$H$42</f>
        <v>113.36</v>
      </c>
      <c r="P18" s="350">
        <f>'HPS DAILY'!$I$42</f>
        <v>171.3</v>
      </c>
      <c r="Q18" s="351">
        <f>'HPS DAILY'!$I$42</f>
        <v>171.3</v>
      </c>
      <c r="R18" s="351">
        <f>'HPS DAILY'!$I$42</f>
        <v>171.3</v>
      </c>
      <c r="S18" s="1412">
        <f>'HPS DAILY'!$I$42</f>
        <v>171.3</v>
      </c>
      <c r="T18" s="1412">
        <f>'HPS DAILY'!$I$42</f>
        <v>171.3</v>
      </c>
      <c r="U18" s="1412">
        <f>'HPS DAILY'!$I$42</f>
        <v>171.3</v>
      </c>
      <c r="V18" s="351">
        <f>'HPS DAILY'!$I$42</f>
        <v>171.3</v>
      </c>
      <c r="W18" s="498"/>
      <c r="X18" s="350">
        <f>ISV!G$41</f>
        <v>269.69</v>
      </c>
      <c r="Y18" s="351">
        <f>ISV!H$41</f>
        <v>1886.78</v>
      </c>
      <c r="Z18" s="351">
        <f>ISV!I$41</f>
        <v>88.02</v>
      </c>
      <c r="AA18" s="231">
        <f>ISV!J$41</f>
        <v>0</v>
      </c>
      <c r="AB18" s="350">
        <f>ISV!K$41</f>
        <v>75.77</v>
      </c>
      <c r="AC18" s="351">
        <f>ISV!L$41</f>
        <v>151.41</v>
      </c>
      <c r="AD18" s="351">
        <f>ISV!M$41</f>
        <v>137.30000000000001</v>
      </c>
      <c r="AE18" s="351">
        <f>ISV!N$41</f>
        <v>120.12</v>
      </c>
      <c r="AF18" s="351">
        <f>ISV!O$41</f>
        <v>0</v>
      </c>
      <c r="AG18" s="231">
        <f>ISV!P$41</f>
        <v>0</v>
      </c>
      <c r="AH18" s="350">
        <f>ISV!Q$41</f>
        <v>0</v>
      </c>
      <c r="AI18" s="351">
        <f>ISV!R$41</f>
        <v>181.05</v>
      </c>
      <c r="AJ18" s="351">
        <f>ISV!S$41</f>
        <v>231.47</v>
      </c>
      <c r="AK18" s="351">
        <f>ISV!T$41</f>
        <v>216.66</v>
      </c>
      <c r="AL18" s="351">
        <f>ISV!U$41</f>
        <v>0</v>
      </c>
      <c r="AM18" s="351">
        <f>ISV!V$41</f>
        <v>0</v>
      </c>
      <c r="AN18" s="351"/>
      <c r="AO18" s="487"/>
      <c r="AP18" s="383" cm="1">
        <f t="array" ref="AP18:BF18">'HPS DAILY'!J42:Z42</f>
        <v>23.22</v>
      </c>
      <c r="AQ18" s="383">
        <v>21.56</v>
      </c>
      <c r="AR18" s="383">
        <v>20.83</v>
      </c>
      <c r="AS18" s="232">
        <v>20.440000000000001</v>
      </c>
      <c r="AT18" s="384">
        <v>15.95</v>
      </c>
      <c r="AU18" s="383">
        <v>19.940000000000001</v>
      </c>
      <c r="AV18" s="383">
        <v>22.84</v>
      </c>
      <c r="AW18" s="383">
        <v>21.74</v>
      </c>
      <c r="AX18" s="383">
        <v>25.13</v>
      </c>
      <c r="AY18" s="232">
        <v>24.63</v>
      </c>
      <c r="AZ18" s="384">
        <v>24.52</v>
      </c>
      <c r="BA18" s="383">
        <v>30.84</v>
      </c>
      <c r="BB18" s="383">
        <v>41.32</v>
      </c>
      <c r="BC18" s="383">
        <v>34.82</v>
      </c>
      <c r="BD18" s="383">
        <v>47.78</v>
      </c>
      <c r="BE18" s="383">
        <v>42.98</v>
      </c>
      <c r="BF18" s="351">
        <v>48.83</v>
      </c>
      <c r="BG18" s="487"/>
      <c r="BH18" s="351"/>
      <c r="BI18" s="351"/>
      <c r="BJ18" s="351"/>
      <c r="BK18" s="231"/>
      <c r="BL18" s="350"/>
      <c r="BM18" s="351"/>
      <c r="BN18" s="351"/>
      <c r="BO18" s="351"/>
      <c r="BP18" s="351"/>
      <c r="BQ18" s="231"/>
      <c r="BR18" s="350"/>
      <c r="BS18" s="351"/>
      <c r="BT18" s="351"/>
      <c r="BU18" s="351"/>
      <c r="BV18" s="351"/>
      <c r="BW18" s="351"/>
      <c r="BX18" s="234"/>
      <c r="BY18" s="486"/>
      <c r="BZ18" s="488"/>
      <c r="CA18" s="234"/>
      <c r="CB18" s="234"/>
      <c r="CC18" s="234"/>
      <c r="CD18" s="235"/>
      <c r="CE18" s="352"/>
      <c r="CF18" s="234"/>
      <c r="CG18" s="234"/>
      <c r="CH18" s="234"/>
      <c r="CI18" s="234"/>
      <c r="CJ18" s="235"/>
      <c r="CK18" s="352"/>
      <c r="CL18" s="234"/>
      <c r="CM18" s="234"/>
      <c r="CN18" s="234"/>
      <c r="CO18" s="234"/>
      <c r="CP18" s="234"/>
      <c r="CQ18" s="234"/>
      <c r="CR18" s="486"/>
      <c r="CS18" s="234"/>
      <c r="CT18" s="234"/>
      <c r="CU18" s="234"/>
      <c r="CV18" s="235"/>
      <c r="CW18" s="352"/>
      <c r="CX18" s="234"/>
      <c r="CY18" s="234"/>
      <c r="CZ18" s="234"/>
      <c r="DA18" s="234"/>
      <c r="DB18" s="235"/>
      <c r="DC18" s="352"/>
      <c r="DD18" s="234"/>
      <c r="DE18" s="234"/>
      <c r="DF18" s="234"/>
      <c r="DG18" s="234"/>
      <c r="DH18" s="234"/>
      <c r="DI18" s="234"/>
    </row>
    <row r="19" spans="3:113" x14ac:dyDescent="0.25">
      <c r="C19" s="637" t="s">
        <v>317</v>
      </c>
      <c r="J19" s="320">
        <v>97.9</v>
      </c>
      <c r="K19" s="241">
        <v>97.9</v>
      </c>
      <c r="L19" s="241">
        <v>97.9</v>
      </c>
      <c r="M19" s="241">
        <v>97.9</v>
      </c>
      <c r="N19" s="1407">
        <v>97.9</v>
      </c>
      <c r="O19" s="1407">
        <v>97.9</v>
      </c>
      <c r="P19" s="321">
        <v>138</v>
      </c>
      <c r="Q19" s="256">
        <v>138</v>
      </c>
      <c r="R19" s="256">
        <v>138</v>
      </c>
      <c r="S19" s="1413">
        <v>138</v>
      </c>
      <c r="T19" s="1413">
        <v>138</v>
      </c>
      <c r="U19" s="1413">
        <v>138</v>
      </c>
      <c r="V19" s="256"/>
      <c r="W19" s="446"/>
      <c r="X19" s="321"/>
      <c r="Y19" s="256"/>
      <c r="Z19" s="256"/>
      <c r="AA19" s="309"/>
      <c r="AB19" s="321"/>
      <c r="AC19" s="256"/>
      <c r="AD19" s="256"/>
      <c r="AE19" s="256"/>
      <c r="AF19" s="256"/>
      <c r="AG19" s="309"/>
      <c r="AH19" s="321"/>
      <c r="AI19" s="256"/>
      <c r="AJ19" s="256"/>
      <c r="AK19" s="256"/>
      <c r="AL19" s="256"/>
      <c r="AM19" s="256"/>
      <c r="AN19" s="256"/>
      <c r="AO19" s="422"/>
      <c r="AP19" s="641">
        <v>19</v>
      </c>
      <c r="AQ19" s="641">
        <v>20.5</v>
      </c>
      <c r="AR19" s="641">
        <v>21.5</v>
      </c>
      <c r="AS19" s="642">
        <v>21.9</v>
      </c>
      <c r="AT19" s="640">
        <v>8</v>
      </c>
      <c r="AU19" s="641">
        <v>12</v>
      </c>
      <c r="AV19" s="641">
        <v>13</v>
      </c>
      <c r="AW19" s="641">
        <v>14.1</v>
      </c>
      <c r="AX19" s="641">
        <v>15.2</v>
      </c>
      <c r="AY19" s="642">
        <v>16.2</v>
      </c>
      <c r="AZ19" s="640">
        <v>20.5</v>
      </c>
      <c r="BA19" s="641">
        <v>30</v>
      </c>
      <c r="BB19" s="641">
        <v>30.8</v>
      </c>
      <c r="BC19" s="641">
        <v>28</v>
      </c>
      <c r="BD19" s="641">
        <v>30</v>
      </c>
      <c r="BE19" s="641">
        <v>30.7</v>
      </c>
      <c r="BF19" s="256"/>
      <c r="BG19" s="422"/>
      <c r="BH19" s="256"/>
      <c r="BI19" s="256"/>
      <c r="BJ19" s="256"/>
      <c r="BK19" s="309"/>
      <c r="BL19" s="321"/>
      <c r="BM19" s="256"/>
      <c r="BN19" s="256"/>
      <c r="BO19" s="256"/>
      <c r="BP19" s="256"/>
      <c r="BQ19" s="309"/>
      <c r="BR19" s="321"/>
      <c r="BS19" s="256"/>
      <c r="BT19" s="256"/>
      <c r="BU19" s="256"/>
      <c r="BV19" s="256"/>
      <c r="BW19" s="256"/>
    </row>
    <row r="20" spans="3:113" x14ac:dyDescent="0.25">
      <c r="C20" s="1" t="s">
        <v>97</v>
      </c>
      <c r="F20" s="320">
        <f>'HPS DAILY'!$G$43</f>
        <v>194.27</v>
      </c>
      <c r="G20" s="241">
        <f>'HPS DAILY'!$G$43</f>
        <v>194.27</v>
      </c>
      <c r="H20" s="241">
        <f>'HPS DAILY'!$G$43</f>
        <v>194.27</v>
      </c>
      <c r="I20" s="1330">
        <f>'HPS DAILY'!$G$43</f>
        <v>194.27</v>
      </c>
      <c r="J20" s="320">
        <f>'HPS DAILY'!$H$43</f>
        <v>285.95999999999998</v>
      </c>
      <c r="K20" s="241">
        <f>'HPS DAILY'!$H$43</f>
        <v>285.95999999999998</v>
      </c>
      <c r="L20" s="241">
        <f>'HPS DAILY'!$H$43</f>
        <v>285.95999999999998</v>
      </c>
      <c r="M20" s="241">
        <f>'HPS DAILY'!$H$43</f>
        <v>285.95999999999998</v>
      </c>
      <c r="N20" s="1407">
        <f>'HPS DAILY'!$H$43</f>
        <v>285.95999999999998</v>
      </c>
      <c r="O20" s="1330">
        <f>'HPS DAILY'!$H$43</f>
        <v>285.95999999999998</v>
      </c>
      <c r="P20" s="321">
        <f>'HPS DAILY'!$I$43</f>
        <v>481.4</v>
      </c>
      <c r="Q20" s="256">
        <f>'HPS DAILY'!$I$43</f>
        <v>481.4</v>
      </c>
      <c r="R20" s="256">
        <f>'HPS DAILY'!$I$43</f>
        <v>481.4</v>
      </c>
      <c r="S20" s="1413">
        <f>'HPS DAILY'!$I$43</f>
        <v>481.4</v>
      </c>
      <c r="T20" s="1413">
        <f>'HPS DAILY'!$I$43</f>
        <v>481.4</v>
      </c>
      <c r="U20" s="1413">
        <f>'HPS DAILY'!$I$43</f>
        <v>481.4</v>
      </c>
      <c r="V20" s="256">
        <f>'HPS DAILY'!$I$43</f>
        <v>481.4</v>
      </c>
      <c r="W20" s="446"/>
      <c r="X20" s="321">
        <f>ISV!G$42</f>
        <v>984.6</v>
      </c>
      <c r="Y20" s="256">
        <f>ISV!H$42</f>
        <v>5237.3599999999997</v>
      </c>
      <c r="Z20" s="256">
        <f>ISV!I$42</f>
        <v>230.15</v>
      </c>
      <c r="AA20" s="309">
        <f>ISV!J$42</f>
        <v>0</v>
      </c>
      <c r="AB20" s="321">
        <f>ISV!K$42</f>
        <v>186.78</v>
      </c>
      <c r="AC20" s="256">
        <f>ISV!L$42</f>
        <v>382.7</v>
      </c>
      <c r="AD20" s="256">
        <f>ISV!M$42</f>
        <v>323.52</v>
      </c>
      <c r="AE20" s="256">
        <f>ISV!N$42</f>
        <v>289.69</v>
      </c>
      <c r="AF20" s="256">
        <f>ISV!O$42</f>
        <v>0</v>
      </c>
      <c r="AG20" s="309">
        <f>ISV!P$42</f>
        <v>0</v>
      </c>
      <c r="AH20" s="321">
        <f>ISV!Q$42</f>
        <v>0</v>
      </c>
      <c r="AI20" s="256">
        <f>ISV!R$42</f>
        <v>433.24</v>
      </c>
      <c r="AJ20" s="256">
        <f>ISV!S$42</f>
        <v>566.04999999999995</v>
      </c>
      <c r="AK20" s="256">
        <f>ISV!T$42</f>
        <v>558.42999999999995</v>
      </c>
      <c r="AL20" s="256">
        <f>ISV!U$42</f>
        <v>0</v>
      </c>
      <c r="AM20" s="256">
        <f>ISV!V$42</f>
        <v>0</v>
      </c>
      <c r="AN20" s="256"/>
      <c r="AO20" s="422"/>
      <c r="AP20" s="261" cm="1">
        <f t="array" ref="AP20:BF20">'HPS DAILY'!J43:Z43</f>
        <v>37.799999999999997</v>
      </c>
      <c r="AQ20" s="261">
        <v>35.770000000000003</v>
      </c>
      <c r="AR20" s="261">
        <v>36</v>
      </c>
      <c r="AS20" s="310">
        <v>35.1</v>
      </c>
      <c r="AT20" s="322">
        <v>12.19</v>
      </c>
      <c r="AU20" s="261">
        <v>16.88</v>
      </c>
      <c r="AV20" s="261">
        <v>21.84</v>
      </c>
      <c r="AW20" s="261">
        <v>19.579999999999998</v>
      </c>
      <c r="AX20" s="261">
        <v>24.52</v>
      </c>
      <c r="AY20" s="310">
        <v>25.21</v>
      </c>
      <c r="AZ20" s="322">
        <v>22.28</v>
      </c>
      <c r="BA20" s="261">
        <v>31.92</v>
      </c>
      <c r="BB20" s="261">
        <v>50.16</v>
      </c>
      <c r="BC20" s="261">
        <v>36.43</v>
      </c>
      <c r="BD20" s="261">
        <v>63.12</v>
      </c>
      <c r="BE20" s="261">
        <v>55.81</v>
      </c>
      <c r="BF20" s="256">
        <v>73.86</v>
      </c>
      <c r="BG20" s="422"/>
      <c r="BH20" s="256"/>
      <c r="BI20" s="256"/>
      <c r="BJ20" s="256"/>
      <c r="BK20" s="309"/>
      <c r="BL20" s="321"/>
      <c r="BM20" s="256"/>
      <c r="BN20" s="256"/>
      <c r="BO20" s="256"/>
      <c r="BP20" s="256"/>
      <c r="BQ20" s="309"/>
      <c r="BR20" s="321"/>
      <c r="BS20" s="256"/>
      <c r="BT20" s="256"/>
      <c r="BU20" s="256"/>
      <c r="BV20" s="256"/>
      <c r="BW20" s="256"/>
    </row>
    <row r="21" spans="3:113" x14ac:dyDescent="0.25">
      <c r="C21" s="637" t="s">
        <v>316</v>
      </c>
      <c r="F21" s="321"/>
      <c r="G21" s="256"/>
      <c r="H21" s="256"/>
      <c r="I21" s="1331"/>
      <c r="J21" s="336">
        <v>266</v>
      </c>
      <c r="K21" s="260">
        <v>266</v>
      </c>
      <c r="L21" s="260">
        <v>266</v>
      </c>
      <c r="M21" s="260">
        <v>266</v>
      </c>
      <c r="N21" s="1408">
        <v>266</v>
      </c>
      <c r="O21" s="1408">
        <v>266</v>
      </c>
      <c r="P21" s="321">
        <v>351</v>
      </c>
      <c r="Q21" s="256">
        <v>351</v>
      </c>
      <c r="R21" s="256">
        <v>351</v>
      </c>
      <c r="S21" s="1413">
        <v>351</v>
      </c>
      <c r="T21" s="1413">
        <v>351</v>
      </c>
      <c r="U21" s="1413">
        <v>351</v>
      </c>
      <c r="V21" s="256"/>
      <c r="W21" s="446"/>
      <c r="X21" s="321"/>
      <c r="Y21" s="256"/>
      <c r="Z21" s="256"/>
      <c r="AA21" s="309"/>
      <c r="AB21" s="321"/>
      <c r="AC21" s="256"/>
      <c r="AD21" s="256"/>
      <c r="AE21" s="256"/>
      <c r="AF21" s="256"/>
      <c r="AG21" s="309"/>
      <c r="AH21" s="321"/>
      <c r="AI21" s="256"/>
      <c r="AJ21" s="256"/>
      <c r="AK21" s="256"/>
      <c r="AL21" s="256"/>
      <c r="AM21" s="256"/>
      <c r="AN21" s="256"/>
      <c r="AO21" s="422"/>
      <c r="AP21" s="641">
        <v>24.5</v>
      </c>
      <c r="AQ21" s="641">
        <v>29</v>
      </c>
      <c r="AR21" s="641">
        <v>32.5</v>
      </c>
      <c r="AS21" s="642">
        <v>34.1</v>
      </c>
      <c r="AT21" s="640">
        <v>4</v>
      </c>
      <c r="AU21" s="641">
        <v>5</v>
      </c>
      <c r="AV21" s="641">
        <v>6</v>
      </c>
      <c r="AW21" s="641">
        <v>6.5</v>
      </c>
      <c r="AX21" s="641">
        <v>7.5</v>
      </c>
      <c r="AY21" s="642">
        <v>8.8000000000000007</v>
      </c>
      <c r="AZ21" s="640">
        <v>13</v>
      </c>
      <c r="BA21" s="641">
        <v>25</v>
      </c>
      <c r="BB21" s="641">
        <v>27</v>
      </c>
      <c r="BC21" s="641">
        <v>23</v>
      </c>
      <c r="BD21" s="641">
        <v>24</v>
      </c>
      <c r="BE21" s="641">
        <v>27.4</v>
      </c>
      <c r="BF21" s="256"/>
      <c r="BG21" s="422"/>
      <c r="BH21" s="256"/>
      <c r="BI21" s="256"/>
      <c r="BJ21" s="256"/>
      <c r="BK21" s="309"/>
      <c r="BL21" s="321"/>
      <c r="BM21" s="256"/>
      <c r="BN21" s="256"/>
      <c r="BO21" s="256"/>
      <c r="BP21" s="256"/>
      <c r="BQ21" s="309"/>
      <c r="BR21" s="321"/>
      <c r="BS21" s="256"/>
      <c r="BT21" s="256"/>
      <c r="BU21" s="256"/>
      <c r="BV21" s="256"/>
      <c r="BW21" s="256"/>
    </row>
    <row r="22" spans="3:113" ht="15.75" thickBot="1" x14ac:dyDescent="0.3">
      <c r="C22" s="1" t="s">
        <v>98</v>
      </c>
      <c r="F22" s="371">
        <f>'HPS DAILY'!$G$46</f>
        <v>16.48</v>
      </c>
      <c r="G22" s="370">
        <f>'HPS DAILY'!$G$46</f>
        <v>16.48</v>
      </c>
      <c r="H22" s="370">
        <f>'HPS DAILY'!$G$46</f>
        <v>16.48</v>
      </c>
      <c r="I22" s="1332">
        <f>'HPS DAILY'!$G$46</f>
        <v>16.48</v>
      </c>
      <c r="J22" s="385">
        <f>'HPS DAILY'!$H$46</f>
        <v>82.57</v>
      </c>
      <c r="K22" s="386">
        <f>'HPS DAILY'!$H$46</f>
        <v>82.57</v>
      </c>
      <c r="L22" s="386">
        <f>'HPS DAILY'!$H$46</f>
        <v>82.57</v>
      </c>
      <c r="M22" s="386">
        <f>'HPS DAILY'!$H$46</f>
        <v>82.57</v>
      </c>
      <c r="N22" s="1409">
        <f>'HPS DAILY'!$H$46</f>
        <v>82.57</v>
      </c>
      <c r="O22" s="1410">
        <f>'HPS DAILY'!$H$46</f>
        <v>82.57</v>
      </c>
      <c r="P22" s="371">
        <f>'HPS DAILY'!$I$46</f>
        <v>68.900000000000006</v>
      </c>
      <c r="Q22" s="370">
        <f>'HPS DAILY'!$I$46</f>
        <v>68.900000000000006</v>
      </c>
      <c r="R22" s="370">
        <f>'HPS DAILY'!$I$46</f>
        <v>68.900000000000006</v>
      </c>
      <c r="S22" s="1414">
        <f>'HPS DAILY'!$I$46</f>
        <v>68.900000000000006</v>
      </c>
      <c r="T22" s="1414">
        <f>'HPS DAILY'!$I$46</f>
        <v>68.900000000000006</v>
      </c>
      <c r="U22" s="1414">
        <f>'HPS DAILY'!$I$46</f>
        <v>68.900000000000006</v>
      </c>
      <c r="V22" s="370">
        <f>'HPS DAILY'!$I$46</f>
        <v>68.900000000000006</v>
      </c>
      <c r="W22" s="508"/>
      <c r="X22" s="371">
        <f>ISV!G$45</f>
        <v>307.98</v>
      </c>
      <c r="Y22" s="370">
        <f>ISV!H$45</f>
        <v>2822.69</v>
      </c>
      <c r="Z22" s="370">
        <f>ISV!I$45</f>
        <v>106.96</v>
      </c>
      <c r="AA22" s="225">
        <f>ISV!J$45</f>
        <v>0</v>
      </c>
      <c r="AB22" s="371">
        <f>ISV!K$45</f>
        <v>89.3</v>
      </c>
      <c r="AC22" s="370">
        <f>ISV!L$45</f>
        <v>225.5</v>
      </c>
      <c r="AD22" s="370">
        <f>ISV!M$45</f>
        <v>172.18</v>
      </c>
      <c r="AE22" s="370">
        <f>ISV!N$45</f>
        <v>145.26</v>
      </c>
      <c r="AF22" s="370">
        <f>ISV!O$45</f>
        <v>0</v>
      </c>
      <c r="AG22" s="225">
        <f>ISV!P$45</f>
        <v>0</v>
      </c>
      <c r="AH22" s="371">
        <f>ISV!Q$45</f>
        <v>0</v>
      </c>
      <c r="AI22" s="370">
        <f>ISV!R$45</f>
        <v>233.06</v>
      </c>
      <c r="AJ22" s="370">
        <f>ISV!S$45</f>
        <v>311.68</v>
      </c>
      <c r="AK22" s="370">
        <f>ISV!T$45</f>
        <v>259.36</v>
      </c>
      <c r="AL22" s="370">
        <f>ISV!U$45</f>
        <v>0</v>
      </c>
      <c r="AM22" s="370">
        <f>ISV!V$45</f>
        <v>0</v>
      </c>
      <c r="AN22" s="370"/>
      <c r="AO22" s="477"/>
      <c r="AP22" s="387" cm="1">
        <f t="array" ref="AP22:BF22">'HPS DAILY'!J46:Z46</f>
        <v>13.76</v>
      </c>
      <c r="AQ22" s="387">
        <v>12.41</v>
      </c>
      <c r="AR22" s="387">
        <v>10.57</v>
      </c>
      <c r="AS22" s="226">
        <v>7.49</v>
      </c>
      <c r="AT22" s="388">
        <v>26.69</v>
      </c>
      <c r="AU22" s="387">
        <v>7.39</v>
      </c>
      <c r="AV22" s="387">
        <v>3</v>
      </c>
      <c r="AW22" s="387">
        <v>2.46</v>
      </c>
      <c r="AX22" s="387">
        <v>5.58</v>
      </c>
      <c r="AY22" s="226">
        <v>2.93</v>
      </c>
      <c r="AZ22" s="388">
        <v>3.26</v>
      </c>
      <c r="BA22" s="387">
        <v>7.29</v>
      </c>
      <c r="BB22" s="387">
        <v>21.38</v>
      </c>
      <c r="BC22" s="387">
        <v>3.41</v>
      </c>
      <c r="BD22" s="387">
        <v>30.31</v>
      </c>
      <c r="BE22" s="387">
        <v>10.45</v>
      </c>
      <c r="BF22" s="370">
        <v>28.42</v>
      </c>
      <c r="BG22" s="477"/>
      <c r="BH22" s="370"/>
      <c r="BI22" s="370"/>
      <c r="BJ22" s="370"/>
      <c r="BK22" s="225"/>
      <c r="BL22" s="371"/>
      <c r="BM22" s="370"/>
      <c r="BN22" s="370"/>
      <c r="BO22" s="370"/>
      <c r="BP22" s="370"/>
      <c r="BQ22" s="225"/>
      <c r="BR22" s="371"/>
      <c r="BS22" s="370"/>
      <c r="BT22" s="370"/>
      <c r="BU22" s="370"/>
      <c r="BV22" s="370"/>
      <c r="BW22" s="370"/>
      <c r="BX22" s="228"/>
      <c r="BY22" s="463"/>
      <c r="BZ22" s="464"/>
      <c r="CA22" s="228"/>
      <c r="CB22" s="228"/>
      <c r="CC22" s="228"/>
      <c r="CD22" s="229"/>
      <c r="CE22" s="353"/>
      <c r="CF22" s="228"/>
      <c r="CG22" s="228"/>
      <c r="CH22" s="228"/>
      <c r="CI22" s="228"/>
      <c r="CJ22" s="229"/>
      <c r="CK22" s="353"/>
      <c r="CL22" s="228"/>
      <c r="CM22" s="228"/>
      <c r="CN22" s="228"/>
      <c r="CO22" s="228"/>
      <c r="CP22" s="228"/>
      <c r="CQ22" s="228"/>
      <c r="CR22" s="463"/>
      <c r="CS22" s="228"/>
      <c r="CT22" s="228"/>
      <c r="CU22" s="228"/>
      <c r="CV22" s="229"/>
      <c r="CW22" s="353"/>
      <c r="CX22" s="228"/>
      <c r="CY22" s="228"/>
      <c r="CZ22" s="228"/>
      <c r="DA22" s="228"/>
      <c r="DB22" s="229"/>
      <c r="DC22" s="353"/>
      <c r="DD22" s="228"/>
      <c r="DE22" s="228"/>
      <c r="DF22" s="228"/>
      <c r="DG22" s="228"/>
      <c r="DH22" s="228"/>
      <c r="DI22" s="228"/>
    </row>
    <row r="23" spans="3:113" s="360" customFormat="1" ht="16.5" thickTop="1" thickBot="1" x14ac:dyDescent="0.3">
      <c r="C23" s="374"/>
      <c r="D23" s="374"/>
      <c r="E23" s="374"/>
      <c r="F23" s="378"/>
      <c r="G23" s="377"/>
      <c r="H23" s="377"/>
      <c r="I23" s="1333"/>
      <c r="J23" s="378"/>
      <c r="K23" s="377"/>
      <c r="L23" s="377"/>
      <c r="M23" s="377"/>
      <c r="N23" s="1411"/>
      <c r="O23" s="1333"/>
      <c r="P23" s="378"/>
      <c r="Q23" s="377"/>
      <c r="R23" s="377"/>
      <c r="S23" s="1411"/>
      <c r="T23" s="1411"/>
      <c r="U23" s="1411"/>
      <c r="V23" s="377"/>
      <c r="W23" s="489"/>
      <c r="X23" s="378"/>
      <c r="Y23" s="377"/>
      <c r="Z23" s="377"/>
      <c r="AA23" s="359"/>
      <c r="AB23" s="378"/>
      <c r="AC23" s="377"/>
      <c r="AD23" s="377"/>
      <c r="AE23" s="377"/>
      <c r="AF23" s="377"/>
      <c r="AG23" s="359"/>
      <c r="AH23" s="378"/>
      <c r="AI23" s="377"/>
      <c r="AJ23" s="377"/>
      <c r="AK23" s="377"/>
      <c r="AL23" s="377"/>
      <c r="AM23" s="377"/>
      <c r="AN23" s="377"/>
      <c r="AO23" s="490"/>
      <c r="AP23" s="389"/>
      <c r="AQ23" s="389"/>
      <c r="AR23" s="389"/>
      <c r="AS23" s="390"/>
      <c r="AT23" s="391" t="s">
        <v>415</v>
      </c>
      <c r="AU23" s="389"/>
      <c r="AV23" s="389"/>
      <c r="AW23" s="389"/>
      <c r="AX23" s="389"/>
      <c r="AY23" s="390"/>
      <c r="AZ23" s="391" t="s">
        <v>414</v>
      </c>
      <c r="BA23" s="389"/>
      <c r="BB23" s="389"/>
      <c r="BC23" s="389"/>
      <c r="BD23" s="389"/>
      <c r="BE23" s="389"/>
      <c r="BF23" s="389"/>
      <c r="BG23" s="491"/>
      <c r="BH23" s="389"/>
      <c r="BI23" s="389"/>
      <c r="BJ23" s="389"/>
      <c r="BK23" s="390"/>
      <c r="BL23" s="392"/>
      <c r="BM23" s="389"/>
      <c r="BN23" s="389"/>
      <c r="BO23" s="389"/>
      <c r="BP23" s="389"/>
      <c r="BQ23" s="390"/>
      <c r="BR23" s="392"/>
      <c r="BS23" s="389"/>
      <c r="BT23" s="389"/>
      <c r="BU23" s="389"/>
      <c r="BV23" s="389"/>
      <c r="BW23" s="389"/>
      <c r="BX23" s="377"/>
      <c r="BY23" s="490"/>
      <c r="BZ23" s="492"/>
      <c r="CA23" s="377"/>
      <c r="CB23" s="377"/>
      <c r="CC23" s="377"/>
      <c r="CD23" s="359"/>
      <c r="CE23" s="378"/>
      <c r="CF23" s="377"/>
      <c r="CG23" s="377"/>
      <c r="CH23" s="377"/>
      <c r="CI23" s="377"/>
      <c r="CJ23" s="359"/>
      <c r="CK23" s="378"/>
      <c r="CL23" s="377"/>
      <c r="CM23" s="377"/>
      <c r="CN23" s="377"/>
      <c r="CO23" s="377"/>
      <c r="CP23" s="377"/>
      <c r="CQ23" s="377"/>
      <c r="CR23" s="490"/>
      <c r="CS23" s="377"/>
      <c r="CT23" s="377"/>
      <c r="CU23" s="377"/>
      <c r="CV23" s="359"/>
      <c r="CW23" s="378"/>
      <c r="CX23" s="377"/>
      <c r="CY23" s="377"/>
      <c r="CZ23" s="377"/>
      <c r="DA23" s="377"/>
      <c r="DB23" s="359"/>
      <c r="DC23" s="378"/>
      <c r="DD23" s="377"/>
      <c r="DE23" s="377"/>
      <c r="DF23" s="377"/>
      <c r="DG23" s="377"/>
      <c r="DH23" s="377"/>
      <c r="DI23" s="377"/>
    </row>
    <row r="24" spans="3:113" ht="15.75" thickTop="1" x14ac:dyDescent="0.25">
      <c r="C24" s="1" t="s">
        <v>172</v>
      </c>
      <c r="F24" s="350">
        <f>'HPS DAILY'!$G$25</f>
        <v>0.56010000000000004</v>
      </c>
      <c r="G24" s="351">
        <f>'HPS DAILY'!$G$25</f>
        <v>0.56010000000000004</v>
      </c>
      <c r="H24" s="351">
        <f>'HPS DAILY'!$G$25</f>
        <v>0.56010000000000004</v>
      </c>
      <c r="I24" s="1329">
        <f>'HPS DAILY'!$G$25</f>
        <v>0.56010000000000004</v>
      </c>
      <c r="J24" s="350">
        <f>'HPS DAILY'!$H$25</f>
        <v>0.73780000000000001</v>
      </c>
      <c r="K24" s="351">
        <f>'HPS DAILY'!$H$25</f>
        <v>0.73780000000000001</v>
      </c>
      <c r="L24" s="351">
        <f>'HPS DAILY'!$H$25</f>
        <v>0.73780000000000001</v>
      </c>
      <c r="M24" s="351">
        <f>'HPS DAILY'!$H$25</f>
        <v>0.73780000000000001</v>
      </c>
      <c r="N24" s="1412">
        <f>'HPS DAILY'!$H$25</f>
        <v>0.73780000000000001</v>
      </c>
      <c r="O24" s="1329">
        <f>'HPS DAILY'!$H$25</f>
        <v>0.73780000000000001</v>
      </c>
      <c r="P24" s="350">
        <f>'HPS DAILY'!$I$25</f>
        <v>0.78634799999999994</v>
      </c>
      <c r="Q24" s="351">
        <f>'HPS DAILY'!$I$25</f>
        <v>0.78634799999999994</v>
      </c>
      <c r="R24" s="351">
        <f>'HPS DAILY'!$I$25</f>
        <v>0.78634799999999994</v>
      </c>
      <c r="S24" s="1412">
        <f>'HPS DAILY'!$I$25</f>
        <v>0.78634799999999994</v>
      </c>
      <c r="T24" s="1412">
        <f>'HPS DAILY'!$I$25</f>
        <v>0.78634799999999994</v>
      </c>
      <c r="U24" s="1412">
        <f>'HPS DAILY'!$I$25</f>
        <v>0.78634799999999994</v>
      </c>
      <c r="V24" s="234"/>
      <c r="W24" s="468"/>
      <c r="X24" s="384">
        <f>ISV!G$24</f>
        <v>0.19950000000000001</v>
      </c>
      <c r="Y24" s="395">
        <f>ISV!H$24</f>
        <v>0</v>
      </c>
      <c r="Z24" s="395">
        <f>ISV!I$24</f>
        <v>0.429649</v>
      </c>
      <c r="AA24" s="396">
        <f>ISV!J$24</f>
        <v>0</v>
      </c>
      <c r="AB24" s="397">
        <f>ISV!K$24</f>
        <v>0.38750000000000001</v>
      </c>
      <c r="AC24" s="395">
        <f>ISV!L$24</f>
        <v>0.44359799999999994</v>
      </c>
      <c r="AD24" s="395">
        <f>ISV!M$24</f>
        <v>0.65990000000000004</v>
      </c>
      <c r="AE24" s="395">
        <f>ISV!N$24</f>
        <v>0.62607699999999999</v>
      </c>
      <c r="AF24" s="395">
        <f>ISV!O$24</f>
        <v>0</v>
      </c>
      <c r="AG24" s="396">
        <f>ISV!P$24</f>
        <v>0</v>
      </c>
      <c r="AH24" s="397">
        <f>ISV!Q$24</f>
        <v>0</v>
      </c>
      <c r="AI24" s="395">
        <f>ISV!R$24</f>
        <v>0.66669999999999996</v>
      </c>
      <c r="AJ24" s="395">
        <f>ISV!S$24</f>
        <v>0.73250000000000004</v>
      </c>
      <c r="AK24" s="395">
        <f>ISV!T$24</f>
        <v>0.75390000000000001</v>
      </c>
      <c r="AL24" s="395">
        <f>ISV!U$24</f>
        <v>0</v>
      </c>
      <c r="AM24" s="395">
        <f>ISV!V$24</f>
        <v>0</v>
      </c>
      <c r="AN24" s="382"/>
      <c r="AO24" s="486"/>
      <c r="AP24" s="383" cm="1">
        <f t="array" ref="AP24:BF24">'HPS DAILY'!J25:Z25</f>
        <v>0.37859999999999999</v>
      </c>
      <c r="AQ24" s="383">
        <v>0.38369999999999999</v>
      </c>
      <c r="AR24" s="383">
        <v>0.35399999999999998</v>
      </c>
      <c r="AS24" s="232">
        <v>0.38159999999999999</v>
      </c>
      <c r="AT24" s="384">
        <v>0.30796200000000001</v>
      </c>
      <c r="AU24" s="383">
        <v>0.5151</v>
      </c>
      <c r="AV24" s="383">
        <v>0.54730000000000001</v>
      </c>
      <c r="AW24" s="383">
        <v>0.53578300000000001</v>
      </c>
      <c r="AX24" s="383">
        <v>0.57566499999999998</v>
      </c>
      <c r="AY24" s="232">
        <v>0.56129700000000005</v>
      </c>
      <c r="AZ24" s="384">
        <v>0.57049399999999995</v>
      </c>
      <c r="BA24" s="383">
        <v>0.61370000000000002</v>
      </c>
      <c r="BB24" s="383">
        <v>0.66490000000000005</v>
      </c>
      <c r="BC24" s="383">
        <v>0.64762200000000003</v>
      </c>
      <c r="BD24" s="383">
        <v>0.64355899999999999</v>
      </c>
      <c r="BE24" s="383">
        <v>0.65059999999999996</v>
      </c>
      <c r="BF24" s="383">
        <v>0.64149999999999996</v>
      </c>
      <c r="BG24" s="487"/>
      <c r="BH24" s="556" cm="1">
        <f t="array" ref="BH24:BX24">'LTO DAILY'!H23:X23</f>
        <v>2.6800000000000001E-2</v>
      </c>
      <c r="BI24" s="556">
        <v>5.1670000000000008E-2</v>
      </c>
      <c r="BJ24" s="556">
        <v>5.4229999999999993E-2</v>
      </c>
      <c r="BK24" s="560">
        <v>7.6810000000000003E-2</v>
      </c>
      <c r="BL24" s="559">
        <v>7.1683999999999998E-2</v>
      </c>
      <c r="BM24" s="556">
        <v>8.0299999999999996E-2</v>
      </c>
      <c r="BN24" s="556">
        <v>9.172000000000001E-2</v>
      </c>
      <c r="BO24" s="556">
        <v>9.5200000000000007E-2</v>
      </c>
      <c r="BP24" s="556">
        <v>9.7807000000000005E-2</v>
      </c>
      <c r="BQ24" s="560">
        <v>9.7447000000000006E-2</v>
      </c>
      <c r="BR24" s="559">
        <v>9.1545000000000001E-2</v>
      </c>
      <c r="BS24" s="556">
        <v>0.1012</v>
      </c>
      <c r="BT24" s="556">
        <v>9.552999999999999E-2</v>
      </c>
      <c r="BU24" s="556">
        <v>9.2148000000000008E-2</v>
      </c>
      <c r="BV24" s="556">
        <v>8.6819000000000007E-2</v>
      </c>
      <c r="BW24" s="556">
        <v>7.7759999999999996E-2</v>
      </c>
      <c r="BX24" s="234">
        <v>9.8000000000000004E-2</v>
      </c>
      <c r="BY24" s="486"/>
      <c r="BZ24" s="488"/>
      <c r="CA24" s="234"/>
      <c r="CB24" s="234"/>
      <c r="CC24" s="234"/>
      <c r="CD24" s="235"/>
      <c r="CE24" s="352"/>
      <c r="CF24" s="234"/>
      <c r="CG24" s="234"/>
      <c r="CH24" s="234"/>
      <c r="CI24" s="234"/>
      <c r="CJ24" s="235"/>
      <c r="CK24" s="352"/>
      <c r="CL24" s="234"/>
      <c r="CM24" s="234"/>
      <c r="CN24" s="234"/>
      <c r="CO24" s="234"/>
      <c r="CP24" s="234"/>
      <c r="CQ24" s="234"/>
      <c r="CR24" s="486"/>
      <c r="CS24" s="234"/>
      <c r="CT24" s="234"/>
      <c r="CU24" s="234"/>
      <c r="CV24" s="235"/>
      <c r="CW24" s="352"/>
      <c r="CX24" s="234"/>
      <c r="CY24" s="234"/>
      <c r="CZ24" s="234"/>
      <c r="DA24" s="234"/>
      <c r="DB24" s="235"/>
      <c r="DC24" s="352"/>
      <c r="DD24" s="234"/>
      <c r="DE24" s="234"/>
      <c r="DF24" s="234"/>
      <c r="DG24" s="234"/>
      <c r="DH24" s="234"/>
      <c r="DI24" s="234"/>
    </row>
    <row r="25" spans="3:113" x14ac:dyDescent="0.25">
      <c r="C25" s="637" t="s">
        <v>314</v>
      </c>
      <c r="F25" s="321"/>
      <c r="G25" s="256"/>
      <c r="H25" s="256"/>
      <c r="I25" s="1331"/>
      <c r="J25" s="321">
        <v>0.61</v>
      </c>
      <c r="K25" s="256">
        <v>0.61</v>
      </c>
      <c r="L25" s="256">
        <v>0.61</v>
      </c>
      <c r="M25" s="256">
        <v>0.61</v>
      </c>
      <c r="N25" s="1413">
        <v>0.61</v>
      </c>
      <c r="O25" s="1413">
        <v>0.61</v>
      </c>
      <c r="P25" s="321">
        <v>0.7</v>
      </c>
      <c r="Q25" s="256">
        <v>0.7</v>
      </c>
      <c r="R25" s="256">
        <v>0.7</v>
      </c>
      <c r="S25" s="1413">
        <v>0.7</v>
      </c>
      <c r="T25" s="1413">
        <v>0.7</v>
      </c>
      <c r="U25" s="1413">
        <v>0.7</v>
      </c>
      <c r="X25" s="328"/>
      <c r="Y25" s="285"/>
      <c r="Z25" s="285"/>
      <c r="AA25" s="346"/>
      <c r="AB25" s="349"/>
      <c r="AC25" s="285"/>
      <c r="AD25" s="285"/>
      <c r="AE25" s="285"/>
      <c r="AF25" s="285"/>
      <c r="AG25" s="346"/>
      <c r="AH25" s="349"/>
      <c r="AI25" s="285"/>
      <c r="AJ25" s="285"/>
      <c r="AK25" s="285"/>
      <c r="AL25" s="285"/>
      <c r="AM25" s="285"/>
      <c r="AP25" s="641">
        <v>0.34</v>
      </c>
      <c r="AQ25" s="641">
        <v>0.35</v>
      </c>
      <c r="AR25" s="641">
        <v>0.36499999999999999</v>
      </c>
      <c r="AS25" s="642">
        <v>0.35599999999999998</v>
      </c>
      <c r="AT25" s="640">
        <v>0.32600000000000001</v>
      </c>
      <c r="AU25" s="641">
        <v>0.42</v>
      </c>
      <c r="AV25" s="641">
        <v>0.435</v>
      </c>
      <c r="AW25" s="641">
        <v>0.45</v>
      </c>
      <c r="AX25" s="641">
        <v>0.45100000000000001</v>
      </c>
      <c r="AY25" s="642">
        <v>0.4521</v>
      </c>
      <c r="AZ25" s="640">
        <v>0.48499999999999999</v>
      </c>
      <c r="BA25" s="641">
        <v>0.51800000000000002</v>
      </c>
      <c r="BB25" s="641">
        <v>0.52</v>
      </c>
      <c r="BC25" s="641">
        <v>0.51249999999999996</v>
      </c>
      <c r="BD25" s="641">
        <v>0.52400000000000002</v>
      </c>
      <c r="BE25" s="641">
        <v>0.52480000000000004</v>
      </c>
      <c r="BF25" s="261"/>
      <c r="BG25" s="422"/>
      <c r="BH25" s="720">
        <v>4.4999999999999998E-2</v>
      </c>
      <c r="BI25" s="720">
        <v>0.05</v>
      </c>
      <c r="BJ25" s="720">
        <v>5.5E-2</v>
      </c>
      <c r="BK25" s="721">
        <v>0.06</v>
      </c>
      <c r="BL25" s="719">
        <v>5.5E-2</v>
      </c>
      <c r="BM25" s="720">
        <v>6.2E-2</v>
      </c>
      <c r="BN25" s="720">
        <v>7.1999999999999995E-2</v>
      </c>
      <c r="BO25" s="720">
        <v>7.4999999999999997E-2</v>
      </c>
      <c r="BP25" s="720">
        <v>7.8E-2</v>
      </c>
      <c r="BQ25" s="721">
        <v>7.7700000000000005E-2</v>
      </c>
      <c r="BR25" s="719">
        <v>7.7700000000000005E-2</v>
      </c>
      <c r="BS25" s="720">
        <v>8.7999999999999995E-2</v>
      </c>
      <c r="BT25" s="720">
        <v>8.8999999999999996E-2</v>
      </c>
      <c r="BU25" s="720">
        <v>8.8999999999999996E-2</v>
      </c>
      <c r="BV25" s="720">
        <v>8.8999999999999996E-2</v>
      </c>
      <c r="BW25" s="720">
        <v>8.8499999999999995E-2</v>
      </c>
    </row>
    <row r="26" spans="3:113" x14ac:dyDescent="0.25">
      <c r="C26" s="1" t="s">
        <v>173</v>
      </c>
      <c r="F26" s="321">
        <f>'HPS DAILY'!$G$20</f>
        <v>5.9859999999999998</v>
      </c>
      <c r="G26" s="256">
        <f>'HPS DAILY'!$G$20</f>
        <v>5.9859999999999998</v>
      </c>
      <c r="H26" s="256">
        <f>'HPS DAILY'!$G$20</f>
        <v>5.9859999999999998</v>
      </c>
      <c r="I26" s="1331">
        <f>'HPS DAILY'!$G$20</f>
        <v>5.9859999999999998</v>
      </c>
      <c r="J26" s="321">
        <f>'HPS DAILY'!$H$20</f>
        <v>5.69</v>
      </c>
      <c r="K26" s="256">
        <f>'HPS DAILY'!$H$20</f>
        <v>5.69</v>
      </c>
      <c r="L26" s="256">
        <f>'HPS DAILY'!$H$20</f>
        <v>5.69</v>
      </c>
      <c r="M26" s="256">
        <f>'HPS DAILY'!$H$20</f>
        <v>5.69</v>
      </c>
      <c r="N26" s="1413">
        <f>'HPS DAILY'!$H$20</f>
        <v>5.69</v>
      </c>
      <c r="O26" s="1331">
        <f>'HPS DAILY'!$H$20</f>
        <v>5.69</v>
      </c>
      <c r="P26" s="321">
        <f>'HPS DAILY'!$I$20</f>
        <v>5.2480000000000002</v>
      </c>
      <c r="Q26" s="256">
        <f>'HPS DAILY'!$I$20</f>
        <v>5.2480000000000002</v>
      </c>
      <c r="R26" s="256">
        <f>'HPS DAILY'!$I$20</f>
        <v>5.2480000000000002</v>
      </c>
      <c r="S26" s="1413">
        <f>'HPS DAILY'!$I$20</f>
        <v>5.2480000000000002</v>
      </c>
      <c r="T26" s="1413">
        <f>'HPS DAILY'!$I$20</f>
        <v>5.2480000000000002</v>
      </c>
      <c r="U26" s="1413">
        <f>'HPS DAILY'!$I$20</f>
        <v>5.2480000000000002</v>
      </c>
      <c r="X26" s="328">
        <f>ISV!G$19</f>
        <v>2.79</v>
      </c>
      <c r="Y26" s="285">
        <f>ISV!H$19</f>
        <v>4.33</v>
      </c>
      <c r="Z26" s="285">
        <f>ISV!I$19</f>
        <v>4.3600000000000003</v>
      </c>
      <c r="AA26" s="346">
        <f>ISV!J$19</f>
        <v>4.3849999999999998</v>
      </c>
      <c r="AB26" s="349">
        <f>ISV!K$19</f>
        <v>4.38</v>
      </c>
      <c r="AC26" s="285">
        <f>ISV!L$19</f>
        <v>3.746</v>
      </c>
      <c r="AD26" s="285">
        <f>ISV!M$19</f>
        <v>3.78</v>
      </c>
      <c r="AE26" s="285">
        <f>ISV!N$19</f>
        <v>3.907</v>
      </c>
      <c r="AF26" s="285">
        <f>ISV!O$19</f>
        <v>0</v>
      </c>
      <c r="AG26" s="346">
        <f>ISV!P$19</f>
        <v>0</v>
      </c>
      <c r="AH26" s="349">
        <f>ISV!Q$19</f>
        <v>0</v>
      </c>
      <c r="AI26" s="285">
        <f>ISV!R$19</f>
        <v>3.93</v>
      </c>
      <c r="AJ26" s="285">
        <f>ISV!S$19</f>
        <v>3.5049999999999999</v>
      </c>
      <c r="AK26" s="285">
        <f>ISV!T$19</f>
        <v>3.35</v>
      </c>
      <c r="AL26" s="285">
        <f>ISV!U$19</f>
        <v>0</v>
      </c>
      <c r="AM26" s="285">
        <f>ISV!V$19</f>
        <v>0</v>
      </c>
      <c r="AP26" s="555" cm="1">
        <f t="array" ref="AP26:BF26">'HPS DAILY'!J20:Z20</f>
        <v>2.34</v>
      </c>
      <c r="AQ26" s="555">
        <v>2.27</v>
      </c>
      <c r="AR26" s="555">
        <v>2.3340000000000001</v>
      </c>
      <c r="AS26" s="575">
        <v>2.3660000000000001</v>
      </c>
      <c r="AT26" s="574">
        <v>1.01</v>
      </c>
      <c r="AU26" s="555">
        <v>1.1919999999999999</v>
      </c>
      <c r="AV26" s="555">
        <v>1.45</v>
      </c>
      <c r="AW26" s="555">
        <v>1.4119999999999999</v>
      </c>
      <c r="AX26" s="555">
        <v>1.452</v>
      </c>
      <c r="AY26" s="575">
        <v>1.5389999999999999</v>
      </c>
      <c r="AZ26" s="574">
        <v>1.4430000000000001</v>
      </c>
      <c r="BA26" s="555">
        <v>1.24</v>
      </c>
      <c r="BB26" s="555">
        <v>1.288</v>
      </c>
      <c r="BC26" s="555">
        <v>1.2649999999999999</v>
      </c>
      <c r="BD26" s="555">
        <v>1.302</v>
      </c>
      <c r="BE26" s="555">
        <v>1.363</v>
      </c>
      <c r="BF26" s="282">
        <v>1.3540000000000001</v>
      </c>
      <c r="BG26" s="422"/>
      <c r="BH26" s="263" cm="1">
        <f t="array" ref="BH26:BX26">'LTO DAILY'!H18:X18</f>
        <v>0.10199999999999999</v>
      </c>
      <c r="BI26" s="263">
        <v>0.13600000000000001</v>
      </c>
      <c r="BJ26" s="263">
        <v>0.14269999999999999</v>
      </c>
      <c r="BK26" s="242">
        <v>0.15322</v>
      </c>
      <c r="BL26" s="328">
        <v>0.14549999999999999</v>
      </c>
      <c r="BM26" s="263">
        <v>7.2599999999999998E-2</v>
      </c>
      <c r="BN26" s="263">
        <v>9.01E-2</v>
      </c>
      <c r="BO26" s="263">
        <v>7.51E-2</v>
      </c>
      <c r="BP26" s="263">
        <v>8.3299999999999999E-2</v>
      </c>
      <c r="BQ26" s="242">
        <v>7.8789999999999999E-2</v>
      </c>
      <c r="BR26" s="328">
        <v>8.3099999999999993E-2</v>
      </c>
      <c r="BS26" s="263">
        <v>8.7900000000000006E-2</v>
      </c>
      <c r="BT26" s="263">
        <v>9.6710000000000004E-2</v>
      </c>
      <c r="BU26" s="263">
        <v>8.8999999999999996E-2</v>
      </c>
      <c r="BV26" s="263">
        <v>8.7290000000000006E-2</v>
      </c>
      <c r="BW26" s="263">
        <v>7.8899999999999998E-2</v>
      </c>
      <c r="BX26" s="241">
        <v>9.74E-2</v>
      </c>
    </row>
    <row r="27" spans="3:113" x14ac:dyDescent="0.25">
      <c r="C27" s="637" t="s">
        <v>315</v>
      </c>
      <c r="J27" s="320">
        <v>5.84</v>
      </c>
      <c r="K27" s="241">
        <v>5.84</v>
      </c>
      <c r="L27" s="241">
        <v>5.84</v>
      </c>
      <c r="M27" s="241">
        <v>5.84</v>
      </c>
      <c r="N27" s="1407">
        <v>5.84</v>
      </c>
      <c r="O27" s="1330">
        <v>5.84</v>
      </c>
      <c r="P27" s="320">
        <v>4.4000000000000004</v>
      </c>
      <c r="Q27" s="241">
        <v>4.4000000000000004</v>
      </c>
      <c r="R27" s="241">
        <v>4.4000000000000004</v>
      </c>
      <c r="S27" s="1407">
        <v>4.4000000000000004</v>
      </c>
      <c r="T27" s="1407">
        <v>4.4000000000000004</v>
      </c>
      <c r="U27" s="1407">
        <v>4.4000000000000004</v>
      </c>
      <c r="X27" s="321"/>
      <c r="Y27" s="283"/>
      <c r="Z27" s="283"/>
      <c r="AA27" s="335"/>
      <c r="AB27" s="677"/>
      <c r="AC27" s="283"/>
      <c r="AD27" s="283"/>
      <c r="AE27" s="283"/>
      <c r="AF27" s="283"/>
      <c r="AG27" s="335"/>
      <c r="AH27" s="677"/>
      <c r="AI27" s="283"/>
      <c r="AJ27" s="283"/>
      <c r="AK27" s="283"/>
      <c r="AL27" s="283"/>
      <c r="AM27" s="283"/>
      <c r="AO27" s="444"/>
      <c r="AP27" s="682">
        <v>2.15</v>
      </c>
      <c r="AQ27" s="682">
        <v>2.2000000000000002</v>
      </c>
      <c r="AR27" s="682">
        <v>2.25</v>
      </c>
      <c r="AS27" s="683">
        <v>2.36</v>
      </c>
      <c r="AT27" s="684">
        <v>1.01</v>
      </c>
      <c r="AU27" s="682">
        <v>0.99</v>
      </c>
      <c r="AV27" s="682">
        <v>1.0900000000000001</v>
      </c>
      <c r="AW27" s="682">
        <v>1.1000000000000001</v>
      </c>
      <c r="AX27" s="682">
        <v>1.1200000000000001</v>
      </c>
      <c r="AY27" s="752">
        <v>1.1399999999999999</v>
      </c>
      <c r="AZ27" s="755">
        <v>1.095</v>
      </c>
      <c r="BA27" s="682">
        <v>1</v>
      </c>
      <c r="BB27" s="682">
        <v>0.99</v>
      </c>
      <c r="BC27" s="682">
        <v>0.95</v>
      </c>
      <c r="BD27" s="682">
        <v>1</v>
      </c>
      <c r="BE27" s="682">
        <v>1.01</v>
      </c>
      <c r="BF27" s="612"/>
      <c r="BG27" s="422"/>
      <c r="BH27" s="720">
        <v>0.12</v>
      </c>
      <c r="BI27" s="720">
        <v>0.14000000000000001</v>
      </c>
      <c r="BJ27" s="720">
        <v>0.155</v>
      </c>
      <c r="BK27" s="721">
        <v>0.1661</v>
      </c>
      <c r="BL27" s="719">
        <v>0.11899999999999999</v>
      </c>
      <c r="BM27" s="720">
        <v>8.1000000000000003E-2</v>
      </c>
      <c r="BN27" s="720">
        <v>8.4000000000000005E-2</v>
      </c>
      <c r="BO27" s="720">
        <v>8.3000000000000004E-2</v>
      </c>
      <c r="BP27" s="720">
        <v>8.4000000000000005E-2</v>
      </c>
      <c r="BQ27" s="721">
        <v>8.5000000000000006E-2</v>
      </c>
      <c r="BR27" s="719">
        <v>8.5999999999999993E-2</v>
      </c>
      <c r="BS27" s="720">
        <v>8.5500000000000007E-2</v>
      </c>
      <c r="BT27" s="720">
        <v>8.5000000000000006E-2</v>
      </c>
      <c r="BU27" s="720">
        <v>8.6499999999999994E-2</v>
      </c>
      <c r="BV27" s="720">
        <v>8.6999999999999994E-2</v>
      </c>
      <c r="BW27" s="720">
        <v>8.6400000000000005E-2</v>
      </c>
    </row>
    <row r="28" spans="3:113" x14ac:dyDescent="0.25">
      <c r="C28" s="1" t="s">
        <v>117</v>
      </c>
      <c r="F28" s="321">
        <f>'HPS DAILY'!$G$87</f>
        <v>22.94</v>
      </c>
      <c r="G28" s="256">
        <f>'HPS DAILY'!$G$87</f>
        <v>22.94</v>
      </c>
      <c r="H28" s="256">
        <f>'HPS DAILY'!$G$87</f>
        <v>22.94</v>
      </c>
      <c r="I28" s="1331">
        <f>'HPS DAILY'!$G$87</f>
        <v>22.94</v>
      </c>
      <c r="J28" s="321">
        <f>K28</f>
        <v>33.22</v>
      </c>
      <c r="K28" s="256">
        <f>'HPS DAILY'!$H$87</f>
        <v>33.22</v>
      </c>
      <c r="L28" s="256">
        <f>'HPS DAILY'!$H$87</f>
        <v>33.22</v>
      </c>
      <c r="M28" s="256">
        <f>'HPS DAILY'!$H$87</f>
        <v>33.22</v>
      </c>
      <c r="N28" s="1413">
        <f>'HPS DAILY'!$H$87</f>
        <v>33.22</v>
      </c>
      <c r="O28" s="1331">
        <f>'HPS DAILY'!$H$87</f>
        <v>33.22</v>
      </c>
      <c r="P28" s="321">
        <f>'HPS DAILY'!$I$87</f>
        <v>40.28</v>
      </c>
      <c r="Q28" s="256">
        <f>'HPS DAILY'!$I$87</f>
        <v>40.28</v>
      </c>
      <c r="R28" s="256">
        <f>'HPS DAILY'!$I$87</f>
        <v>40.28</v>
      </c>
      <c r="S28" s="1413">
        <f>'HPS DAILY'!$I$87</f>
        <v>40.28</v>
      </c>
      <c r="T28" s="1413">
        <f>'HPS DAILY'!$I$87</f>
        <v>40.28</v>
      </c>
      <c r="U28" s="1413">
        <f>'HPS DAILY'!$I$87</f>
        <v>40.28</v>
      </c>
      <c r="V28" s="256">
        <f>'HPS DAILY'!$I$87</f>
        <v>40.28</v>
      </c>
      <c r="W28" s="446"/>
      <c r="X28" s="321">
        <f>ISV!G$86</f>
        <v>8.0299999999999994</v>
      </c>
      <c r="Y28" s="256">
        <f>ISV!H$86</f>
        <v>0</v>
      </c>
      <c r="Z28" s="256">
        <f>ISV!I$86</f>
        <v>13.12</v>
      </c>
      <c r="AA28" s="309">
        <f>ISV!J$86</f>
        <v>0</v>
      </c>
      <c r="AB28" s="321">
        <f>ISV!K$86</f>
        <v>16.93</v>
      </c>
      <c r="AC28" s="256">
        <f>ISV!L$86</f>
        <v>18.79</v>
      </c>
      <c r="AD28" s="256">
        <f>ISV!M$86</f>
        <v>22.1</v>
      </c>
      <c r="AE28" s="256">
        <f>ISV!N$86</f>
        <v>21.95</v>
      </c>
      <c r="AF28" s="256">
        <f>ISV!O$86</f>
        <v>0</v>
      </c>
      <c r="AG28" s="309">
        <f>ISV!P$86</f>
        <v>0</v>
      </c>
      <c r="AH28" s="321">
        <f>ISV!Q$86</f>
        <v>0</v>
      </c>
      <c r="AI28" s="256">
        <f>ISV!R$86</f>
        <v>20.14</v>
      </c>
      <c r="AJ28" s="256">
        <f>ISV!S$86</f>
        <v>20.309999999999999</v>
      </c>
      <c r="AK28" s="256">
        <f>ISV!T$86</f>
        <v>22.03</v>
      </c>
      <c r="AL28" s="256">
        <f>ISV!U$86</f>
        <v>0</v>
      </c>
      <c r="AM28" s="256">
        <f>ISV!V$86</f>
        <v>0</v>
      </c>
      <c r="AN28" s="256"/>
      <c r="AO28" s="446"/>
      <c r="AP28" s="383" cm="1">
        <f t="array" ref="AP28:BF28">'HPS DAILY'!J87:Z87</f>
        <v>10.67</v>
      </c>
      <c r="AQ28" s="383">
        <v>9.93</v>
      </c>
      <c r="AR28" s="383">
        <v>11.1</v>
      </c>
      <c r="AS28" s="615">
        <v>10.16</v>
      </c>
      <c r="AT28" s="614">
        <v>6</v>
      </c>
      <c r="AU28" s="383">
        <v>10.52</v>
      </c>
      <c r="AV28" s="383">
        <v>11.38</v>
      </c>
      <c r="AW28" s="383">
        <v>11.39</v>
      </c>
      <c r="AX28" s="383">
        <v>11.63</v>
      </c>
      <c r="AY28" s="232">
        <v>13.45</v>
      </c>
      <c r="AZ28" s="384">
        <v>12.06</v>
      </c>
      <c r="BA28" s="383">
        <v>11.79</v>
      </c>
      <c r="BB28" s="383">
        <v>12.25</v>
      </c>
      <c r="BC28" s="383">
        <v>12.2</v>
      </c>
      <c r="BD28" s="383">
        <v>12.7</v>
      </c>
      <c r="BE28" s="383">
        <v>13.59</v>
      </c>
      <c r="BF28" s="261">
        <v>12.32</v>
      </c>
      <c r="BG28" s="422"/>
      <c r="BH28" s="256"/>
      <c r="BI28" s="256"/>
      <c r="BJ28" s="256"/>
      <c r="BK28" s="309"/>
      <c r="BL28" s="321"/>
      <c r="BM28" s="256"/>
      <c r="BN28" s="256"/>
      <c r="BO28" s="256"/>
      <c r="BP28" s="256"/>
      <c r="BQ28" s="309"/>
      <c r="BR28" s="321"/>
      <c r="BS28" s="256"/>
      <c r="BT28" s="256"/>
      <c r="BU28" s="256"/>
      <c r="BV28" s="256"/>
      <c r="BW28" s="256"/>
    </row>
    <row r="29" spans="3:113" x14ac:dyDescent="0.25">
      <c r="C29" s="637" t="s">
        <v>352</v>
      </c>
      <c r="F29" s="321"/>
      <c r="G29" s="256"/>
      <c r="H29" s="256"/>
      <c r="I29" s="1331"/>
      <c r="J29" s="321">
        <v>34.97</v>
      </c>
      <c r="K29" s="256">
        <v>34.97</v>
      </c>
      <c r="L29" s="256">
        <v>34.97</v>
      </c>
      <c r="M29" s="256">
        <v>34.97</v>
      </c>
      <c r="N29" s="1413">
        <v>34.97</v>
      </c>
      <c r="O29" s="1413">
        <v>34.97</v>
      </c>
      <c r="P29" s="321"/>
      <c r="Q29" s="256"/>
      <c r="R29" s="256"/>
      <c r="S29" s="1413"/>
      <c r="T29" s="1413"/>
      <c r="U29" s="1413"/>
      <c r="V29" s="256"/>
      <c r="W29" s="446"/>
      <c r="X29" s="321"/>
      <c r="Y29" s="256"/>
      <c r="Z29" s="256"/>
      <c r="AA29" s="309"/>
      <c r="AB29" s="321"/>
      <c r="AC29" s="256"/>
      <c r="AD29" s="256"/>
      <c r="AE29" s="256"/>
      <c r="AF29" s="256"/>
      <c r="AG29" s="309"/>
      <c r="AH29" s="321"/>
      <c r="AI29" s="256"/>
      <c r="AJ29" s="256"/>
      <c r="AK29" s="256"/>
      <c r="AL29" s="256"/>
      <c r="AM29" s="256"/>
      <c r="AN29" s="256"/>
      <c r="AO29" s="422"/>
      <c r="AP29" s="261"/>
      <c r="AQ29" s="261"/>
      <c r="AR29" s="261"/>
      <c r="AS29" s="310"/>
      <c r="AT29" s="322"/>
      <c r="AU29" s="261"/>
      <c r="AV29" s="261"/>
      <c r="AW29" s="261"/>
      <c r="AX29" s="261"/>
      <c r="AY29" s="310"/>
      <c r="AZ29" s="322"/>
      <c r="BA29" s="261"/>
      <c r="BB29" s="261"/>
      <c r="BC29" s="261"/>
      <c r="BD29" s="261"/>
      <c r="BE29" s="261"/>
      <c r="BF29" s="261"/>
      <c r="BG29" s="422"/>
      <c r="BH29" s="256"/>
      <c r="BI29" s="256"/>
      <c r="BJ29" s="256"/>
      <c r="BK29" s="309"/>
      <c r="BL29" s="321"/>
      <c r="BM29" s="256"/>
      <c r="BN29" s="256"/>
      <c r="BO29" s="256"/>
      <c r="BP29" s="256"/>
      <c r="BQ29" s="309"/>
      <c r="BR29" s="321"/>
      <c r="BS29" s="256"/>
      <c r="BT29" s="256"/>
      <c r="BU29" s="256"/>
      <c r="BV29" s="256"/>
      <c r="BW29" s="256"/>
    </row>
    <row r="30" spans="3:113" x14ac:dyDescent="0.25">
      <c r="C30" s="1" t="s">
        <v>118</v>
      </c>
      <c r="F30" s="321">
        <f>'HPS DAILY'!$G$88</f>
        <v>12.22</v>
      </c>
      <c r="G30" s="256">
        <f>'HPS DAILY'!$G$88</f>
        <v>12.22</v>
      </c>
      <c r="H30" s="256">
        <f>'HPS DAILY'!$G$88</f>
        <v>12.22</v>
      </c>
      <c r="I30" s="1331">
        <f>'HPS DAILY'!$G$88</f>
        <v>12.22</v>
      </c>
      <c r="J30" s="321">
        <f>'HPS DAILY'!$H$88</f>
        <v>20.9</v>
      </c>
      <c r="K30" s="256">
        <f>'HPS DAILY'!$H$88</f>
        <v>20.9</v>
      </c>
      <c r="L30" s="256">
        <f>'HPS DAILY'!$H$88</f>
        <v>20.9</v>
      </c>
      <c r="M30" s="256">
        <f>'HPS DAILY'!$H$88</f>
        <v>20.9</v>
      </c>
      <c r="N30" s="1413">
        <f>'HPS DAILY'!$H$88</f>
        <v>20.9</v>
      </c>
      <c r="O30" s="1331">
        <f>'HPS DAILY'!$H$88</f>
        <v>20.9</v>
      </c>
      <c r="P30" s="321">
        <f>'HPS DAILY'!$I$88</f>
        <v>22</v>
      </c>
      <c r="Q30" s="256">
        <f>'HPS DAILY'!$I$88</f>
        <v>22</v>
      </c>
      <c r="R30" s="256">
        <f>'HPS DAILY'!$I$88</f>
        <v>22</v>
      </c>
      <c r="S30" s="1413">
        <f>'HPS DAILY'!$I$88</f>
        <v>22</v>
      </c>
      <c r="T30" s="1413">
        <f>'HPS DAILY'!$I$88</f>
        <v>22</v>
      </c>
      <c r="U30" s="1413">
        <f>'HPS DAILY'!$I$88</f>
        <v>22</v>
      </c>
      <c r="V30" s="256">
        <f>'HPS DAILY'!$I$88</f>
        <v>22</v>
      </c>
      <c r="W30" s="446"/>
      <c r="X30" s="321">
        <f>ISV!G$87</f>
        <v>4.9000000000000004</v>
      </c>
      <c r="Y30" s="256">
        <f>ISV!H$87</f>
        <v>9.1</v>
      </c>
      <c r="Z30" s="256">
        <f>ISV!I$87</f>
        <v>9.1999999999999993</v>
      </c>
      <c r="AA30" s="309">
        <f>ISV!J$87</f>
        <v>0</v>
      </c>
      <c r="AB30" s="321">
        <f>ISV!K$87</f>
        <v>9.4</v>
      </c>
      <c r="AC30" s="256">
        <f>ISV!L$87</f>
        <v>11.2</v>
      </c>
      <c r="AD30" s="256">
        <f>ISV!M$87</f>
        <v>14</v>
      </c>
      <c r="AE30" s="256">
        <f>ISV!N$87</f>
        <v>14.4</v>
      </c>
      <c r="AF30" s="256">
        <f>ISV!O$87</f>
        <v>0</v>
      </c>
      <c r="AG30" s="309">
        <f>ISV!P$87</f>
        <v>0</v>
      </c>
      <c r="AH30" s="321">
        <f>ISV!Q$87</f>
        <v>0</v>
      </c>
      <c r="AI30" s="256">
        <f>ISV!R$87</f>
        <v>14.6</v>
      </c>
      <c r="AJ30" s="256">
        <f>ISV!S$87</f>
        <v>12.83</v>
      </c>
      <c r="AK30" s="256">
        <f>ISV!T$87</f>
        <v>14.4</v>
      </c>
      <c r="AL30" s="256">
        <f>ISV!U$87</f>
        <v>0</v>
      </c>
      <c r="AM30" s="256">
        <f>ISV!V$87</f>
        <v>0</v>
      </c>
      <c r="AN30" s="256"/>
      <c r="AO30" s="422"/>
      <c r="AP30" s="261" cm="1">
        <f t="array" ref="AP30:BF30">'HPS DAILY'!J88:Z88</f>
        <v>4.5999999999999996</v>
      </c>
      <c r="AQ30" s="261">
        <v>4.3</v>
      </c>
      <c r="AR30" s="261">
        <v>4.4000000000000004</v>
      </c>
      <c r="AS30" s="310">
        <v>4.5</v>
      </c>
      <c r="AT30" s="322">
        <v>3</v>
      </c>
      <c r="AU30" s="261">
        <v>5.7</v>
      </c>
      <c r="AV30" s="261">
        <v>6.1</v>
      </c>
      <c r="AW30" s="261">
        <v>6.2</v>
      </c>
      <c r="AX30" s="261">
        <v>6.1</v>
      </c>
      <c r="AY30" s="310">
        <v>6.46</v>
      </c>
      <c r="AZ30" s="322">
        <v>6.7</v>
      </c>
      <c r="BA30" s="261">
        <v>6</v>
      </c>
      <c r="BB30" s="261">
        <v>6.7</v>
      </c>
      <c r="BC30" s="261">
        <v>5.9</v>
      </c>
      <c r="BD30" s="261">
        <v>6.5</v>
      </c>
      <c r="BE30" s="261">
        <v>6.9</v>
      </c>
      <c r="BF30" s="261">
        <v>7</v>
      </c>
      <c r="BG30" s="422"/>
      <c r="BH30" s="256"/>
      <c r="BI30" s="256"/>
      <c r="BJ30" s="256"/>
      <c r="BK30" s="309"/>
      <c r="BL30" s="321"/>
      <c r="BM30" s="256"/>
      <c r="BN30" s="256"/>
      <c r="BO30" s="256"/>
      <c r="BP30" s="256"/>
      <c r="BQ30" s="309"/>
      <c r="BR30" s="321"/>
      <c r="BS30" s="256"/>
      <c r="BT30" s="256"/>
      <c r="BU30" s="256"/>
      <c r="BV30" s="256"/>
      <c r="BW30" s="256"/>
    </row>
    <row r="31" spans="3:113" ht="15.75" thickBot="1" x14ac:dyDescent="0.3">
      <c r="C31" s="671" t="s">
        <v>319</v>
      </c>
      <c r="F31" s="371"/>
      <c r="G31" s="370"/>
      <c r="H31" s="370"/>
      <c r="I31" s="1332"/>
      <c r="J31" s="371">
        <v>20.25</v>
      </c>
      <c r="K31" s="370">
        <v>20.25</v>
      </c>
      <c r="L31" s="370">
        <v>20.25</v>
      </c>
      <c r="M31" s="370">
        <v>20.25</v>
      </c>
      <c r="N31" s="1414">
        <v>20.25</v>
      </c>
      <c r="O31" s="1414">
        <v>20.25</v>
      </c>
      <c r="P31" s="371"/>
      <c r="Q31" s="370"/>
      <c r="R31" s="370"/>
      <c r="S31" s="1414"/>
      <c r="T31" s="1414"/>
      <c r="U31" s="1414"/>
      <c r="V31" s="370"/>
      <c r="W31" s="508"/>
      <c r="X31" s="371"/>
      <c r="Y31" s="370"/>
      <c r="Z31" s="370"/>
      <c r="AA31" s="225"/>
      <c r="AB31" s="371"/>
      <c r="AC31" s="370"/>
      <c r="AD31" s="370"/>
      <c r="AE31" s="370"/>
      <c r="AF31" s="370"/>
      <c r="AG31" s="225"/>
      <c r="AH31" s="371"/>
      <c r="AI31" s="370"/>
      <c r="AJ31" s="370"/>
      <c r="AK31" s="370"/>
      <c r="AL31" s="370"/>
      <c r="AM31" s="370"/>
      <c r="AN31" s="370"/>
      <c r="AO31" s="477"/>
      <c r="AP31" s="685">
        <v>5.0999999999999996</v>
      </c>
      <c r="AQ31" s="685">
        <v>5.9</v>
      </c>
      <c r="AR31" s="685"/>
      <c r="AS31" s="686">
        <v>6.47</v>
      </c>
      <c r="AT31" s="687"/>
      <c r="AU31" s="685">
        <v>4.2</v>
      </c>
      <c r="AV31" s="685"/>
      <c r="AW31" s="685">
        <v>4.4000000000000004</v>
      </c>
      <c r="AX31" s="685">
        <v>5</v>
      </c>
      <c r="AY31" s="686">
        <v>5.09</v>
      </c>
      <c r="AZ31" s="687">
        <v>5.7</v>
      </c>
      <c r="BA31" s="685"/>
      <c r="BB31" s="685">
        <v>6.1</v>
      </c>
      <c r="BC31" s="685"/>
      <c r="BD31" s="685">
        <v>7.5</v>
      </c>
      <c r="BE31" s="685">
        <v>7.49</v>
      </c>
      <c r="BF31" s="387"/>
      <c r="BG31" s="477"/>
      <c r="BH31" s="370"/>
      <c r="BI31" s="370"/>
      <c r="BJ31" s="370"/>
      <c r="BK31" s="225"/>
      <c r="BL31" s="371"/>
      <c r="BM31" s="370"/>
      <c r="BN31" s="370"/>
      <c r="BO31" s="370"/>
      <c r="BP31" s="370"/>
      <c r="BQ31" s="225"/>
      <c r="BR31" s="371"/>
      <c r="BS31" s="370"/>
      <c r="BT31" s="370"/>
      <c r="BU31" s="370"/>
      <c r="BV31" s="370"/>
      <c r="BW31" s="370"/>
      <c r="BX31" s="228"/>
      <c r="BY31" s="463"/>
      <c r="BZ31" s="464"/>
      <c r="CA31" s="228"/>
      <c r="CB31" s="228"/>
      <c r="CC31" s="228"/>
      <c r="CD31" s="229"/>
      <c r="CE31" s="353"/>
      <c r="CF31" s="228"/>
      <c r="CG31" s="228"/>
      <c r="CH31" s="228"/>
      <c r="CI31" s="228"/>
      <c r="CJ31" s="229"/>
      <c r="CK31" s="353"/>
      <c r="CL31" s="228"/>
      <c r="CM31" s="228"/>
      <c r="CN31" s="228"/>
      <c r="CO31" s="228"/>
      <c r="CP31" s="228"/>
      <c r="CQ31" s="228"/>
      <c r="CR31" s="463"/>
      <c r="CS31" s="228"/>
      <c r="CT31" s="228"/>
      <c r="CU31" s="228"/>
      <c r="CV31" s="229"/>
      <c r="CW31" s="353"/>
      <c r="CX31" s="228"/>
      <c r="CY31" s="228"/>
      <c r="CZ31" s="228"/>
      <c r="DA31" s="228"/>
      <c r="DB31" s="229"/>
      <c r="DC31" s="353"/>
      <c r="DD31" s="228"/>
      <c r="DE31" s="228"/>
      <c r="DF31" s="228"/>
      <c r="DG31" s="228"/>
      <c r="DH31" s="228"/>
      <c r="DI31" s="228"/>
    </row>
    <row r="32" spans="3:113" s="360" customFormat="1" ht="16.5" thickTop="1" thickBot="1" x14ac:dyDescent="0.3">
      <c r="C32" s="374"/>
      <c r="D32" s="374"/>
      <c r="E32" s="374"/>
      <c r="F32" s="392"/>
      <c r="G32" s="389"/>
      <c r="H32" s="389"/>
      <c r="I32" s="1334"/>
      <c r="J32" s="392"/>
      <c r="K32" s="389"/>
      <c r="L32" s="389"/>
      <c r="M32" s="389"/>
      <c r="N32" s="1415"/>
      <c r="O32" s="1334"/>
      <c r="P32" s="392"/>
      <c r="Q32" s="389"/>
      <c r="R32" s="389"/>
      <c r="S32" s="1415"/>
      <c r="T32" s="1415"/>
      <c r="U32" s="1415"/>
      <c r="V32" s="389"/>
      <c r="W32" s="512"/>
      <c r="X32" s="392"/>
      <c r="Y32" s="389"/>
      <c r="Z32" s="389"/>
      <c r="AA32" s="390"/>
      <c r="AB32" s="392"/>
      <c r="AC32" s="389"/>
      <c r="AD32" s="389"/>
      <c r="AE32" s="389"/>
      <c r="AF32" s="389"/>
      <c r="AG32" s="390"/>
      <c r="AH32" s="392"/>
      <c r="AI32" s="389"/>
      <c r="AJ32" s="389"/>
      <c r="AK32" s="389"/>
      <c r="AL32" s="389"/>
      <c r="AM32" s="389"/>
      <c r="AN32" s="389"/>
      <c r="AO32" s="491"/>
      <c r="AP32" s="401"/>
      <c r="AQ32" s="401"/>
      <c r="AR32" s="401"/>
      <c r="AS32" s="402"/>
      <c r="AT32" s="403"/>
      <c r="AU32" s="401"/>
      <c r="AV32" s="401"/>
      <c r="AW32" s="401"/>
      <c r="AX32" s="401"/>
      <c r="AY32" s="402"/>
      <c r="AZ32" s="403"/>
      <c r="BA32" s="401"/>
      <c r="BB32" s="401"/>
      <c r="BC32" s="401"/>
      <c r="BD32" s="401"/>
      <c r="BE32" s="401"/>
      <c r="BF32" s="401"/>
      <c r="BG32" s="491"/>
      <c r="BH32" s="389"/>
      <c r="BI32" s="389"/>
      <c r="BJ32" s="389"/>
      <c r="BK32" s="390"/>
      <c r="BL32" s="392"/>
      <c r="BM32" s="389"/>
      <c r="BN32" s="389"/>
      <c r="BO32" s="389"/>
      <c r="BP32" s="389"/>
      <c r="BQ32" s="390"/>
      <c r="BR32" s="392"/>
      <c r="BS32" s="389"/>
      <c r="BT32" s="389"/>
      <c r="BU32" s="389"/>
      <c r="BV32" s="389"/>
      <c r="BW32" s="389"/>
      <c r="BX32" s="377"/>
      <c r="BY32" s="490"/>
      <c r="BZ32" s="492"/>
      <c r="CA32" s="377"/>
      <c r="CB32" s="377"/>
      <c r="CC32" s="377"/>
      <c r="CD32" s="359"/>
      <c r="CE32" s="378"/>
      <c r="CF32" s="377"/>
      <c r="CG32" s="377"/>
      <c r="CH32" s="377"/>
      <c r="CI32" s="377"/>
      <c r="CJ32" s="359"/>
      <c r="CK32" s="378"/>
      <c r="CL32" s="377"/>
      <c r="CM32" s="377"/>
      <c r="CN32" s="377"/>
      <c r="CO32" s="377"/>
      <c r="CP32" s="377"/>
      <c r="CQ32" s="377"/>
      <c r="CR32" s="490"/>
      <c r="CS32" s="377"/>
      <c r="CT32" s="377"/>
      <c r="CU32" s="377"/>
      <c r="CV32" s="359"/>
      <c r="CW32" s="378"/>
      <c r="CX32" s="377"/>
      <c r="CY32" s="377"/>
      <c r="CZ32" s="377"/>
      <c r="DA32" s="377"/>
      <c r="DB32" s="359"/>
      <c r="DC32" s="378"/>
      <c r="DD32" s="377"/>
      <c r="DE32" s="377"/>
      <c r="DF32" s="377"/>
      <c r="DG32" s="377"/>
      <c r="DH32" s="377"/>
      <c r="DI32" s="377"/>
    </row>
    <row r="33" spans="3:114" ht="15.75" thickTop="1" x14ac:dyDescent="0.25">
      <c r="C33" s="1" t="s">
        <v>95</v>
      </c>
      <c r="F33" s="384">
        <f>'HPS DAILY'!$G$89</f>
        <v>25.66</v>
      </c>
      <c r="G33" s="383">
        <f>'HPS DAILY'!$G$89</f>
        <v>25.66</v>
      </c>
      <c r="H33" s="383">
        <f>'HPS DAILY'!$G$89</f>
        <v>25.66</v>
      </c>
      <c r="I33" s="1335">
        <f>'HPS DAILY'!$G$89</f>
        <v>25.66</v>
      </c>
      <c r="J33" s="384">
        <f>'HPS DAILY'!$H$89</f>
        <v>31.59</v>
      </c>
      <c r="K33" s="383">
        <f>'HPS DAILY'!$H$89</f>
        <v>31.59</v>
      </c>
      <c r="L33" s="383">
        <f>'HPS DAILY'!$H$89</f>
        <v>31.59</v>
      </c>
      <c r="M33" s="383">
        <f>'HPS DAILY'!$H$89</f>
        <v>31.59</v>
      </c>
      <c r="N33" s="1416">
        <f>'HPS DAILY'!$H$89</f>
        <v>31.59</v>
      </c>
      <c r="O33" s="1335">
        <f>'HPS DAILY'!$H$89</f>
        <v>31.59</v>
      </c>
      <c r="P33" s="384">
        <f>'HPS DAILY'!$I$89</f>
        <v>32.07</v>
      </c>
      <c r="Q33" s="383">
        <f>'HPS DAILY'!$I$89</f>
        <v>32.07</v>
      </c>
      <c r="R33" s="383">
        <f>'HPS DAILY'!$I$89</f>
        <v>32.07</v>
      </c>
      <c r="S33" s="1416">
        <f>'HPS DAILY'!$I$89</f>
        <v>32.07</v>
      </c>
      <c r="T33" s="1416">
        <f>'HPS DAILY'!$I$89</f>
        <v>32.07</v>
      </c>
      <c r="U33" s="1416">
        <f>'HPS DAILY'!$I$89</f>
        <v>32.07</v>
      </c>
      <c r="V33" s="383">
        <f>'HPS DAILY'!$I$89</f>
        <v>32.07</v>
      </c>
      <c r="W33" s="498"/>
      <c r="X33" s="384">
        <f>ISV!G$88</f>
        <v>11.7</v>
      </c>
      <c r="Y33" s="383">
        <f>ISV!H$88</f>
        <v>22.085100000000001</v>
      </c>
      <c r="Z33" s="383">
        <f>ISV!I$88</f>
        <v>21.51</v>
      </c>
      <c r="AA33" s="232">
        <f>ISV!J$88</f>
        <v>21.13</v>
      </c>
      <c r="AB33" s="384">
        <f>ISV!K$88</f>
        <v>21.1</v>
      </c>
      <c r="AC33" s="383">
        <f>ISV!L$88</f>
        <v>22.4</v>
      </c>
      <c r="AD33" s="383">
        <f>ISV!M$88</f>
        <v>24.6</v>
      </c>
      <c r="AE33" s="383">
        <f>ISV!N$88</f>
        <v>24.81</v>
      </c>
      <c r="AF33" s="383">
        <f>ISV!O$88</f>
        <v>0</v>
      </c>
      <c r="AG33" s="232">
        <f>ISV!P$88</f>
        <v>0</v>
      </c>
      <c r="AH33" s="384">
        <f>ISV!Q$88</f>
        <v>0</v>
      </c>
      <c r="AI33" s="383">
        <f>ISV!R$88</f>
        <v>26.02</v>
      </c>
      <c r="AJ33" s="383">
        <f>ISV!S$88</f>
        <v>24.52</v>
      </c>
      <c r="AK33" s="383">
        <f>ISV!T$88</f>
        <v>0</v>
      </c>
      <c r="AL33" s="383">
        <f>ISV!U$88</f>
        <v>0</v>
      </c>
      <c r="AM33" s="383">
        <f>ISV!V$88</f>
        <v>0</v>
      </c>
      <c r="AN33" s="383"/>
      <c r="AO33" s="487"/>
      <c r="AP33" s="383">
        <f>'HPS DAILY'!J$89</f>
        <v>14.8</v>
      </c>
      <c r="AQ33" s="383">
        <f>'HPS DAILY'!K$89</f>
        <v>14.57</v>
      </c>
      <c r="AR33" s="383">
        <f>'HPS DAILY'!L$89</f>
        <v>14.55</v>
      </c>
      <c r="AS33" s="232">
        <f>'HPS DAILY'!M$89</f>
        <v>14.7</v>
      </c>
      <c r="AT33" s="384">
        <f>'HPS DAILY'!N$89</f>
        <v>9.61</v>
      </c>
      <c r="AU33" s="383">
        <f>'HPS DAILY'!O$89</f>
        <v>13.7</v>
      </c>
      <c r="AV33" s="383">
        <f>'HPS DAILY'!P$89</f>
        <v>14.2</v>
      </c>
      <c r="AW33" s="383">
        <f>'HPS DAILY'!Q$89</f>
        <v>14</v>
      </c>
      <c r="AX33" s="383">
        <f>'HPS DAILY'!R$89</f>
        <v>13.96</v>
      </c>
      <c r="AY33" s="232">
        <f>'HPS DAILY'!S$89</f>
        <v>14.8</v>
      </c>
      <c r="AZ33" s="384">
        <f>'HPS DAILY'!T$89</f>
        <v>13.97</v>
      </c>
      <c r="BA33" s="383">
        <f>'HPS DAILY'!U$89</f>
        <v>13.44</v>
      </c>
      <c r="BB33" s="383">
        <f>'HPS DAILY'!V$89</f>
        <v>14.2</v>
      </c>
      <c r="BC33" s="383">
        <f>'HPS DAILY'!W$89</f>
        <v>13.5</v>
      </c>
      <c r="BD33" s="383">
        <f>'HPS DAILY'!X$89</f>
        <v>14.07</v>
      </c>
      <c r="BE33" s="383">
        <f>'HPS DAILY'!Y$89</f>
        <v>14.5</v>
      </c>
      <c r="BF33" s="383">
        <f>'HPS DAILY'!Z$89</f>
        <v>14.2</v>
      </c>
      <c r="BG33" s="487"/>
      <c r="BH33" s="351"/>
      <c r="BI33" s="351"/>
      <c r="BJ33" s="351"/>
      <c r="BK33" s="231"/>
      <c r="BL33" s="350"/>
      <c r="BM33" s="351"/>
      <c r="BN33" s="351"/>
      <c r="BO33" s="351"/>
      <c r="BP33" s="351"/>
      <c r="BQ33" s="231"/>
      <c r="BR33" s="350"/>
      <c r="BS33" s="351"/>
      <c r="BT33" s="351"/>
      <c r="BU33" s="351"/>
      <c r="BV33" s="351"/>
      <c r="BW33" s="351"/>
      <c r="BX33" s="234"/>
      <c r="BY33" s="486"/>
      <c r="BZ33" s="488"/>
      <c r="CA33" s="234"/>
      <c r="CB33" s="234"/>
      <c r="CC33" s="234"/>
      <c r="CD33" s="235"/>
      <c r="CE33" s="352"/>
      <c r="CF33" s="234"/>
      <c r="CG33" s="234"/>
      <c r="CH33" s="234"/>
      <c r="CI33" s="234"/>
      <c r="CJ33" s="235"/>
      <c r="CK33" s="352"/>
      <c r="CL33" s="234"/>
      <c r="CM33" s="234"/>
      <c r="CN33" s="234"/>
      <c r="CO33" s="234"/>
      <c r="CP33" s="234"/>
      <c r="CQ33" s="234"/>
      <c r="CR33" s="486"/>
      <c r="CS33" s="234"/>
      <c r="CT33" s="234"/>
      <c r="CU33" s="234"/>
      <c r="CV33" s="235"/>
      <c r="CW33" s="352"/>
      <c r="CX33" s="234"/>
      <c r="CY33" s="234"/>
      <c r="CZ33" s="234"/>
      <c r="DA33" s="234"/>
      <c r="DB33" s="235"/>
      <c r="DC33" s="352"/>
      <c r="DD33" s="234"/>
      <c r="DE33" s="234"/>
      <c r="DF33" s="234"/>
      <c r="DG33" s="234"/>
      <c r="DH33" s="234"/>
      <c r="DI33" s="234"/>
    </row>
    <row r="34" spans="3:114" ht="15.75" thickBot="1" x14ac:dyDescent="0.3">
      <c r="C34" s="637" t="s">
        <v>318</v>
      </c>
      <c r="F34" s="388"/>
      <c r="G34" s="387"/>
      <c r="H34" s="387"/>
      <c r="I34" s="1336"/>
      <c r="J34" s="388">
        <v>26.89</v>
      </c>
      <c r="K34" s="387">
        <v>26.89</v>
      </c>
      <c r="L34" s="387">
        <v>26.89</v>
      </c>
      <c r="M34" s="387">
        <v>26.89</v>
      </c>
      <c r="N34" s="1417">
        <v>26.89</v>
      </c>
      <c r="O34" s="1336">
        <v>26.89</v>
      </c>
      <c r="P34" s="388">
        <v>25.28</v>
      </c>
      <c r="Q34" s="387">
        <v>25.28</v>
      </c>
      <c r="R34" s="387">
        <v>25.28</v>
      </c>
      <c r="S34" s="1417">
        <v>25.28</v>
      </c>
      <c r="T34" s="1417">
        <v>25.28</v>
      </c>
      <c r="U34" s="1417">
        <v>25.28</v>
      </c>
      <c r="V34" s="370"/>
      <c r="W34" s="508"/>
      <c r="X34" s="371"/>
      <c r="Y34" s="370"/>
      <c r="Z34" s="370"/>
      <c r="AA34" s="225"/>
      <c r="AB34" s="371"/>
      <c r="AC34" s="370"/>
      <c r="AD34" s="370"/>
      <c r="AE34" s="370"/>
      <c r="AF34" s="370"/>
      <c r="AG34" s="225"/>
      <c r="AH34" s="371"/>
      <c r="AI34" s="370"/>
      <c r="AJ34" s="370"/>
      <c r="AK34" s="370"/>
      <c r="AL34" s="370"/>
      <c r="AM34" s="370"/>
      <c r="AN34" s="370"/>
      <c r="AO34" s="477"/>
      <c r="AP34" s="685">
        <v>14.2</v>
      </c>
      <c r="AQ34" s="685">
        <v>14.5</v>
      </c>
      <c r="AR34" s="685">
        <v>15</v>
      </c>
      <c r="AS34" s="686">
        <v>15.23</v>
      </c>
      <c r="AT34" s="687">
        <v>10</v>
      </c>
      <c r="AU34" s="685">
        <v>10.5</v>
      </c>
      <c r="AV34" s="685">
        <v>11.6</v>
      </c>
      <c r="AW34" s="685">
        <v>11.6</v>
      </c>
      <c r="AX34" s="685">
        <v>12</v>
      </c>
      <c r="AY34" s="686">
        <v>12.27</v>
      </c>
      <c r="AZ34" s="687">
        <v>13.2</v>
      </c>
      <c r="BA34" s="685">
        <v>12.5</v>
      </c>
      <c r="BB34" s="685">
        <v>12.6</v>
      </c>
      <c r="BC34" s="685">
        <v>12.8</v>
      </c>
      <c r="BD34" s="685">
        <v>13</v>
      </c>
      <c r="BE34" s="685">
        <v>12.43</v>
      </c>
      <c r="BF34" s="387"/>
      <c r="BG34" s="477"/>
      <c r="BH34" s="370"/>
      <c r="BI34" s="370"/>
      <c r="BJ34" s="370"/>
      <c r="BK34" s="225"/>
      <c r="BL34" s="371"/>
      <c r="BM34" s="370"/>
      <c r="BN34" s="370"/>
      <c r="BO34" s="370"/>
      <c r="BP34" s="370"/>
      <c r="BQ34" s="225"/>
      <c r="BR34" s="371"/>
      <c r="BS34" s="370"/>
      <c r="BT34" s="370"/>
      <c r="BU34" s="370"/>
      <c r="BV34" s="370"/>
      <c r="BW34" s="370"/>
      <c r="BX34" s="228"/>
      <c r="BY34" s="463"/>
      <c r="BZ34" s="464"/>
      <c r="CA34" s="228"/>
      <c r="CB34" s="228"/>
      <c r="CC34" s="228"/>
      <c r="CD34" s="229"/>
      <c r="CE34" s="353"/>
      <c r="CF34" s="228"/>
      <c r="CG34" s="228"/>
      <c r="CH34" s="228"/>
      <c r="CI34" s="228"/>
      <c r="CJ34" s="229"/>
      <c r="CK34" s="353"/>
      <c r="CL34" s="228"/>
      <c r="CM34" s="228"/>
      <c r="CN34" s="228"/>
      <c r="CO34" s="228"/>
      <c r="CP34" s="228"/>
      <c r="CQ34" s="228"/>
      <c r="CR34" s="463"/>
      <c r="CS34" s="228"/>
      <c r="CT34" s="228"/>
      <c r="CU34" s="228"/>
      <c r="CV34" s="229"/>
      <c r="CW34" s="353"/>
      <c r="CX34" s="228"/>
      <c r="CY34" s="228"/>
      <c r="CZ34" s="228"/>
      <c r="DA34" s="228"/>
      <c r="DB34" s="229"/>
      <c r="DC34" s="353"/>
      <c r="DD34" s="228"/>
      <c r="DE34" s="228"/>
      <c r="DF34" s="228"/>
      <c r="DG34" s="228"/>
      <c r="DH34" s="228"/>
      <c r="DI34" s="228"/>
    </row>
    <row r="35" spans="3:114" s="360" customFormat="1" ht="16.5" thickTop="1" thickBot="1" x14ac:dyDescent="0.3">
      <c r="C35" s="374"/>
      <c r="D35" s="374"/>
      <c r="E35" s="374"/>
      <c r="F35" s="378"/>
      <c r="G35" s="377"/>
      <c r="H35" s="377"/>
      <c r="I35" s="1333"/>
      <c r="J35" s="378"/>
      <c r="K35" s="377"/>
      <c r="L35" s="377"/>
      <c r="M35" s="377"/>
      <c r="N35" s="1411"/>
      <c r="O35" s="1333"/>
      <c r="P35" s="378"/>
      <c r="Q35" s="377"/>
      <c r="R35" s="377"/>
      <c r="S35" s="1411"/>
      <c r="T35" s="1411"/>
      <c r="U35" s="1411"/>
      <c r="V35" s="377"/>
      <c r="W35" s="489"/>
      <c r="X35" s="378"/>
      <c r="Y35" s="377"/>
      <c r="Z35" s="377"/>
      <c r="AA35" s="359"/>
      <c r="AB35" s="378"/>
      <c r="AC35" s="377"/>
      <c r="AD35" s="377"/>
      <c r="AE35" s="377"/>
      <c r="AF35" s="377"/>
      <c r="AG35" s="359"/>
      <c r="AH35" s="378"/>
      <c r="AI35" s="377"/>
      <c r="AJ35" s="377"/>
      <c r="AK35" s="377"/>
      <c r="AL35" s="377"/>
      <c r="AM35" s="377"/>
      <c r="AN35" s="377"/>
      <c r="AO35" s="490"/>
      <c r="AP35" s="398"/>
      <c r="AQ35" s="398"/>
      <c r="AR35" s="398"/>
      <c r="AS35" s="399"/>
      <c r="AT35" s="400"/>
      <c r="AU35" s="398"/>
      <c r="AV35" s="398"/>
      <c r="AW35" s="398"/>
      <c r="AX35" s="398"/>
      <c r="AY35" s="399"/>
      <c r="AZ35" s="400"/>
      <c r="BA35" s="398"/>
      <c r="BB35" s="398"/>
      <c r="BC35" s="398"/>
      <c r="BD35" s="398"/>
      <c r="BE35" s="398"/>
      <c r="BF35" s="398"/>
      <c r="BG35" s="490"/>
      <c r="BH35" s="377"/>
      <c r="BI35" s="377"/>
      <c r="BJ35" s="377"/>
      <c r="BK35" s="359"/>
      <c r="BL35" s="378"/>
      <c r="BM35" s="377"/>
      <c r="BN35" s="377"/>
      <c r="BO35" s="377"/>
      <c r="BP35" s="377"/>
      <c r="BQ35" s="359"/>
      <c r="BR35" s="378"/>
      <c r="BS35" s="377"/>
      <c r="BT35" s="377"/>
      <c r="BU35" s="377"/>
      <c r="BV35" s="377"/>
      <c r="BW35" s="377"/>
      <c r="BX35" s="377"/>
      <c r="BY35" s="490"/>
      <c r="BZ35" s="492"/>
      <c r="CA35" s="377"/>
      <c r="CB35" s="377"/>
      <c r="CC35" s="377"/>
      <c r="CD35" s="359"/>
      <c r="CE35" s="378"/>
      <c r="CF35" s="377"/>
      <c r="CG35" s="377"/>
      <c r="CH35" s="377"/>
      <c r="CI35" s="377"/>
      <c r="CJ35" s="359"/>
      <c r="CK35" s="378"/>
      <c r="CL35" s="377"/>
      <c r="CM35" s="377"/>
      <c r="CN35" s="377"/>
      <c r="CO35" s="377"/>
      <c r="CP35" s="377"/>
      <c r="CQ35" s="377"/>
      <c r="CR35" s="490"/>
      <c r="CS35" s="377"/>
      <c r="CT35" s="377"/>
      <c r="CU35" s="377"/>
      <c r="CV35" s="359"/>
      <c r="CW35" s="378"/>
      <c r="CX35" s="377"/>
      <c r="CY35" s="377"/>
      <c r="CZ35" s="377"/>
      <c r="DA35" s="377"/>
      <c r="DB35" s="359"/>
      <c r="DC35" s="378"/>
      <c r="DD35" s="377"/>
      <c r="DE35" s="377"/>
      <c r="DF35" s="377"/>
      <c r="DG35" s="377"/>
      <c r="DH35" s="377"/>
      <c r="DI35" s="377"/>
    </row>
    <row r="36" spans="3:114" ht="15.75" thickTop="1" x14ac:dyDescent="0.25">
      <c r="C36" s="1" t="s">
        <v>174</v>
      </c>
      <c r="F36" s="384" cm="1">
        <f t="array" ref="F36:F38">'HPS DAILY'!$G$27:$G$29</f>
        <v>84.31</v>
      </c>
      <c r="G36" s="383" cm="1">
        <f t="array" ref="G36:G38">'HPS DAILY'!$G$27:$G$29</f>
        <v>84.31</v>
      </c>
      <c r="H36" s="383" cm="1">
        <f t="array" ref="H36:H38">'HPS DAILY'!$G$27:$G$29</f>
        <v>84.31</v>
      </c>
      <c r="I36" s="1335" cm="1">
        <f t="array" ref="I36:I38">'HPS DAILY'!$G$27:$G$29</f>
        <v>84.31</v>
      </c>
      <c r="J36" s="384">
        <f>'HPS DAILY'!$H$27</f>
        <v>84.05</v>
      </c>
      <c r="K36" s="383">
        <f>'HPS DAILY'!$H$27</f>
        <v>84.05</v>
      </c>
      <c r="L36" s="383">
        <f>'HPS DAILY'!$H$27</f>
        <v>84.05</v>
      </c>
      <c r="M36" s="383">
        <f>'HPS DAILY'!$H$27</f>
        <v>84.05</v>
      </c>
      <c r="N36" s="1416">
        <f>'HPS DAILY'!$H$27</f>
        <v>84.05</v>
      </c>
      <c r="O36" s="1335">
        <f>'HPS DAILY'!$H$27</f>
        <v>84.05</v>
      </c>
      <c r="P36" s="384">
        <f>'HPS DAILY'!$I$27</f>
        <v>84.66</v>
      </c>
      <c r="Q36" s="383">
        <f>'HPS DAILY'!$I$27</f>
        <v>84.66</v>
      </c>
      <c r="R36" s="383">
        <f>'HPS DAILY'!$I$27</f>
        <v>84.66</v>
      </c>
      <c r="S36" s="1416">
        <f>'HPS DAILY'!$I$27</f>
        <v>84.66</v>
      </c>
      <c r="T36" s="1416">
        <f>'HPS DAILY'!$I$27</f>
        <v>84.66</v>
      </c>
      <c r="U36" s="1416">
        <f>'HPS DAILY'!$I$27</f>
        <v>84.66</v>
      </c>
      <c r="V36" s="383">
        <f>'HPS DAILY'!$I$27</f>
        <v>84.66</v>
      </c>
      <c r="W36" s="468"/>
      <c r="X36" s="394">
        <f>ISV!G$26</f>
        <v>88.02</v>
      </c>
      <c r="Y36" s="393">
        <f>ISV!H$26</f>
        <v>86.25</v>
      </c>
      <c r="Z36" s="393">
        <f>ISV!I$26</f>
        <v>86.14</v>
      </c>
      <c r="AA36" s="301">
        <f>ISV!J$26</f>
        <v>0</v>
      </c>
      <c r="AB36" s="394">
        <f>ISV!K$26</f>
        <v>86.59</v>
      </c>
      <c r="AC36" s="393">
        <f>ISV!L$26</f>
        <v>85.53</v>
      </c>
      <c r="AD36" s="393">
        <f>ISV!M$26</f>
        <v>85.98</v>
      </c>
      <c r="AE36" s="393">
        <f>ISV!N$26</f>
        <v>86.67</v>
      </c>
      <c r="AF36" s="393">
        <f>ISV!O$26</f>
        <v>0</v>
      </c>
      <c r="AG36" s="301">
        <f>ISV!P$26</f>
        <v>0</v>
      </c>
      <c r="AH36" s="394">
        <f>ISV!Q$26</f>
        <v>0</v>
      </c>
      <c r="AI36" s="393">
        <f>ISV!R$26</f>
        <v>86.99</v>
      </c>
      <c r="AJ36" s="393">
        <f>ISV!S$26</f>
        <v>87.85</v>
      </c>
      <c r="AK36" s="393">
        <f>ISV!T$26</f>
        <v>86.78</v>
      </c>
      <c r="AL36" s="393">
        <f>ISV!U$26</f>
        <v>0</v>
      </c>
      <c r="AM36" s="393">
        <f>ISV!V$26</f>
        <v>0</v>
      </c>
      <c r="AN36" s="393"/>
      <c r="AO36" s="486"/>
      <c r="AP36" s="395">
        <f>'HPS DAILY'!J$27</f>
        <v>88.08</v>
      </c>
      <c r="AQ36" s="395">
        <f>'HPS DAILY'!K$27</f>
        <v>87.96</v>
      </c>
      <c r="AR36" s="395">
        <f>'HPS DAILY'!L$27</f>
        <v>87.83</v>
      </c>
      <c r="AS36" s="396">
        <f>'HPS DAILY'!M$27</f>
        <v>87.56</v>
      </c>
      <c r="AT36" s="397">
        <f>'HPS DAILY'!N$27</f>
        <v>88.31</v>
      </c>
      <c r="AU36" s="395">
        <f>'HPS DAILY'!O$27</f>
        <v>88.14</v>
      </c>
      <c r="AV36" s="395">
        <f>'HPS DAILY'!P$27</f>
        <v>88.24</v>
      </c>
      <c r="AW36" s="395">
        <f>'HPS DAILY'!Q$27</f>
        <v>88.37</v>
      </c>
      <c r="AX36" s="395">
        <f>'HPS DAILY'!R$27</f>
        <v>88.46</v>
      </c>
      <c r="AY36" s="396">
        <f>'HPS DAILY'!S$27</f>
        <v>88.77</v>
      </c>
      <c r="AZ36" s="397">
        <f>'HPS DAILY'!T$27</f>
        <v>88.86</v>
      </c>
      <c r="BA36" s="395">
        <f>'HPS DAILY'!U$27</f>
        <v>88.53</v>
      </c>
      <c r="BB36" s="395">
        <f>'HPS DAILY'!V$27</f>
        <v>88.67</v>
      </c>
      <c r="BC36" s="395">
        <f>'HPS DAILY'!W$27</f>
        <v>88.1</v>
      </c>
      <c r="BD36" s="395">
        <f>'HPS DAILY'!X$27</f>
        <v>88.52</v>
      </c>
      <c r="BE36" s="395">
        <f>'HPS DAILY'!Y$27</f>
        <v>88.35</v>
      </c>
      <c r="BF36" s="395">
        <f>'HPS DAILY'!Z$27</f>
        <v>88.33</v>
      </c>
      <c r="BG36" s="486"/>
      <c r="BH36" s="383"/>
      <c r="BI36" s="383"/>
      <c r="BJ36" s="383"/>
      <c r="BK36" s="232"/>
      <c r="BL36" s="384"/>
      <c r="BM36" s="383"/>
      <c r="BN36" s="383"/>
      <c r="BO36" s="383"/>
      <c r="BP36" s="383"/>
      <c r="BQ36" s="232"/>
      <c r="BR36" s="384"/>
      <c r="BS36" s="383"/>
      <c r="BT36" s="383"/>
      <c r="BU36" s="383"/>
      <c r="BV36" s="383"/>
      <c r="BW36" s="383"/>
      <c r="BX36" s="362"/>
      <c r="BY36" s="486"/>
      <c r="BZ36" s="488"/>
      <c r="CA36" s="234"/>
      <c r="CB36" s="234"/>
      <c r="CC36" s="234"/>
      <c r="CD36" s="235"/>
      <c r="CE36" s="352"/>
      <c r="CF36" s="234"/>
      <c r="CG36" s="234"/>
      <c r="CH36" s="234"/>
      <c r="CI36" s="234"/>
      <c r="CJ36" s="235"/>
      <c r="CK36" s="352"/>
      <c r="CL36" s="234"/>
      <c r="CM36" s="234"/>
      <c r="CN36" s="234"/>
      <c r="CO36" s="234"/>
      <c r="CP36" s="234"/>
      <c r="CQ36" s="234"/>
      <c r="CR36" s="486"/>
      <c r="CS36" s="234"/>
      <c r="CT36" s="234"/>
      <c r="CU36" s="234"/>
      <c r="CV36" s="235"/>
      <c r="CW36" s="352"/>
      <c r="CX36" s="234"/>
      <c r="CY36" s="234"/>
      <c r="CZ36" s="234"/>
      <c r="DA36" s="234"/>
      <c r="DB36" s="235"/>
      <c r="DC36" s="352"/>
      <c r="DD36" s="234"/>
      <c r="DE36" s="234"/>
      <c r="DF36" s="234"/>
      <c r="DG36" s="234"/>
      <c r="DH36" s="234"/>
      <c r="DI36" s="234"/>
    </row>
    <row r="37" spans="3:114" x14ac:dyDescent="0.25">
      <c r="C37" s="1" t="s">
        <v>175</v>
      </c>
      <c r="F37" s="322">
        <v>9.782</v>
      </c>
      <c r="G37" s="261">
        <v>9.782</v>
      </c>
      <c r="H37" s="261">
        <v>9.782</v>
      </c>
      <c r="I37" s="1337">
        <v>9.782</v>
      </c>
      <c r="J37" s="322">
        <f>'HPS DAILY'!$H$28</f>
        <v>9.68</v>
      </c>
      <c r="K37" s="261">
        <f>'HPS DAILY'!$H$28</f>
        <v>9.68</v>
      </c>
      <c r="L37" s="261">
        <f>'HPS DAILY'!$H$28</f>
        <v>9.68</v>
      </c>
      <c r="M37" s="261">
        <f>'HPS DAILY'!$H$28</f>
        <v>9.68</v>
      </c>
      <c r="N37" s="1418">
        <f>'HPS DAILY'!$H$28</f>
        <v>9.68</v>
      </c>
      <c r="O37" s="1337">
        <f>'HPS DAILY'!$H$28</f>
        <v>9.68</v>
      </c>
      <c r="P37" s="322">
        <f>'HPS DAILY'!$I$28</f>
        <v>9.7899999999999991</v>
      </c>
      <c r="Q37" s="261">
        <f>'HPS DAILY'!$I$28</f>
        <v>9.7899999999999991</v>
      </c>
      <c r="R37" s="261">
        <f>'HPS DAILY'!$I$28</f>
        <v>9.7899999999999991</v>
      </c>
      <c r="S37" s="1418">
        <f>'HPS DAILY'!$I$28</f>
        <v>9.7899999999999991</v>
      </c>
      <c r="T37" s="1418">
        <f>'HPS DAILY'!$I$28</f>
        <v>9.7899999999999991</v>
      </c>
      <c r="U37" s="1418">
        <f>'HPS DAILY'!$I$28</f>
        <v>9.7899999999999991</v>
      </c>
      <c r="V37" s="261">
        <f>'HPS DAILY'!$I$28</f>
        <v>9.7899999999999991</v>
      </c>
      <c r="X37" s="330">
        <f>ISV!G$26</f>
        <v>88.02</v>
      </c>
      <c r="Y37" s="279">
        <f>ISV!H$26</f>
        <v>86.25</v>
      </c>
      <c r="Z37" s="279">
        <f>ISV!I$26</f>
        <v>86.14</v>
      </c>
      <c r="AA37" s="314">
        <f>ISV!J$26</f>
        <v>0</v>
      </c>
      <c r="AB37" s="330">
        <f>ISV!K$26</f>
        <v>86.59</v>
      </c>
      <c r="AC37" s="279">
        <f>ISV!L$26</f>
        <v>85.53</v>
      </c>
      <c r="AD37" s="279">
        <f>ISV!M$26</f>
        <v>85.98</v>
      </c>
      <c r="AE37" s="279">
        <f>ISV!N$26</f>
        <v>86.67</v>
      </c>
      <c r="AF37" s="279">
        <f>ISV!O$26</f>
        <v>0</v>
      </c>
      <c r="AG37" s="314">
        <f>ISV!P$26</f>
        <v>0</v>
      </c>
      <c r="AH37" s="330">
        <f>ISV!Q$26</f>
        <v>0</v>
      </c>
      <c r="AI37" s="279">
        <f>ISV!R$26</f>
        <v>86.99</v>
      </c>
      <c r="AJ37" s="279">
        <f>ISV!S$26</f>
        <v>87.85</v>
      </c>
      <c r="AK37" s="279">
        <f>ISV!T$26</f>
        <v>86.78</v>
      </c>
      <c r="AL37" s="279">
        <f>ISV!U$26</f>
        <v>0</v>
      </c>
      <c r="AM37" s="279">
        <f>ISV!V$26</f>
        <v>0</v>
      </c>
      <c r="AN37" s="279"/>
      <c r="AP37" s="262">
        <f>'HPS DAILY'!J$28</f>
        <v>11.2</v>
      </c>
      <c r="AQ37" s="262">
        <f>'HPS DAILY'!K$28</f>
        <v>10.56</v>
      </c>
      <c r="AR37" s="262">
        <f>'HPS DAILY'!L$28</f>
        <v>10.98</v>
      </c>
      <c r="AS37" s="316">
        <f>'HPS DAILY'!M$28</f>
        <v>11.44</v>
      </c>
      <c r="AT37" s="332">
        <f>'HPS DAILY'!N$28</f>
        <v>11.57</v>
      </c>
      <c r="AU37" s="262">
        <f>'HPS DAILY'!O$28</f>
        <v>11.26</v>
      </c>
      <c r="AV37" s="262">
        <f>'HPS DAILY'!P$28</f>
        <v>11.51</v>
      </c>
      <c r="AW37" s="262">
        <f>'HPS DAILY'!Q$28</f>
        <v>11.43</v>
      </c>
      <c r="AX37" s="262">
        <f>'HPS DAILY'!R$28</f>
        <v>11.44</v>
      </c>
      <c r="AY37" s="316">
        <f>'HPS DAILY'!S$28</f>
        <v>11.32</v>
      </c>
      <c r="AZ37" s="332">
        <f>'HPS DAILY'!T$28</f>
        <v>11.41</v>
      </c>
      <c r="BA37" s="262">
        <f>'HPS DAILY'!U$28</f>
        <v>11.55</v>
      </c>
      <c r="BB37" s="262">
        <f>'HPS DAILY'!V$28</f>
        <v>11.65</v>
      </c>
      <c r="BC37" s="262">
        <f>'HPS DAILY'!W$28</f>
        <v>11.73</v>
      </c>
      <c r="BD37" s="262">
        <f>'HPS DAILY'!X$28</f>
        <v>11.77</v>
      </c>
      <c r="BE37" s="262">
        <f>'HPS DAILY'!Y$28</f>
        <v>11.55</v>
      </c>
      <c r="BF37" s="262">
        <f>'HPS DAILY'!Z$28</f>
        <v>11.86</v>
      </c>
      <c r="BH37" s="261"/>
      <c r="BI37" s="261"/>
      <c r="BJ37" s="261"/>
      <c r="BK37" s="310"/>
      <c r="BL37" s="322"/>
      <c r="BM37" s="261"/>
      <c r="BN37" s="261"/>
      <c r="BO37" s="261"/>
      <c r="BP37" s="261"/>
      <c r="BQ37" s="310"/>
      <c r="BR37" s="322"/>
      <c r="BS37" s="261"/>
      <c r="BT37" s="261"/>
      <c r="BU37" s="261"/>
      <c r="BV37" s="261"/>
      <c r="BW37" s="261"/>
    </row>
    <row r="38" spans="3:114" x14ac:dyDescent="0.25">
      <c r="C38" s="1" t="s">
        <v>176</v>
      </c>
      <c r="F38" s="322">
        <v>0.56699999999999995</v>
      </c>
      <c r="G38" s="261">
        <v>0.56699999999999995</v>
      </c>
      <c r="H38" s="261">
        <v>0.56699999999999995</v>
      </c>
      <c r="I38" s="1337">
        <v>0.56699999999999995</v>
      </c>
      <c r="J38" s="322">
        <f>'HPS DAILY'!$H$29</f>
        <v>0.79</v>
      </c>
      <c r="K38" s="261">
        <f>'HPS DAILY'!$H$29</f>
        <v>0.79</v>
      </c>
      <c r="L38" s="261">
        <f>'HPS DAILY'!$H$29</f>
        <v>0.79</v>
      </c>
      <c r="M38" s="261">
        <f>'HPS DAILY'!$H$29</f>
        <v>0.79</v>
      </c>
      <c r="N38" s="1418">
        <f>'HPS DAILY'!$H$29</f>
        <v>0.79</v>
      </c>
      <c r="O38" s="1337">
        <f>'HPS DAILY'!$H$29</f>
        <v>0.79</v>
      </c>
      <c r="P38" s="322">
        <f>'HPS DAILY'!$I$29</f>
        <v>2.5089999999999999</v>
      </c>
      <c r="Q38" s="261">
        <f>'HPS DAILY'!$I$29</f>
        <v>2.5089999999999999</v>
      </c>
      <c r="R38" s="261">
        <f>'HPS DAILY'!$I$29</f>
        <v>2.5089999999999999</v>
      </c>
      <c r="S38" s="1418">
        <f>'HPS DAILY'!$I$29</f>
        <v>2.5089999999999999</v>
      </c>
      <c r="T38" s="1418">
        <f>'HPS DAILY'!$I$29</f>
        <v>2.5089999999999999</v>
      </c>
      <c r="U38" s="1418">
        <f>'HPS DAILY'!$I$29</f>
        <v>2.5089999999999999</v>
      </c>
      <c r="V38" s="261">
        <f>'HPS DAILY'!$I$29</f>
        <v>2.5089999999999999</v>
      </c>
      <c r="X38" s="330">
        <f>ISV!G$28</f>
        <v>0.27</v>
      </c>
      <c r="Y38" s="279">
        <f>ISV!H$28</f>
        <v>0.50290000000000001</v>
      </c>
      <c r="Z38" s="279">
        <f>ISV!I$28</f>
        <v>0.53810000000000002</v>
      </c>
      <c r="AA38" s="314">
        <f>ISV!J$28</f>
        <v>0</v>
      </c>
      <c r="AB38" s="330">
        <f>ISV!K$28</f>
        <v>0.66</v>
      </c>
      <c r="AC38" s="279">
        <f>ISV!L$28</f>
        <v>0.64059999999999995</v>
      </c>
      <c r="AD38" s="279">
        <f>ISV!M$28</f>
        <v>0.86099999999999999</v>
      </c>
      <c r="AE38" s="279">
        <f>ISV!N$28</f>
        <v>1.802</v>
      </c>
      <c r="AF38" s="279">
        <f>ISV!O$28</f>
        <v>0</v>
      </c>
      <c r="AG38" s="314">
        <f>ISV!P$28</f>
        <v>0</v>
      </c>
      <c r="AH38" s="330">
        <f>ISV!Q$28</f>
        <v>0</v>
      </c>
      <c r="AI38" s="279">
        <f>ISV!R$28</f>
        <v>2.3199999999999998</v>
      </c>
      <c r="AJ38" s="279">
        <f>ISV!S$28</f>
        <v>2.84</v>
      </c>
      <c r="AK38" s="279">
        <f>ISV!T$28</f>
        <v>4.34</v>
      </c>
      <c r="AL38" s="279">
        <f>ISV!U$28</f>
        <v>0</v>
      </c>
      <c r="AM38" s="279">
        <f>ISV!V$28</f>
        <v>0</v>
      </c>
      <c r="AN38" s="279"/>
      <c r="AP38" s="262">
        <f>'HPS DAILY'!J$29</f>
        <v>0.44</v>
      </c>
      <c r="AQ38" s="262">
        <f>'HPS DAILY'!K$28</f>
        <v>10.56</v>
      </c>
      <c r="AR38" s="262">
        <f>'HPS DAILY'!L$28</f>
        <v>10.98</v>
      </c>
      <c r="AS38" s="316">
        <f>'HPS DAILY'!M$28</f>
        <v>11.44</v>
      </c>
      <c r="AT38" s="332">
        <f>'HPS DAILY'!N$28</f>
        <v>11.57</v>
      </c>
      <c r="AU38" s="262">
        <f>'HPS DAILY'!O$28</f>
        <v>11.26</v>
      </c>
      <c r="AV38" s="262">
        <f>'HPS DAILY'!P$28</f>
        <v>11.51</v>
      </c>
      <c r="AW38" s="262">
        <f>'HPS DAILY'!Q$28</f>
        <v>11.43</v>
      </c>
      <c r="AX38" s="262">
        <f>'HPS DAILY'!R$28</f>
        <v>11.44</v>
      </c>
      <c r="AY38" s="316">
        <f>'HPS DAILY'!S$28</f>
        <v>11.32</v>
      </c>
      <c r="AZ38" s="332">
        <f>'HPS DAILY'!T$28</f>
        <v>11.41</v>
      </c>
      <c r="BA38" s="262">
        <f>'HPS DAILY'!U$28</f>
        <v>11.55</v>
      </c>
      <c r="BB38" s="262">
        <f>'HPS DAILY'!V$28</f>
        <v>11.65</v>
      </c>
      <c r="BC38" s="262">
        <f>'HPS DAILY'!W$28</f>
        <v>11.73</v>
      </c>
      <c r="BD38" s="262">
        <f>'HPS DAILY'!X$28</f>
        <v>11.77</v>
      </c>
      <c r="BE38" s="262">
        <f>'HPS DAILY'!Y$28</f>
        <v>11.55</v>
      </c>
      <c r="BF38" s="262">
        <f>'HPS DAILY'!Z$28</f>
        <v>11.86</v>
      </c>
      <c r="BH38" s="261"/>
      <c r="BI38" s="261"/>
      <c r="BJ38" s="261"/>
      <c r="BK38" s="310"/>
      <c r="BL38" s="322"/>
      <c r="BM38" s="261"/>
      <c r="BN38" s="261"/>
      <c r="BO38" s="261"/>
      <c r="BP38" s="261"/>
      <c r="BQ38" s="310"/>
      <c r="BR38" s="322"/>
      <c r="BS38" s="261"/>
      <c r="BT38" s="261"/>
      <c r="BU38" s="261"/>
      <c r="BV38" s="261"/>
      <c r="BW38" s="261"/>
    </row>
    <row r="39" spans="3:114" ht="15.75" thickBot="1" x14ac:dyDescent="0.3">
      <c r="C39" s="1" t="s">
        <v>177</v>
      </c>
      <c r="F39" s="388">
        <f>$F$26</f>
        <v>5.9859999999999998</v>
      </c>
      <c r="G39" s="387">
        <f t="shared" ref="G39:I39" si="1">$F$26</f>
        <v>5.9859999999999998</v>
      </c>
      <c r="H39" s="387">
        <f t="shared" si="1"/>
        <v>5.9859999999999998</v>
      </c>
      <c r="I39" s="1336">
        <f t="shared" si="1"/>
        <v>5.9859999999999998</v>
      </c>
      <c r="J39" s="388">
        <f>'HPS DAILY'!$H$20</f>
        <v>5.69</v>
      </c>
      <c r="K39" s="387">
        <f>'HPS DAILY'!$H$20</f>
        <v>5.69</v>
      </c>
      <c r="L39" s="387">
        <f>'HPS DAILY'!$H$20</f>
        <v>5.69</v>
      </c>
      <c r="M39" s="387">
        <f>'HPS DAILY'!$H$20</f>
        <v>5.69</v>
      </c>
      <c r="N39" s="1417">
        <f>'HPS DAILY'!$H$20</f>
        <v>5.69</v>
      </c>
      <c r="O39" s="1336">
        <f>'HPS DAILY'!$H$20</f>
        <v>5.69</v>
      </c>
      <c r="P39" s="388">
        <f>'HPS DAILY'!$I$20</f>
        <v>5.2480000000000002</v>
      </c>
      <c r="Q39" s="387">
        <f>'HPS DAILY'!$I$20</f>
        <v>5.2480000000000002</v>
      </c>
      <c r="R39" s="387">
        <f>'HPS DAILY'!$I$20</f>
        <v>5.2480000000000002</v>
      </c>
      <c r="S39" s="1417">
        <f>'HPS DAILY'!$I$20</f>
        <v>5.2480000000000002</v>
      </c>
      <c r="T39" s="1417">
        <f>'HPS DAILY'!$I$20</f>
        <v>5.2480000000000002</v>
      </c>
      <c r="U39" s="1417">
        <f>'HPS DAILY'!$I$20</f>
        <v>5.2480000000000002</v>
      </c>
      <c r="V39" s="387">
        <f>'HPS DAILY'!$I$20</f>
        <v>5.2480000000000002</v>
      </c>
      <c r="W39" s="476"/>
      <c r="X39" s="514">
        <f>ISV!G$19</f>
        <v>2.79</v>
      </c>
      <c r="Y39" s="515">
        <f>ISV!H$19</f>
        <v>4.33</v>
      </c>
      <c r="Z39" s="515">
        <f>ISV!I$19</f>
        <v>4.3600000000000003</v>
      </c>
      <c r="AA39" s="516">
        <f>ISV!J$19</f>
        <v>4.3849999999999998</v>
      </c>
      <c r="AB39" s="514">
        <f>ISV!K$19</f>
        <v>4.38</v>
      </c>
      <c r="AC39" s="515">
        <f>ISV!L$19</f>
        <v>3.746</v>
      </c>
      <c r="AD39" s="515">
        <f>ISV!M$19</f>
        <v>3.78</v>
      </c>
      <c r="AE39" s="515">
        <f>ISV!N$19</f>
        <v>3.907</v>
      </c>
      <c r="AF39" s="515">
        <f>ISV!O$19</f>
        <v>0</v>
      </c>
      <c r="AG39" s="516">
        <f>ISV!P$19</f>
        <v>0</v>
      </c>
      <c r="AH39" s="514">
        <f>ISV!Q$19</f>
        <v>0</v>
      </c>
      <c r="AI39" s="515">
        <f>ISV!R$19</f>
        <v>3.93</v>
      </c>
      <c r="AJ39" s="515">
        <f>ISV!S$19</f>
        <v>3.5049999999999999</v>
      </c>
      <c r="AK39" s="515">
        <f>ISV!T$19</f>
        <v>3.35</v>
      </c>
      <c r="AL39" s="515">
        <f>ISV!U$19</f>
        <v>0</v>
      </c>
      <c r="AM39" s="515">
        <f>ISV!V$19</f>
        <v>0</v>
      </c>
      <c r="AN39" s="515"/>
      <c r="AO39" s="463"/>
      <c r="AP39" s="387">
        <f>'HPS DAILY'!J$20</f>
        <v>2.34</v>
      </c>
      <c r="AQ39" s="387">
        <f>'HPS DAILY'!K$20</f>
        <v>2.27</v>
      </c>
      <c r="AR39" s="387">
        <f>'HPS DAILY'!L$20</f>
        <v>2.3340000000000001</v>
      </c>
      <c r="AS39" s="226">
        <f>'HPS DAILY'!M$20</f>
        <v>2.3660000000000001</v>
      </c>
      <c r="AT39" s="388">
        <f>'HPS DAILY'!N$20</f>
        <v>1.01</v>
      </c>
      <c r="AU39" s="387">
        <f>'HPS DAILY'!O$20</f>
        <v>1.1919999999999999</v>
      </c>
      <c r="AV39" s="387">
        <f>'HPS DAILY'!P$20</f>
        <v>1.45</v>
      </c>
      <c r="AW39" s="387">
        <f>'HPS DAILY'!Q$20</f>
        <v>1.4119999999999999</v>
      </c>
      <c r="AX39" s="387">
        <f>'HPS DAILY'!R$20</f>
        <v>1.452</v>
      </c>
      <c r="AY39" s="226">
        <f>'HPS DAILY'!S$20</f>
        <v>1.5389999999999999</v>
      </c>
      <c r="AZ39" s="388">
        <f>'HPS DAILY'!T$20</f>
        <v>1.4430000000000001</v>
      </c>
      <c r="BA39" s="387">
        <f>'HPS DAILY'!U$20</f>
        <v>1.24</v>
      </c>
      <c r="BB39" s="387">
        <f>'HPS DAILY'!V$20</f>
        <v>1.288</v>
      </c>
      <c r="BC39" s="387">
        <f>'HPS DAILY'!W$20</f>
        <v>1.2649999999999999</v>
      </c>
      <c r="BD39" s="387">
        <f>'HPS DAILY'!X$20</f>
        <v>1.302</v>
      </c>
      <c r="BE39" s="387">
        <f>'HPS DAILY'!Y$20</f>
        <v>1.363</v>
      </c>
      <c r="BF39" s="387">
        <f>'HPS DAILY'!Z$20</f>
        <v>1.3540000000000001</v>
      </c>
      <c r="BG39" s="463"/>
      <c r="BH39" s="387"/>
      <c r="BI39" s="387"/>
      <c r="BJ39" s="387"/>
      <c r="BK39" s="226"/>
      <c r="BL39" s="388"/>
      <c r="BM39" s="387"/>
      <c r="BN39" s="387"/>
      <c r="BO39" s="387"/>
      <c r="BP39" s="387"/>
      <c r="BQ39" s="226"/>
      <c r="BR39" s="388"/>
      <c r="BS39" s="387"/>
      <c r="BT39" s="387"/>
      <c r="BU39" s="387"/>
      <c r="BV39" s="387"/>
      <c r="BW39" s="387"/>
      <c r="BX39" s="228"/>
      <c r="BY39" s="463"/>
      <c r="BZ39" s="464"/>
      <c r="CA39" s="228"/>
      <c r="CB39" s="228"/>
      <c r="CC39" s="228"/>
      <c r="CD39" s="229"/>
      <c r="CE39" s="353"/>
      <c r="CF39" s="228"/>
      <c r="CG39" s="228"/>
      <c r="CH39" s="228"/>
      <c r="CI39" s="228"/>
      <c r="CJ39" s="229"/>
      <c r="CK39" s="353"/>
      <c r="CL39" s="228"/>
      <c r="CM39" s="228"/>
      <c r="CN39" s="228"/>
      <c r="CO39" s="228"/>
      <c r="CP39" s="228"/>
      <c r="CQ39" s="228"/>
      <c r="CR39" s="463"/>
      <c r="CS39" s="228"/>
      <c r="CT39" s="228"/>
      <c r="CU39" s="228"/>
      <c r="CV39" s="229"/>
      <c r="CW39" s="353"/>
      <c r="CX39" s="228"/>
      <c r="CY39" s="228"/>
      <c r="CZ39" s="228"/>
      <c r="DA39" s="228"/>
      <c r="DB39" s="229"/>
      <c r="DC39" s="353"/>
      <c r="DD39" s="228"/>
      <c r="DE39" s="228"/>
      <c r="DF39" s="228"/>
      <c r="DG39" s="228"/>
      <c r="DH39" s="228"/>
      <c r="DI39" s="228"/>
    </row>
    <row r="40" spans="3:114" s="360" customFormat="1" ht="16.5" thickTop="1" thickBot="1" x14ac:dyDescent="0.3">
      <c r="C40" s="374"/>
      <c r="D40" s="374"/>
      <c r="E40" s="374"/>
      <c r="F40" s="403"/>
      <c r="G40" s="401"/>
      <c r="H40" s="401"/>
      <c r="I40" s="1338"/>
      <c r="J40" s="403"/>
      <c r="K40" s="401"/>
      <c r="L40" s="401"/>
      <c r="M40" s="401"/>
      <c r="N40" s="1419"/>
      <c r="O40" s="1338"/>
      <c r="P40" s="403"/>
      <c r="Q40" s="401"/>
      <c r="R40" s="401"/>
      <c r="S40" s="1419"/>
      <c r="T40" s="1419"/>
      <c r="U40" s="1419"/>
      <c r="V40" s="377"/>
      <c r="W40" s="489"/>
      <c r="X40" s="378"/>
      <c r="Y40" s="377"/>
      <c r="Z40" s="377"/>
      <c r="AA40" s="359"/>
      <c r="AB40" s="378"/>
      <c r="AC40" s="377"/>
      <c r="AD40" s="377"/>
      <c r="AE40" s="377"/>
      <c r="AF40" s="377"/>
      <c r="AG40" s="359"/>
      <c r="AH40" s="378"/>
      <c r="AI40" s="377"/>
      <c r="AJ40" s="377"/>
      <c r="AK40" s="377"/>
      <c r="AL40" s="377"/>
      <c r="AM40" s="377"/>
      <c r="AN40" s="377"/>
      <c r="AO40" s="490"/>
      <c r="AP40" s="377"/>
      <c r="AQ40" s="377"/>
      <c r="AR40" s="377"/>
      <c r="AS40" s="359"/>
      <c r="AT40" s="378"/>
      <c r="AU40" s="377"/>
      <c r="AV40" s="377"/>
      <c r="AW40" s="377"/>
      <c r="AX40" s="377"/>
      <c r="AY40" s="359"/>
      <c r="AZ40" s="378"/>
      <c r="BA40" s="377"/>
      <c r="BB40" s="377"/>
      <c r="BC40" s="377"/>
      <c r="BD40" s="377"/>
      <c r="BE40" s="377"/>
      <c r="BF40" s="377"/>
      <c r="BG40" s="490"/>
      <c r="BH40" s="377"/>
      <c r="BI40" s="377"/>
      <c r="BJ40" s="377"/>
      <c r="BK40" s="359"/>
      <c r="BL40" s="378"/>
      <c r="BM40" s="377"/>
      <c r="BN40" s="377"/>
      <c r="BO40" s="377"/>
      <c r="BP40" s="377"/>
      <c r="BQ40" s="359"/>
      <c r="BR40" s="378"/>
      <c r="BS40" s="377"/>
      <c r="BT40" s="377"/>
      <c r="BU40" s="377"/>
      <c r="BV40" s="377"/>
      <c r="BW40" s="377"/>
      <c r="BX40" s="377"/>
      <c r="BY40" s="490"/>
      <c r="BZ40" s="492"/>
      <c r="CA40" s="377"/>
      <c r="CB40" s="377"/>
      <c r="CC40" s="377"/>
      <c r="CD40" s="359"/>
      <c r="CE40" s="378"/>
      <c r="CF40" s="377"/>
      <c r="CG40" s="377"/>
      <c r="CH40" s="377"/>
      <c r="CI40" s="377"/>
      <c r="CJ40" s="359"/>
      <c r="CK40" s="378"/>
      <c r="CL40" s="377"/>
      <c r="CM40" s="377"/>
      <c r="CN40" s="377"/>
      <c r="CO40" s="377"/>
      <c r="CP40" s="377"/>
      <c r="CQ40" s="377"/>
      <c r="CR40" s="490"/>
      <c r="CS40" s="377"/>
      <c r="CT40" s="377"/>
      <c r="CU40" s="377"/>
      <c r="CV40" s="359"/>
      <c r="CW40" s="378"/>
      <c r="CX40" s="377"/>
      <c r="CY40" s="377"/>
      <c r="CZ40" s="377"/>
      <c r="DA40" s="377"/>
      <c r="DB40" s="359"/>
      <c r="DC40" s="378"/>
      <c r="DD40" s="377"/>
      <c r="DE40" s="377"/>
      <c r="DF40" s="377"/>
      <c r="DG40" s="377"/>
      <c r="DH40" s="377"/>
      <c r="DI40" s="377"/>
    </row>
    <row r="41" spans="3:114" ht="18.75" thickTop="1" x14ac:dyDescent="0.35">
      <c r="C41" s="1" t="s">
        <v>144</v>
      </c>
      <c r="F41" s="384" cm="1">
        <f t="array" ref="F41:F42">'HPS DAILY'!$G$31:$G$32</f>
        <v>83.775428987629937</v>
      </c>
      <c r="G41" s="383" cm="1">
        <f t="array" ref="G41:G42">'HPS DAILY'!$G$31:$G$32</f>
        <v>83.775428987629937</v>
      </c>
      <c r="H41" s="383" cm="1">
        <f t="array" ref="H41:H42">'HPS DAILY'!$G$31:$G$32</f>
        <v>83.775428987629937</v>
      </c>
      <c r="I41" s="1335" cm="1">
        <f t="array" ref="I41:I42">'HPS DAILY'!$G$31:$G$32</f>
        <v>83.775428987629937</v>
      </c>
      <c r="J41" s="384">
        <f>'HPS DAILY'!$H$31</f>
        <v>83.91757806181846</v>
      </c>
      <c r="K41" s="383">
        <f>'HPS DAILY'!$H$31</f>
        <v>83.91757806181846</v>
      </c>
      <c r="L41" s="383">
        <f>'HPS DAILY'!$H$31</f>
        <v>83.91757806181846</v>
      </c>
      <c r="M41" s="383">
        <f>'HPS DAILY'!$H$31</f>
        <v>83.91757806181846</v>
      </c>
      <c r="N41" s="1416">
        <f>'HPS DAILY'!$H$31</f>
        <v>83.91757806181846</v>
      </c>
      <c r="O41" s="1335">
        <f>'HPS DAILY'!$H$31</f>
        <v>83.91757806181846</v>
      </c>
      <c r="P41" s="384">
        <f>'HPS DAILY'!$I$31</f>
        <v>84.251927474316702</v>
      </c>
      <c r="Q41" s="383">
        <f>'HPS DAILY'!$I$31</f>
        <v>84.251927474316702</v>
      </c>
      <c r="R41" s="383">
        <f>'HPS DAILY'!$I$31</f>
        <v>84.251927474316702</v>
      </c>
      <c r="S41" s="1416">
        <f>'HPS DAILY'!$I$31</f>
        <v>84.251927474316702</v>
      </c>
      <c r="T41" s="1416">
        <f>'HPS DAILY'!$I$31</f>
        <v>84.251927474316702</v>
      </c>
      <c r="U41" s="1416">
        <f>'HPS DAILY'!$I$31</f>
        <v>84.251927474316702</v>
      </c>
      <c r="V41" s="234"/>
      <c r="W41" s="468"/>
      <c r="X41" s="394">
        <f>ISV!G$30</f>
        <v>86.634284617542406</v>
      </c>
      <c r="Y41" s="393">
        <f>ISV!H$30</f>
        <v>85.824311415379711</v>
      </c>
      <c r="Z41" s="393">
        <f>ISV!I$30</f>
        <v>84.767070982502602</v>
      </c>
      <c r="AA41" s="301">
        <f>ISV!J$30</f>
        <v>0</v>
      </c>
      <c r="AB41" s="394">
        <f>ISV!K$30</f>
        <v>85.61611667284636</v>
      </c>
      <c r="AC41" s="393">
        <f>ISV!L$30</f>
        <v>85.667412242585343</v>
      </c>
      <c r="AD41" s="393">
        <f>ISV!M$30</f>
        <v>84.784621619782698</v>
      </c>
      <c r="AE41" s="393">
        <f>ISV!N$30</f>
        <v>84.984688194885521</v>
      </c>
      <c r="AF41" s="393">
        <f>ISV!O$30</f>
        <v>0</v>
      </c>
      <c r="AG41" s="301">
        <f>ISV!P$30</f>
        <v>0</v>
      </c>
      <c r="AH41" s="394">
        <f>ISV!Q$30</f>
        <v>0</v>
      </c>
      <c r="AI41" s="393">
        <f>ISV!R$30</f>
        <v>85.261995144408289</v>
      </c>
      <c r="AJ41" s="393">
        <f>ISV!S$30</f>
        <v>85.51750991701347</v>
      </c>
      <c r="AK41" s="393">
        <f>ISV!T$30</f>
        <v>85.175380997390164</v>
      </c>
      <c r="AL41" s="393">
        <f>ISV!U$30</f>
        <v>0</v>
      </c>
      <c r="AM41" s="393">
        <f>ISV!V$30</f>
        <v>0</v>
      </c>
      <c r="AN41" s="393"/>
      <c r="AO41" s="486"/>
      <c r="AP41" s="383">
        <f>'HPS DAILY'!J$31</f>
        <v>86.35412642918628</v>
      </c>
      <c r="AQ41" s="383">
        <f>'HPS DAILY'!K$31</f>
        <v>86.939590031796797</v>
      </c>
      <c r="AR41" s="383">
        <f>'HPS DAILY'!L$31</f>
        <v>86.533724802459176</v>
      </c>
      <c r="AS41" s="232">
        <f>'HPS DAILY'!M$31</f>
        <v>86.056083878145543</v>
      </c>
      <c r="AT41" s="384">
        <f>'HPS DAILY'!N$31</f>
        <v>87.264603214044968</v>
      </c>
      <c r="AU41" s="383">
        <f>'HPS DAILY'!O$31</f>
        <v>87.174886827927992</v>
      </c>
      <c r="AV41" s="383">
        <f>'HPS DAILY'!P$31</f>
        <v>86.724660015548309</v>
      </c>
      <c r="AW41" s="383">
        <f>'HPS DAILY'!Q$31</f>
        <v>86.852015242435314</v>
      </c>
      <c r="AX41" s="383">
        <f>'HPS DAILY'!R$31</f>
        <v>86.787036669583287</v>
      </c>
      <c r="AY41" s="232">
        <f>'HPS DAILY'!S$31</f>
        <v>86.867347102435758</v>
      </c>
      <c r="AZ41" s="384">
        <f>'HPS DAILY'!T$31</f>
        <v>86.876187471655996</v>
      </c>
      <c r="BA41" s="383">
        <f>'HPS DAILY'!U$31</f>
        <v>86.850570517895449</v>
      </c>
      <c r="BB41" s="383">
        <f>'HPS DAILY'!V$31</f>
        <v>86.699409129886803</v>
      </c>
      <c r="BC41" s="383">
        <f>'HPS DAILY'!W$31</f>
        <v>86.591045392952438</v>
      </c>
      <c r="BD41" s="383">
        <f>'HPS DAILY'!X$31</f>
        <v>86.584355644790861</v>
      </c>
      <c r="BE41" s="383">
        <f>'HPS DAILY'!Y$31</f>
        <v>86.691079502637521</v>
      </c>
      <c r="BF41" s="383">
        <f>'HPS DAILY'!Z$31</f>
        <v>86.440835539288855</v>
      </c>
      <c r="BG41" s="486"/>
      <c r="BH41" s="383" cm="1">
        <f t="array" ref="BH41:BX41">'LTO DAILY'!H29:X29</f>
        <v>86.765451012778925</v>
      </c>
      <c r="BI41" s="383">
        <v>87.389448501012311</v>
      </c>
      <c r="BJ41" s="383">
        <v>86.102703885037002</v>
      </c>
      <c r="BK41" s="232">
        <v>85.814580914552295</v>
      </c>
      <c r="BL41" s="384">
        <v>86.421810388055178</v>
      </c>
      <c r="BM41" s="383">
        <v>86.48695622298861</v>
      </c>
      <c r="BN41" s="383">
        <v>86.005404974270974</v>
      </c>
      <c r="BO41" s="383">
        <v>85.982346829734581</v>
      </c>
      <c r="BP41" s="383">
        <v>85.861980498124936</v>
      </c>
      <c r="BQ41" s="232">
        <v>86.049771522100457</v>
      </c>
      <c r="BR41" s="384">
        <v>85.889933095038344</v>
      </c>
      <c r="BS41" s="383">
        <v>86.090920192892909</v>
      </c>
      <c r="BT41" s="383">
        <v>86.148180756008884</v>
      </c>
      <c r="BU41" s="383">
        <v>86.016345515738948</v>
      </c>
      <c r="BV41" s="383">
        <v>85.985328483223086</v>
      </c>
      <c r="BW41" s="383">
        <v>85.910942191987729</v>
      </c>
      <c r="BX41" s="234">
        <v>86.045373131980796</v>
      </c>
      <c r="BY41" s="486"/>
      <c r="BZ41" s="488"/>
      <c r="CA41" s="234"/>
      <c r="CB41" s="234"/>
      <c r="CC41" s="234"/>
      <c r="CD41" s="235"/>
      <c r="CE41" s="352"/>
      <c r="CF41" s="234"/>
      <c r="CG41" s="234"/>
      <c r="CH41" s="234"/>
      <c r="CI41" s="234"/>
      <c r="CJ41" s="235"/>
      <c r="CK41" s="352"/>
      <c r="CL41" s="234"/>
      <c r="CM41" s="234"/>
      <c r="CN41" s="234"/>
      <c r="CO41" s="234"/>
      <c r="CP41" s="234"/>
      <c r="CQ41" s="234"/>
      <c r="CR41" s="486"/>
      <c r="CS41" s="234"/>
      <c r="CT41" s="234"/>
      <c r="CU41" s="234"/>
      <c r="CV41" s="235"/>
      <c r="CW41" s="352"/>
      <c r="CX41" s="234"/>
      <c r="CY41" s="234"/>
      <c r="CZ41" s="234"/>
      <c r="DA41" s="234"/>
      <c r="DB41" s="235"/>
      <c r="DC41" s="352"/>
      <c r="DD41" s="234"/>
      <c r="DE41" s="234"/>
      <c r="DF41" s="234"/>
      <c r="DG41" s="234"/>
      <c r="DH41" s="234"/>
      <c r="DI41" s="234"/>
    </row>
    <row r="42" spans="3:114" ht="18" x14ac:dyDescent="0.35">
      <c r="C42" s="1" t="s">
        <v>145</v>
      </c>
      <c r="F42" s="322">
        <v>9.7199768278614158</v>
      </c>
      <c r="G42" s="261">
        <v>9.7199768278614158</v>
      </c>
      <c r="H42" s="261">
        <v>9.7199768278614158</v>
      </c>
      <c r="I42" s="1337">
        <v>9.7199768278614158</v>
      </c>
      <c r="J42" s="322">
        <f>'HPS DAILY'!$H$32</f>
        <v>9.6647490260369153</v>
      </c>
      <c r="K42" s="261">
        <f>'HPS DAILY'!$H$32</f>
        <v>9.6647490260369153</v>
      </c>
      <c r="L42" s="261">
        <f>'HPS DAILY'!$H$32</f>
        <v>9.6647490260369153</v>
      </c>
      <c r="M42" s="261">
        <f>'HPS DAILY'!$H$32</f>
        <v>9.6647490260369153</v>
      </c>
      <c r="N42" s="1418">
        <f>'HPS DAILY'!$H$32</f>
        <v>9.6647490260369153</v>
      </c>
      <c r="O42" s="1337">
        <f>'HPS DAILY'!$H$32</f>
        <v>9.6647490260369153</v>
      </c>
      <c r="P42" s="322">
        <f>'HPS DAILY'!$I$32</f>
        <v>9.7428108903090074</v>
      </c>
      <c r="Q42" s="261">
        <f>'HPS DAILY'!$I$32</f>
        <v>9.7428108903090074</v>
      </c>
      <c r="R42" s="261">
        <f>'HPS DAILY'!$I$32</f>
        <v>9.7428108903090074</v>
      </c>
      <c r="S42" s="1418">
        <f>'HPS DAILY'!$I$32</f>
        <v>9.7428108903090074</v>
      </c>
      <c r="T42" s="1418">
        <f>'HPS DAILY'!$I$32</f>
        <v>9.7428108903090074</v>
      </c>
      <c r="U42" s="1418">
        <f>'HPS DAILY'!$I$32</f>
        <v>9.7428108903090074</v>
      </c>
      <c r="X42" s="330">
        <f>ISV!G$31</f>
        <v>10.423279642124223</v>
      </c>
      <c r="Y42" s="279">
        <f>ISV!H$31</f>
        <v>9.8670593854481776</v>
      </c>
      <c r="Z42" s="279">
        <f>ISV!I$31</f>
        <v>10.51961909453161</v>
      </c>
      <c r="AA42" s="314">
        <f>ISV!J$31</f>
        <v>0</v>
      </c>
      <c r="AB42" s="330">
        <f>ISV!K$31</f>
        <v>9.6700037078235059</v>
      </c>
      <c r="AC42" s="279">
        <f>ISV!L$31</f>
        <v>10.136258761779066</v>
      </c>
      <c r="AD42" s="279">
        <f>ISV!M$31</f>
        <v>10.837206229372084</v>
      </c>
      <c r="AE42" s="279">
        <f>ISV!N$31</f>
        <v>10.570381201579162</v>
      </c>
      <c r="AF42" s="279">
        <f>ISV!O$31</f>
        <v>0</v>
      </c>
      <c r="AG42" s="314">
        <f>ISV!P$31</f>
        <v>0</v>
      </c>
      <c r="AH42" s="330">
        <f>ISV!Q$31</f>
        <v>0</v>
      </c>
      <c r="AI42" s="279">
        <f>ISV!R$31</f>
        <v>10.232615580039344</v>
      </c>
      <c r="AJ42" s="279">
        <f>ISV!S$31</f>
        <v>10.35749920907255</v>
      </c>
      <c r="AK42" s="279">
        <f>ISV!T$31</f>
        <v>10.796602799853558</v>
      </c>
      <c r="AL42" s="279">
        <f>ISV!U$31</f>
        <v>0</v>
      </c>
      <c r="AM42" s="279">
        <f>ISV!V$31</f>
        <v>0</v>
      </c>
      <c r="AN42" s="279"/>
      <c r="AP42" s="261">
        <f>'HPS DAILY'!J$32</f>
        <v>10.980542870196256</v>
      </c>
      <c r="AQ42" s="261">
        <f>'HPS DAILY'!K$32</f>
        <v>10.437495119779154</v>
      </c>
      <c r="AR42" s="261">
        <f>'HPS DAILY'!L$32</f>
        <v>10.817947151668017</v>
      </c>
      <c r="AS42" s="310">
        <f>'HPS DAILY'!M$32</f>
        <v>11.243508446390873</v>
      </c>
      <c r="AT42" s="322">
        <f>'HPS DAILY'!N$32</f>
        <v>11.433036566487377</v>
      </c>
      <c r="AU42" s="261">
        <f>'HPS DAILY'!O$32</f>
        <v>11.136705533043672</v>
      </c>
      <c r="AV42" s="261">
        <f>'HPS DAILY'!P$32</f>
        <v>11.312339492055315</v>
      </c>
      <c r="AW42" s="261">
        <f>'HPS DAILY'!Q$32</f>
        <v>11.233660000238039</v>
      </c>
      <c r="AX42" s="261">
        <f>'HPS DAILY'!R$32</f>
        <v>11.22364570992576</v>
      </c>
      <c r="AY42" s="310">
        <f>'HPS DAILY'!S$32</f>
        <v>11.077372639400391</v>
      </c>
      <c r="AZ42" s="322">
        <f>'HPS DAILY'!T$32</f>
        <v>11.155270077105502</v>
      </c>
      <c r="BA42" s="261">
        <f>'HPS DAILY'!U$32</f>
        <v>11.330894493185276</v>
      </c>
      <c r="BB42" s="261">
        <f>'HPS DAILY'!V$32</f>
        <v>11.391091872822614</v>
      </c>
      <c r="BC42" s="261">
        <f>'HPS DAILY'!W$32</f>
        <v>11.529091514861888</v>
      </c>
      <c r="BD42" s="261">
        <f>'HPS DAILY'!X$32</f>
        <v>11.512628399674519</v>
      </c>
      <c r="BE42" s="261">
        <f>'HPS DAILY'!Y$32</f>
        <v>11.333129238884702</v>
      </c>
      <c r="BF42" s="261">
        <f>'HPS DAILY'!Z$32</f>
        <v>11.606343365741717</v>
      </c>
      <c r="BH42" s="261" cm="1">
        <f t="array" ref="BH42:BX42">'LTO DAILY'!H30:X30</f>
        <v>13.106081461178471</v>
      </c>
      <c r="BI42" s="261">
        <v>12.420578398093607</v>
      </c>
      <c r="BJ42" s="261">
        <v>13.701767915284949</v>
      </c>
      <c r="BK42" s="310">
        <v>13.95465069583145</v>
      </c>
      <c r="BL42" s="322">
        <v>13.361627543555317</v>
      </c>
      <c r="BM42" s="261">
        <v>13.358541433203756</v>
      </c>
      <c r="BN42" s="261">
        <v>13.813772838721366</v>
      </c>
      <c r="BO42" s="261">
        <v>13.849306496718572</v>
      </c>
      <c r="BP42" s="261">
        <v>13.956823909914274</v>
      </c>
      <c r="BQ42" s="310">
        <v>13.772796003537314</v>
      </c>
      <c r="BR42" s="322">
        <v>13.937193246261842</v>
      </c>
      <c r="BS42" s="261">
        <v>13.721329916569948</v>
      </c>
      <c r="BT42" s="261">
        <v>13.66326036583404</v>
      </c>
      <c r="BU42" s="261">
        <v>13.803248221004305</v>
      </c>
      <c r="BV42" s="261">
        <v>13.841297810269843</v>
      </c>
      <c r="BW42" s="261">
        <v>13.933913044856109</v>
      </c>
      <c r="BX42" s="241">
        <v>13.762541115591583</v>
      </c>
    </row>
    <row r="43" spans="3:114" ht="18.75" thickBot="1" x14ac:dyDescent="0.4">
      <c r="C43" s="1" t="s">
        <v>146</v>
      </c>
      <c r="F43" s="388">
        <f>'HPS DAILY'!$G$34</f>
        <v>5.9480455215271348</v>
      </c>
      <c r="G43" s="387">
        <f>'HPS DAILY'!$G$34</f>
        <v>5.9480455215271348</v>
      </c>
      <c r="H43" s="387">
        <f>'HPS DAILY'!$G$34</f>
        <v>5.9480455215271348</v>
      </c>
      <c r="I43" s="1336">
        <f>'HPS DAILY'!$G$34</f>
        <v>5.9480455215271348</v>
      </c>
      <c r="J43" s="388">
        <f>'HPS DAILY'!$H$34</f>
        <v>5.68103532625517</v>
      </c>
      <c r="K43" s="387">
        <f>'HPS DAILY'!$H$34</f>
        <v>5.68103532625517</v>
      </c>
      <c r="L43" s="387">
        <f>'HPS DAILY'!$H$34</f>
        <v>5.68103532625517</v>
      </c>
      <c r="M43" s="387">
        <f>'HPS DAILY'!$H$34</f>
        <v>5.68103532625517</v>
      </c>
      <c r="N43" s="1417">
        <f>'HPS DAILY'!$H$34</f>
        <v>5.68103532625517</v>
      </c>
      <c r="O43" s="1336">
        <f>'HPS DAILY'!$H$34</f>
        <v>5.68103532625517</v>
      </c>
      <c r="P43" s="388">
        <f>'HPS DAILY'!$I$34</f>
        <v>5.2227039379307119</v>
      </c>
      <c r="Q43" s="387">
        <f>'HPS DAILY'!$I$34</f>
        <v>5.2227039379307119</v>
      </c>
      <c r="R43" s="387">
        <f>'HPS DAILY'!$I$34</f>
        <v>5.2227039379307119</v>
      </c>
      <c r="S43" s="1417">
        <f>'HPS DAILY'!$I$34</f>
        <v>5.2227039379307119</v>
      </c>
      <c r="T43" s="1417">
        <f>'HPS DAILY'!$I$34</f>
        <v>5.2227039379307119</v>
      </c>
      <c r="U43" s="1417">
        <f>'HPS DAILY'!$I$34</f>
        <v>5.2227039379307119</v>
      </c>
      <c r="V43" s="228"/>
      <c r="W43" s="476"/>
      <c r="X43" s="353"/>
      <c r="Y43" s="228"/>
      <c r="Z43" s="228"/>
      <c r="AA43" s="229"/>
      <c r="AB43" s="353"/>
      <c r="AC43" s="228"/>
      <c r="AD43" s="228"/>
      <c r="AE43" s="228"/>
      <c r="AF43" s="228"/>
      <c r="AG43" s="229"/>
      <c r="AH43" s="353"/>
      <c r="AI43" s="228"/>
      <c r="AJ43" s="228"/>
      <c r="AK43" s="228"/>
      <c r="AL43" s="228"/>
      <c r="AM43" s="228"/>
      <c r="AN43" s="228"/>
      <c r="AO43" s="463"/>
      <c r="AP43" s="387"/>
      <c r="AQ43" s="387"/>
      <c r="AR43" s="387"/>
      <c r="AS43" s="226"/>
      <c r="AT43" s="388"/>
      <c r="AU43" s="387"/>
      <c r="AV43" s="387"/>
      <c r="AW43" s="387"/>
      <c r="AX43" s="387"/>
      <c r="AY43" s="226"/>
      <c r="AZ43" s="388"/>
      <c r="BA43" s="387"/>
      <c r="BB43" s="387"/>
      <c r="BC43" s="387"/>
      <c r="BD43" s="387"/>
      <c r="BE43" s="387"/>
      <c r="BF43" s="387"/>
      <c r="BG43" s="463"/>
      <c r="BH43" s="387"/>
      <c r="BI43" s="387"/>
      <c r="BJ43" s="387"/>
      <c r="BK43" s="226"/>
      <c r="BL43" s="388"/>
      <c r="BM43" s="387"/>
      <c r="BN43" s="387"/>
      <c r="BO43" s="387"/>
      <c r="BP43" s="387"/>
      <c r="BQ43" s="226"/>
      <c r="BR43" s="388"/>
      <c r="BS43" s="387"/>
      <c r="BT43" s="387"/>
      <c r="BU43" s="387"/>
      <c r="BV43" s="387"/>
      <c r="BW43" s="387"/>
      <c r="BX43" s="228"/>
      <c r="BY43" s="463"/>
      <c r="BZ43" s="464"/>
      <c r="CA43" s="228"/>
      <c r="CB43" s="228"/>
      <c r="CC43" s="228"/>
      <c r="CD43" s="229"/>
      <c r="CE43" s="353"/>
      <c r="CF43" s="228"/>
      <c r="CG43" s="228"/>
      <c r="CH43" s="228"/>
      <c r="CI43" s="228"/>
      <c r="CJ43" s="229"/>
      <c r="CK43" s="353"/>
      <c r="CL43" s="228"/>
      <c r="CM43" s="228"/>
      <c r="CN43" s="228"/>
      <c r="CO43" s="228"/>
      <c r="CP43" s="228"/>
      <c r="CQ43" s="228"/>
      <c r="CR43" s="463"/>
      <c r="CS43" s="228"/>
      <c r="CT43" s="228"/>
      <c r="CU43" s="228"/>
      <c r="CV43" s="229"/>
      <c r="CW43" s="353"/>
      <c r="CX43" s="228"/>
      <c r="CY43" s="228"/>
      <c r="CZ43" s="228"/>
      <c r="DA43" s="228"/>
      <c r="DB43" s="229"/>
      <c r="DC43" s="353"/>
      <c r="DD43" s="228"/>
      <c r="DE43" s="228"/>
      <c r="DF43" s="228"/>
      <c r="DG43" s="228"/>
      <c r="DH43" s="228"/>
      <c r="DI43" s="228"/>
    </row>
    <row r="44" spans="3:114" s="528" customFormat="1" ht="15.75" thickTop="1" x14ac:dyDescent="0.25">
      <c r="C44" s="524"/>
      <c r="D44" s="524"/>
      <c r="E44" s="524"/>
      <c r="F44" s="1275">
        <v>0.11600000000000001</v>
      </c>
      <c r="G44" s="466">
        <v>0.11600000000000001</v>
      </c>
      <c r="H44" s="466">
        <v>0.11600000000000001</v>
      </c>
      <c r="I44" s="1339">
        <v>0.11600000000000001</v>
      </c>
      <c r="J44" s="1275">
        <f t="shared" ref="J44:U44" si="2">J$42/J$41</f>
        <v>0.11516954193932184</v>
      </c>
      <c r="K44" s="466">
        <f t="shared" si="2"/>
        <v>0.11516954193932184</v>
      </c>
      <c r="L44" s="466">
        <f t="shared" si="2"/>
        <v>0.11516954193932184</v>
      </c>
      <c r="M44" s="466">
        <f t="shared" si="2"/>
        <v>0.11516954193932184</v>
      </c>
      <c r="N44" s="1420">
        <f t="shared" si="2"/>
        <v>0.11516954193932184</v>
      </c>
      <c r="O44" s="1339">
        <f t="shared" si="2"/>
        <v>0.11516954193932184</v>
      </c>
      <c r="P44" s="1275">
        <f t="shared" si="2"/>
        <v>0.11563902669501536</v>
      </c>
      <c r="Q44" s="466">
        <f t="shared" si="2"/>
        <v>0.11563902669501536</v>
      </c>
      <c r="R44" s="466">
        <f t="shared" si="2"/>
        <v>0.11563902669501536</v>
      </c>
      <c r="S44" s="1420">
        <f t="shared" si="2"/>
        <v>0.11563902669501536</v>
      </c>
      <c r="T44" s="1420">
        <f t="shared" si="2"/>
        <v>0.11563902669501536</v>
      </c>
      <c r="U44" s="1339">
        <f t="shared" si="2"/>
        <v>0.11563902669501536</v>
      </c>
      <c r="V44" s="466"/>
      <c r="W44" s="480"/>
      <c r="X44" s="481"/>
      <c r="Y44" s="466"/>
      <c r="Z44" s="466"/>
      <c r="AA44" s="519"/>
      <c r="AB44" s="481"/>
      <c r="AC44" s="466"/>
      <c r="AD44" s="466"/>
      <c r="AE44" s="466"/>
      <c r="AF44" s="466"/>
      <c r="AG44" s="519"/>
      <c r="AH44" s="481"/>
      <c r="AI44" s="466"/>
      <c r="AJ44" s="466"/>
      <c r="AK44" s="466"/>
      <c r="AL44" s="466"/>
      <c r="AM44" s="466"/>
      <c r="AN44" s="466"/>
      <c r="AO44" s="482"/>
      <c r="AP44" s="466">
        <f>AP42/AP41</f>
        <v>0.12715712988192551</v>
      </c>
      <c r="AQ44" s="466">
        <v>0.125</v>
      </c>
      <c r="AR44" s="466">
        <f t="shared" ref="AR44:BE44" si="3">AR42/AR41</f>
        <v>0.12501423203916659</v>
      </c>
      <c r="AS44" s="466">
        <f t="shared" si="3"/>
        <v>0.13065326633165827</v>
      </c>
      <c r="AT44" s="466">
        <f t="shared" si="3"/>
        <v>0.13101574000679425</v>
      </c>
      <c r="AU44" s="466">
        <f t="shared" si="3"/>
        <v>0.12775130474245519</v>
      </c>
      <c r="AV44" s="466">
        <f t="shared" si="3"/>
        <v>0.13043970988213963</v>
      </c>
      <c r="AW44" s="466">
        <f t="shared" si="3"/>
        <v>0.12934253706008825</v>
      </c>
      <c r="AX44" s="466">
        <f t="shared" si="3"/>
        <v>0.12932398824327379</v>
      </c>
      <c r="AY44" s="466">
        <f t="shared" si="3"/>
        <v>0.12752055874732454</v>
      </c>
      <c r="AZ44" s="466">
        <f t="shared" si="3"/>
        <v>0.12840423137519694</v>
      </c>
      <c r="BA44" s="466">
        <f t="shared" si="3"/>
        <v>0.1304642494069807</v>
      </c>
      <c r="BB44" s="466">
        <f t="shared" si="3"/>
        <v>0.1313860381188677</v>
      </c>
      <c r="BC44" s="466">
        <f t="shared" si="3"/>
        <v>0.13314415437003407</v>
      </c>
      <c r="BD44" s="466">
        <f t="shared" si="3"/>
        <v>0.13296430185268865</v>
      </c>
      <c r="BE44" s="466">
        <f t="shared" si="3"/>
        <v>0.13073005093378609</v>
      </c>
      <c r="BF44" s="466"/>
      <c r="BG44" s="482"/>
      <c r="BH44" s="466">
        <f>BH42/BH41</f>
        <v>0.15105184503965974</v>
      </c>
      <c r="BI44" s="466">
        <f t="shared" ref="BI44:BW44" si="4">BI42/BI41</f>
        <v>0.14212903973126376</v>
      </c>
      <c r="BJ44" s="466">
        <f t="shared" si="4"/>
        <v>0.15913284132841329</v>
      </c>
      <c r="BK44" s="466">
        <f t="shared" si="4"/>
        <v>0.16261398176291791</v>
      </c>
      <c r="BL44" s="466">
        <f t="shared" si="4"/>
        <v>0.15460943809853467</v>
      </c>
      <c r="BM44" s="466">
        <f t="shared" si="4"/>
        <v>0.15445729641313238</v>
      </c>
      <c r="BN44" s="466">
        <f t="shared" si="4"/>
        <v>0.16061517113783533</v>
      </c>
      <c r="BO44" s="466">
        <f t="shared" si="4"/>
        <v>0.16107151069211312</v>
      </c>
      <c r="BP44" s="466">
        <f t="shared" si="4"/>
        <v>0.16254952225588443</v>
      </c>
      <c r="BQ44" s="466">
        <f t="shared" si="4"/>
        <v>0.16005616005616005</v>
      </c>
      <c r="BR44" s="466">
        <f t="shared" si="4"/>
        <v>0.16226806499942378</v>
      </c>
      <c r="BS44" s="466">
        <f t="shared" si="4"/>
        <v>0.1593818475377696</v>
      </c>
      <c r="BT44" s="466">
        <f t="shared" si="4"/>
        <v>0.15860184447227599</v>
      </c>
      <c r="BU44" s="466">
        <f t="shared" si="4"/>
        <v>0.16047238624522403</v>
      </c>
      <c r="BV44" s="466">
        <f t="shared" si="4"/>
        <v>0.16097278517660685</v>
      </c>
      <c r="BW44" s="466">
        <f t="shared" si="4"/>
        <v>0.16219020172910664</v>
      </c>
      <c r="BX44" s="466"/>
      <c r="BY44" s="482"/>
      <c r="BZ44" s="485"/>
      <c r="CA44" s="465"/>
      <c r="CB44" s="465"/>
      <c r="CC44" s="465"/>
      <c r="CD44" s="725"/>
      <c r="CE44" s="739"/>
      <c r="CF44" s="465"/>
      <c r="CG44" s="465"/>
      <c r="CH44" s="465"/>
      <c r="CI44" s="465"/>
      <c r="CJ44" s="725"/>
      <c r="CK44" s="479"/>
      <c r="CL44" s="1276"/>
      <c r="CM44" s="1276"/>
      <c r="CN44" s="1276"/>
      <c r="CO44" s="1276"/>
      <c r="CP44" s="1276"/>
      <c r="CQ44" s="1276"/>
      <c r="CR44" s="482"/>
      <c r="CS44" s="1519" t="s">
        <v>212</v>
      </c>
      <c r="CT44" s="1519"/>
      <c r="CU44" s="1519"/>
      <c r="CV44" s="1519"/>
      <c r="CW44" s="1519" t="s">
        <v>212</v>
      </c>
      <c r="CX44" s="1519"/>
      <c r="CY44" s="1519"/>
      <c r="CZ44" s="1519"/>
      <c r="DA44" s="1519"/>
      <c r="DB44" s="725"/>
      <c r="DC44" s="1519" t="s">
        <v>212</v>
      </c>
      <c r="DD44" s="1519"/>
      <c r="DE44" s="1519"/>
      <c r="DF44" s="1519"/>
      <c r="DG44" s="1519"/>
      <c r="DH44" s="1519"/>
      <c r="DI44" s="466"/>
    </row>
    <row r="45" spans="3:114" x14ac:dyDescent="0.25">
      <c r="F45" s="321"/>
      <c r="G45" s="256"/>
      <c r="H45" s="256"/>
      <c r="I45" s="1331"/>
      <c r="J45" s="321"/>
      <c r="K45" s="256"/>
      <c r="L45" s="256"/>
      <c r="M45" s="256"/>
      <c r="N45" s="1413"/>
      <c r="O45" s="1331"/>
      <c r="P45" s="321"/>
      <c r="Q45" s="256"/>
      <c r="R45" s="256"/>
      <c r="S45" s="1413"/>
      <c r="T45" s="1413"/>
      <c r="U45" s="1413"/>
      <c r="AP45" s="256"/>
      <c r="AQ45" s="256"/>
      <c r="AR45" s="256"/>
      <c r="AS45" s="309"/>
      <c r="AT45" s="321"/>
      <c r="AU45" s="256"/>
      <c r="AV45" s="256"/>
      <c r="AW45" s="256"/>
      <c r="AX45" s="256"/>
      <c r="AY45" s="309"/>
      <c r="AZ45" s="321"/>
      <c r="BA45" s="256"/>
      <c r="BB45" s="256"/>
      <c r="BC45" s="256"/>
      <c r="BD45" s="256"/>
      <c r="BE45" s="256"/>
      <c r="BF45" s="256"/>
      <c r="BH45" s="255"/>
      <c r="BI45" s="255"/>
      <c r="BJ45" s="255"/>
      <c r="BK45" s="317"/>
      <c r="BL45" s="333"/>
      <c r="BM45" s="255"/>
      <c r="BN45" s="255"/>
      <c r="BO45" s="255"/>
      <c r="BP45" s="255"/>
      <c r="BQ45" s="317"/>
      <c r="BR45" s="333"/>
      <c r="BS45" s="255"/>
      <c r="BT45" s="255"/>
      <c r="BU45" s="255"/>
      <c r="BV45" s="255"/>
      <c r="BW45" s="255"/>
      <c r="BZ45" s="253" t="s">
        <v>191</v>
      </c>
      <c r="DJ45" s="1" t="s">
        <v>191</v>
      </c>
    </row>
    <row r="46" spans="3:114" x14ac:dyDescent="0.25">
      <c r="F46" s="321"/>
      <c r="G46" s="256"/>
      <c r="H46" s="256"/>
      <c r="I46" s="1331"/>
      <c r="J46" s="321"/>
      <c r="K46" s="256"/>
      <c r="L46" s="256"/>
      <c r="M46" s="256"/>
      <c r="N46" s="1413"/>
      <c r="O46" s="1331"/>
      <c r="P46" s="321"/>
      <c r="Q46" s="256"/>
      <c r="R46" s="256"/>
      <c r="S46" s="1413"/>
      <c r="T46" s="1413"/>
      <c r="U46" s="1413"/>
      <c r="V46" s="256"/>
      <c r="W46" s="446"/>
      <c r="X46" s="321"/>
      <c r="Y46" s="256"/>
      <c r="Z46" s="256"/>
      <c r="AA46" s="309"/>
      <c r="AB46" s="321"/>
      <c r="AC46" s="256"/>
      <c r="AD46" s="256"/>
      <c r="AE46" s="256"/>
      <c r="AF46" s="256"/>
      <c r="AG46" s="309"/>
      <c r="AH46" s="321"/>
      <c r="AI46" s="256"/>
      <c r="AJ46" s="256"/>
      <c r="AK46" s="256"/>
      <c r="AL46" s="256"/>
      <c r="AM46" s="256"/>
      <c r="AN46" s="256"/>
      <c r="AO46" s="422"/>
      <c r="AP46" s="256"/>
      <c r="AQ46" s="256"/>
      <c r="AR46" s="256"/>
      <c r="AS46" s="309"/>
      <c r="AT46" s="321"/>
      <c r="AU46" s="256"/>
      <c r="AV46" s="256"/>
      <c r="AW46" s="256"/>
      <c r="AX46" s="256"/>
      <c r="AY46" s="309"/>
      <c r="AZ46" s="321"/>
      <c r="BA46" s="256"/>
      <c r="BB46" s="256"/>
      <c r="BC46" s="256"/>
      <c r="BD46" s="256"/>
      <c r="BE46" s="256"/>
      <c r="BF46" s="256"/>
      <c r="BG46" s="422"/>
      <c r="BH46" s="255"/>
      <c r="BI46" s="255"/>
      <c r="BJ46" s="255"/>
      <c r="BK46" s="317"/>
      <c r="BL46" s="333"/>
      <c r="BM46" s="255"/>
      <c r="BN46" s="255"/>
      <c r="BO46" s="255"/>
      <c r="BP46" s="255"/>
      <c r="BQ46" s="317"/>
      <c r="BR46" s="333"/>
      <c r="BS46" s="255"/>
      <c r="BT46" s="255"/>
      <c r="BU46" s="255"/>
      <c r="BV46" s="255"/>
      <c r="BW46" s="255"/>
      <c r="BZ46" s="253" t="s">
        <v>199</v>
      </c>
      <c r="CS46" s="263">
        <f t="shared" ref="CS46:DH46" si="5">CS$59*CS$9/100</f>
        <v>0.28322000000000003</v>
      </c>
      <c r="CT46" s="263">
        <f t="shared" si="5"/>
        <v>3.7925999999999994E-2</v>
      </c>
      <c r="CU46" s="263">
        <f t="shared" si="5"/>
        <v>6.0374999999999998E-2</v>
      </c>
      <c r="CV46" s="242">
        <f t="shared" si="5"/>
        <v>1.5913978494623657E-3</v>
      </c>
      <c r="CW46" s="328">
        <f t="shared" si="5"/>
        <v>5.5125E-2</v>
      </c>
      <c r="CX46" s="263">
        <f t="shared" si="5"/>
        <v>7.0616666666666661E-2</v>
      </c>
      <c r="CY46" s="263">
        <f t="shared" si="5"/>
        <v>4.3594999999999995E-2</v>
      </c>
      <c r="CZ46" s="263">
        <f t="shared" si="5"/>
        <v>4.4030000000000007E-2</v>
      </c>
      <c r="DA46" s="263">
        <f t="shared" si="5"/>
        <v>2.9906666666666668E-2</v>
      </c>
      <c r="DB46" s="242">
        <f t="shared" si="5"/>
        <v>1.3458333333333334E-4</v>
      </c>
      <c r="DC46" s="328">
        <f t="shared" si="5"/>
        <v>5.0083333333333341E-2</v>
      </c>
      <c r="DD46" s="263">
        <f t="shared" si="5"/>
        <v>0.14601125000000001</v>
      </c>
      <c r="DE46" s="263">
        <f t="shared" si="5"/>
        <v>0.16544791666666664</v>
      </c>
      <c r="DF46" s="263">
        <f t="shared" si="5"/>
        <v>5.1181249999999991E-2</v>
      </c>
      <c r="DG46" s="263">
        <f t="shared" si="5"/>
        <v>2.7091764705882353E-2</v>
      </c>
      <c r="DH46" s="263">
        <f t="shared" si="5"/>
        <v>6.6323571428571426E-2</v>
      </c>
      <c r="DJ46" s="1" t="s">
        <v>199</v>
      </c>
    </row>
    <row r="47" spans="3:114" x14ac:dyDescent="0.25">
      <c r="F47" s="321"/>
      <c r="G47" s="256"/>
      <c r="H47" s="256"/>
      <c r="I47" s="1331"/>
      <c r="J47" s="321"/>
      <c r="K47" s="256"/>
      <c r="L47" s="256"/>
      <c r="M47" s="256"/>
      <c r="N47" s="1413"/>
      <c r="O47" s="1331"/>
      <c r="P47" s="321"/>
      <c r="Q47" s="256"/>
      <c r="R47" s="256"/>
      <c r="S47" s="1413"/>
      <c r="T47" s="1413"/>
      <c r="U47" s="1413"/>
      <c r="V47" s="256"/>
      <c r="W47" s="446"/>
      <c r="X47" s="321"/>
      <c r="Y47" s="256"/>
      <c r="Z47" s="256"/>
      <c r="AA47" s="309"/>
      <c r="AB47" s="321"/>
      <c r="AC47" s="256"/>
      <c r="AD47" s="256"/>
      <c r="AE47" s="256"/>
      <c r="AF47" s="256"/>
      <c r="AG47" s="309"/>
      <c r="AH47" s="321"/>
      <c r="AI47" s="256"/>
      <c r="AJ47" s="256"/>
      <c r="AK47" s="256"/>
      <c r="AL47" s="256"/>
      <c r="AM47" s="256"/>
      <c r="AN47" s="256"/>
      <c r="AO47" s="422"/>
      <c r="AP47" s="256"/>
      <c r="AQ47" s="256"/>
      <c r="AR47" s="256"/>
      <c r="AS47" s="309"/>
      <c r="AT47" s="321"/>
      <c r="AU47" s="256"/>
      <c r="AV47" s="256"/>
      <c r="AW47" s="256"/>
      <c r="AX47" s="256"/>
      <c r="AY47" s="309"/>
      <c r="AZ47" s="321"/>
      <c r="BA47" s="256"/>
      <c r="BB47" s="256"/>
      <c r="BC47" s="256"/>
      <c r="BD47" s="256"/>
      <c r="BE47" s="256"/>
      <c r="BF47" s="256"/>
      <c r="BG47" s="422"/>
      <c r="BH47" s="255"/>
      <c r="BI47" s="255"/>
      <c r="BJ47" s="255"/>
      <c r="BK47" s="317"/>
      <c r="BL47" s="333"/>
      <c r="BM47" s="255"/>
      <c r="BN47" s="255"/>
      <c r="BO47" s="255"/>
      <c r="BP47" s="255"/>
      <c r="BQ47" s="317"/>
      <c r="BR47" s="333"/>
      <c r="BS47" s="255"/>
      <c r="BT47" s="255"/>
      <c r="BU47" s="255"/>
      <c r="BV47" s="255"/>
      <c r="BW47" s="255"/>
      <c r="BZ47" s="253" t="s">
        <v>200</v>
      </c>
      <c r="CS47" s="263">
        <f t="shared" ref="CS47:DH47" si="6">CS$59*CS$10/100</f>
        <v>0.45863999999999999</v>
      </c>
      <c r="CT47" s="263">
        <f t="shared" si="6"/>
        <v>1.4447999999999999E-2</v>
      </c>
      <c r="CU47" s="263">
        <f t="shared" si="6"/>
        <v>2.3000000000000003E-2</v>
      </c>
      <c r="CV47" s="242">
        <f t="shared" si="6"/>
        <v>9.5483870967741922E-4</v>
      </c>
      <c r="CW47" s="328">
        <f t="shared" si="6"/>
        <v>8.0850000000000005E-2</v>
      </c>
      <c r="CX47" s="263">
        <f t="shared" si="6"/>
        <v>0.10034999999999999</v>
      </c>
      <c r="CY47" s="263">
        <f t="shared" si="6"/>
        <v>6.5392500000000006E-2</v>
      </c>
      <c r="CZ47" s="263">
        <f t="shared" si="6"/>
        <v>6.2899999999999998E-2</v>
      </c>
      <c r="DA47" s="263">
        <f t="shared" si="6"/>
        <v>4.1121666666666667E-2</v>
      </c>
      <c r="DB47" s="242">
        <f t="shared" si="6"/>
        <v>1.8208333333333333E-4</v>
      </c>
      <c r="DC47" s="328">
        <f t="shared" si="6"/>
        <v>9.0150000000000008E-2</v>
      </c>
      <c r="DD47" s="263">
        <f t="shared" si="6"/>
        <v>0.23450291666666667</v>
      </c>
      <c r="DE47" s="263">
        <f t="shared" si="6"/>
        <v>0.25053541666666668</v>
      </c>
      <c r="DF47" s="263">
        <f t="shared" si="6"/>
        <v>9.8950416666666652E-2</v>
      </c>
      <c r="DG47" s="263">
        <f t="shared" si="6"/>
        <v>4.8480000000000009E-2</v>
      </c>
      <c r="DH47" s="263">
        <f t="shared" si="6"/>
        <v>0.11868428571428574</v>
      </c>
      <c r="DJ47" s="1" t="s">
        <v>200</v>
      </c>
    </row>
    <row r="48" spans="3:114" x14ac:dyDescent="0.25">
      <c r="F48" s="321"/>
      <c r="G48" s="256"/>
      <c r="H48" s="256"/>
      <c r="I48" s="1331"/>
      <c r="J48" s="321"/>
      <c r="K48" s="256"/>
      <c r="L48" s="256"/>
      <c r="M48" s="256"/>
      <c r="N48" s="1413"/>
      <c r="O48" s="1331"/>
      <c r="P48" s="321"/>
      <c r="Q48" s="256"/>
      <c r="R48" s="256"/>
      <c r="S48" s="1413"/>
      <c r="T48" s="1413"/>
      <c r="U48" s="1413"/>
      <c r="V48" s="256"/>
      <c r="W48" s="446"/>
      <c r="X48" s="321"/>
      <c r="Y48" s="256"/>
      <c r="Z48" s="256"/>
      <c r="AA48" s="309"/>
      <c r="AB48" s="321"/>
      <c r="AC48" s="256"/>
      <c r="AD48" s="256"/>
      <c r="AE48" s="256"/>
      <c r="AF48" s="256"/>
      <c r="AG48" s="309"/>
      <c r="AH48" s="321"/>
      <c r="AI48" s="256"/>
      <c r="AJ48" s="256"/>
      <c r="AK48" s="256"/>
      <c r="AL48" s="256"/>
      <c r="AM48" s="256"/>
      <c r="AN48" s="256"/>
      <c r="AO48" s="422"/>
      <c r="AP48" s="256"/>
      <c r="AQ48" s="256"/>
      <c r="AR48" s="256"/>
      <c r="AS48" s="309"/>
      <c r="AT48" s="321"/>
      <c r="AU48" s="256"/>
      <c r="AV48" s="256"/>
      <c r="AW48" s="256"/>
      <c r="AX48" s="256"/>
      <c r="AY48" s="309"/>
      <c r="AZ48" s="321"/>
      <c r="BA48" s="256"/>
      <c r="BB48" s="256"/>
      <c r="BC48" s="256"/>
      <c r="BD48" s="256"/>
      <c r="BE48" s="256"/>
      <c r="BF48" s="256"/>
      <c r="BG48" s="422"/>
      <c r="BH48" s="255"/>
      <c r="BI48" s="255"/>
      <c r="BJ48" s="255"/>
      <c r="BK48" s="317"/>
      <c r="BL48" s="333"/>
      <c r="BM48" s="255"/>
      <c r="BN48" s="255"/>
      <c r="BO48" s="255"/>
      <c r="BP48" s="255"/>
      <c r="BQ48" s="317"/>
      <c r="BR48" s="333"/>
      <c r="BS48" s="255"/>
      <c r="BT48" s="255"/>
      <c r="BU48" s="255"/>
      <c r="BV48" s="255"/>
      <c r="BW48" s="255"/>
      <c r="BZ48" s="253" t="s">
        <v>201</v>
      </c>
      <c r="CS48" s="263">
        <f t="shared" ref="CS48:DH48" si="7">CS$59*CS$11/100</f>
        <v>0.67669000000000012</v>
      </c>
      <c r="CT48" s="263">
        <f t="shared" si="7"/>
        <v>3.4313999999999997E-2</v>
      </c>
      <c r="CU48" s="263">
        <f t="shared" si="7"/>
        <v>5.4625000000000007E-2</v>
      </c>
      <c r="CV48" s="242">
        <f t="shared" si="7"/>
        <v>1.2731182795698926E-3</v>
      </c>
      <c r="CW48" s="328">
        <f t="shared" si="7"/>
        <v>0.11025</v>
      </c>
      <c r="CX48" s="263">
        <f t="shared" si="7"/>
        <v>0.14866666666666667</v>
      </c>
      <c r="CY48" s="263">
        <f t="shared" si="7"/>
        <v>0.10535458333333332</v>
      </c>
      <c r="CZ48" s="263">
        <f t="shared" si="7"/>
        <v>9.4349999999999989E-2</v>
      </c>
      <c r="DA48" s="263">
        <f t="shared" si="7"/>
        <v>6.1682500000000001E-2</v>
      </c>
      <c r="DB48" s="242">
        <f t="shared" si="7"/>
        <v>2.5333333333333333E-4</v>
      </c>
      <c r="DC48" s="328">
        <f t="shared" si="7"/>
        <v>0.15024999999999999</v>
      </c>
      <c r="DD48" s="263">
        <f t="shared" si="7"/>
        <v>0.35396666666666671</v>
      </c>
      <c r="DE48" s="263">
        <f t="shared" si="7"/>
        <v>0.37343958333333338</v>
      </c>
      <c r="DF48" s="263">
        <f t="shared" si="7"/>
        <v>0.15695583333333332</v>
      </c>
      <c r="DG48" s="263">
        <f t="shared" si="7"/>
        <v>7.5571764705882366E-2</v>
      </c>
      <c r="DH48" s="263">
        <f t="shared" si="7"/>
        <v>0.18500785714285717</v>
      </c>
      <c r="DJ48" s="1" t="s">
        <v>201</v>
      </c>
    </row>
    <row r="49" spans="3:114" x14ac:dyDescent="0.25">
      <c r="F49" s="321"/>
      <c r="G49" s="256"/>
      <c r="H49" s="256"/>
      <c r="I49" s="1331"/>
      <c r="J49" s="321"/>
      <c r="K49" s="256"/>
      <c r="L49" s="256"/>
      <c r="M49" s="256"/>
      <c r="N49" s="1413"/>
      <c r="O49" s="1331"/>
      <c r="P49" s="321"/>
      <c r="Q49" s="256"/>
      <c r="R49" s="256"/>
      <c r="S49" s="1413"/>
      <c r="T49" s="1413"/>
      <c r="U49" s="1413"/>
      <c r="V49" s="256"/>
      <c r="W49" s="446"/>
      <c r="X49" s="321"/>
      <c r="Y49" s="256"/>
      <c r="Z49" s="256"/>
      <c r="AA49" s="309"/>
      <c r="AB49" s="321"/>
      <c r="AC49" s="256"/>
      <c r="AD49" s="256"/>
      <c r="AE49" s="256"/>
      <c r="AF49" s="256"/>
      <c r="AG49" s="309"/>
      <c r="AH49" s="321"/>
      <c r="AI49" s="256"/>
      <c r="AJ49" s="256"/>
      <c r="AK49" s="256"/>
      <c r="AL49" s="256"/>
      <c r="AM49" s="256"/>
      <c r="AN49" s="256"/>
      <c r="AO49" s="422"/>
      <c r="AP49" s="256"/>
      <c r="AQ49" s="256"/>
      <c r="AR49" s="256"/>
      <c r="AS49" s="309"/>
      <c r="AT49" s="321"/>
      <c r="AU49" s="256"/>
      <c r="AV49" s="256"/>
      <c r="AW49" s="256"/>
      <c r="AX49" s="256"/>
      <c r="AY49" s="309"/>
      <c r="AZ49" s="321"/>
      <c r="BA49" s="256"/>
      <c r="BB49" s="256"/>
      <c r="BC49" s="256"/>
      <c r="BD49" s="256"/>
      <c r="BE49" s="256"/>
      <c r="BF49" s="256"/>
      <c r="BG49" s="422"/>
      <c r="BH49" s="255"/>
      <c r="BI49" s="263"/>
      <c r="BJ49" s="255"/>
      <c r="BK49" s="317"/>
      <c r="BL49" s="333"/>
      <c r="BM49" s="255"/>
      <c r="BN49" s="255"/>
      <c r="BO49" s="255"/>
      <c r="BP49" s="255"/>
      <c r="BQ49" s="317"/>
      <c r="BR49" s="333"/>
      <c r="BS49" s="255"/>
      <c r="BT49" s="255"/>
      <c r="BU49" s="255"/>
      <c r="BV49" s="255"/>
      <c r="BW49" s="255"/>
      <c r="BZ49" s="253" t="s">
        <v>378</v>
      </c>
      <c r="CS49" s="263">
        <f t="shared" ref="CS49:DH49" si="8">CS$59*CS$12/100</f>
        <v>0.61642000000000008</v>
      </c>
      <c r="CT49" s="263">
        <f t="shared" si="8"/>
        <v>0.12641999999999998</v>
      </c>
      <c r="CU49" s="263">
        <f t="shared" si="8"/>
        <v>0.20125000000000001</v>
      </c>
      <c r="CV49" s="242">
        <f t="shared" si="8"/>
        <v>3.6602150537634408E-3</v>
      </c>
      <c r="CW49" s="328">
        <f t="shared" si="8"/>
        <v>0.16537500000000002</v>
      </c>
      <c r="CX49" s="263">
        <f t="shared" si="8"/>
        <v>0.19326666666666664</v>
      </c>
      <c r="CY49" s="263">
        <f t="shared" si="8"/>
        <v>0.1489495833333333</v>
      </c>
      <c r="CZ49" s="263">
        <f t="shared" si="8"/>
        <v>0.13208999999999999</v>
      </c>
      <c r="DA49" s="263">
        <f t="shared" si="8"/>
        <v>7.8504999999999991E-2</v>
      </c>
      <c r="DB49" s="242">
        <f t="shared" si="8"/>
        <v>3.166666666666667E-4</v>
      </c>
      <c r="DC49" s="328">
        <f t="shared" si="8"/>
        <v>0.19532500000000003</v>
      </c>
      <c r="DD49" s="263">
        <f t="shared" si="8"/>
        <v>0.41148625000000005</v>
      </c>
      <c r="DE49" s="263">
        <f t="shared" si="8"/>
        <v>0.43016458333333341</v>
      </c>
      <c r="DF49" s="263">
        <f t="shared" si="8"/>
        <v>0.19448874999999999</v>
      </c>
      <c r="DG49" s="263">
        <f t="shared" si="8"/>
        <v>8.6978823529411761E-2</v>
      </c>
      <c r="DH49" s="263">
        <f t="shared" si="8"/>
        <v>0.21293357142857144</v>
      </c>
      <c r="DJ49" s="1" t="s">
        <v>378</v>
      </c>
    </row>
    <row r="50" spans="3:114" x14ac:dyDescent="0.25">
      <c r="F50" s="321"/>
      <c r="G50" s="256"/>
      <c r="H50" s="256"/>
      <c r="I50" s="1331"/>
      <c r="J50" s="321"/>
      <c r="K50" s="256"/>
      <c r="L50" s="256"/>
      <c r="M50" s="256"/>
      <c r="N50" s="1413"/>
      <c r="O50" s="1331"/>
      <c r="P50" s="321"/>
      <c r="Q50" s="256"/>
      <c r="R50" s="256"/>
      <c r="S50" s="1413"/>
      <c r="T50" s="1413"/>
      <c r="U50" s="1413"/>
      <c r="V50" s="256"/>
      <c r="W50" s="446"/>
      <c r="X50" s="321"/>
      <c r="Y50" s="256"/>
      <c r="Z50" s="256"/>
      <c r="AA50" s="309"/>
      <c r="AB50" s="321"/>
      <c r="AC50" s="256"/>
      <c r="AD50" s="256"/>
      <c r="AE50" s="256"/>
      <c r="AF50" s="256"/>
      <c r="AG50" s="309"/>
      <c r="AH50" s="321"/>
      <c r="AI50" s="256"/>
      <c r="AJ50" s="256"/>
      <c r="AK50" s="256"/>
      <c r="AL50" s="256"/>
      <c r="AM50" s="256"/>
      <c r="AN50" s="256"/>
      <c r="AO50" s="422"/>
      <c r="AP50" s="256"/>
      <c r="AQ50" s="256"/>
      <c r="AR50" s="256"/>
      <c r="AS50" s="309"/>
      <c r="AT50" s="321"/>
      <c r="AU50" s="256"/>
      <c r="AV50" s="256"/>
      <c r="AW50" s="256"/>
      <c r="AX50" s="256"/>
      <c r="AY50" s="309"/>
      <c r="AZ50" s="321"/>
      <c r="BA50" s="256"/>
      <c r="BB50" s="256"/>
      <c r="BC50" s="256"/>
      <c r="BD50" s="256"/>
      <c r="BE50" s="256"/>
      <c r="BF50" s="256"/>
      <c r="BG50" s="422"/>
      <c r="BH50" s="255"/>
      <c r="BI50" s="255"/>
      <c r="BJ50" s="255"/>
      <c r="BK50" s="317"/>
      <c r="BL50" s="333"/>
      <c r="BM50" s="255"/>
      <c r="BN50" s="255"/>
      <c r="BO50" s="255"/>
      <c r="BP50" s="255"/>
      <c r="BQ50" s="317"/>
      <c r="BR50" s="333"/>
      <c r="BS50" s="255"/>
      <c r="BT50" s="255"/>
      <c r="BU50" s="255"/>
      <c r="BV50" s="255"/>
      <c r="BW50" s="255"/>
      <c r="BZ50" s="253" t="s">
        <v>203</v>
      </c>
      <c r="CS50" s="263">
        <f t="shared" ref="CS50:DH50" si="9">CS$59*CS$13/100</f>
        <v>0.54635</v>
      </c>
      <c r="CT50" s="263">
        <f t="shared" si="9"/>
        <v>6.3209999999999988E-2</v>
      </c>
      <c r="CU50" s="263">
        <f t="shared" si="9"/>
        <v>0.10062500000000001</v>
      </c>
      <c r="CV50" s="242">
        <f t="shared" si="9"/>
        <v>3.6602150537634408E-3</v>
      </c>
      <c r="CW50" s="328">
        <f t="shared" si="9"/>
        <v>0.58432500000000009</v>
      </c>
      <c r="CX50" s="263">
        <f t="shared" si="9"/>
        <v>0.55006666666666659</v>
      </c>
      <c r="CY50" s="263">
        <f t="shared" si="9"/>
        <v>0.55220333333333327</v>
      </c>
      <c r="CZ50" s="263">
        <f t="shared" si="9"/>
        <v>0.44973499999999994</v>
      </c>
      <c r="DA50" s="263">
        <f t="shared" si="9"/>
        <v>0.24486083333333333</v>
      </c>
      <c r="DB50" s="242">
        <f t="shared" si="9"/>
        <v>8.2333333333333325E-4</v>
      </c>
      <c r="DC50" s="328">
        <f t="shared" si="9"/>
        <v>0.43071666666666664</v>
      </c>
      <c r="DD50" s="263">
        <f t="shared" si="9"/>
        <v>0.97340833333333354</v>
      </c>
      <c r="DE50" s="263">
        <f t="shared" si="9"/>
        <v>0.95014375000000006</v>
      </c>
      <c r="DF50" s="263">
        <f t="shared" si="9"/>
        <v>0.58687833333333328</v>
      </c>
      <c r="DG50" s="263">
        <f t="shared" si="9"/>
        <v>0.20532705882352942</v>
      </c>
      <c r="DH50" s="263">
        <f t="shared" si="9"/>
        <v>0.50266285714285719</v>
      </c>
      <c r="DJ50" s="1" t="s">
        <v>203</v>
      </c>
    </row>
    <row r="51" spans="3:114" ht="15.75" thickBot="1" x14ac:dyDescent="0.3">
      <c r="F51" s="371"/>
      <c r="G51" s="370"/>
      <c r="H51" s="370"/>
      <c r="I51" s="1332"/>
      <c r="J51" s="371"/>
      <c r="K51" s="370"/>
      <c r="L51" s="370"/>
      <c r="M51" s="370"/>
      <c r="N51" s="1414"/>
      <c r="O51" s="1332"/>
      <c r="P51" s="371"/>
      <c r="Q51" s="370"/>
      <c r="R51" s="370"/>
      <c r="S51" s="1414"/>
      <c r="T51" s="1414"/>
      <c r="U51" s="1414"/>
      <c r="V51" s="370"/>
      <c r="W51" s="508"/>
      <c r="X51" s="371"/>
      <c r="Y51" s="370"/>
      <c r="Z51" s="370"/>
      <c r="AA51" s="225"/>
      <c r="AB51" s="371"/>
      <c r="AC51" s="370"/>
      <c r="AD51" s="370"/>
      <c r="AE51" s="370"/>
      <c r="AF51" s="370"/>
      <c r="AG51" s="225"/>
      <c r="AH51" s="371"/>
      <c r="AI51" s="370"/>
      <c r="AJ51" s="370"/>
      <c r="AK51" s="370"/>
      <c r="AL51" s="370"/>
      <c r="AM51" s="370"/>
      <c r="AN51" s="370"/>
      <c r="AO51" s="477"/>
      <c r="AP51" s="370"/>
      <c r="AQ51" s="370"/>
      <c r="AR51" s="370"/>
      <c r="AS51" s="225"/>
      <c r="AT51" s="371"/>
      <c r="AU51" s="370"/>
      <c r="AV51" s="370"/>
      <c r="AW51" s="370"/>
      <c r="AX51" s="370"/>
      <c r="AY51" s="225"/>
      <c r="AZ51" s="371"/>
      <c r="BA51" s="370"/>
      <c r="BB51" s="370"/>
      <c r="BC51" s="370"/>
      <c r="BD51" s="370"/>
      <c r="BE51" s="370"/>
      <c r="BF51" s="370"/>
      <c r="BG51" s="477"/>
      <c r="BH51" s="522"/>
      <c r="BI51" s="370"/>
      <c r="BJ51" s="370"/>
      <c r="BK51" s="225"/>
      <c r="BL51" s="371"/>
      <c r="BM51" s="370"/>
      <c r="BN51" s="370"/>
      <c r="BO51" s="522"/>
      <c r="BP51" s="522"/>
      <c r="BQ51" s="800"/>
      <c r="BR51" s="802"/>
      <c r="BS51" s="522"/>
      <c r="BT51" s="522"/>
      <c r="BU51" s="522"/>
      <c r="BV51" s="522"/>
      <c r="BW51" s="522"/>
      <c r="BX51" s="228"/>
      <c r="BY51" s="463"/>
      <c r="BZ51" s="478" t="s">
        <v>376</v>
      </c>
      <c r="CA51" s="228"/>
      <c r="CB51" s="228"/>
      <c r="CC51" s="228"/>
      <c r="CD51" s="229"/>
      <c r="CE51" s="353"/>
      <c r="CF51" s="228"/>
      <c r="CG51" s="228"/>
      <c r="CH51" s="228"/>
      <c r="CI51" s="228"/>
      <c r="CJ51" s="229"/>
      <c r="CK51" s="353"/>
      <c r="CL51" s="228"/>
      <c r="CM51" s="228"/>
      <c r="CN51" s="228"/>
      <c r="CO51" s="228"/>
      <c r="CP51" s="228"/>
      <c r="CQ51" s="228"/>
      <c r="CR51" s="463"/>
      <c r="CS51" s="523">
        <f t="shared" ref="CS51:DH51" si="10">CS$59*CS$14/100</f>
        <v>0.12592999999999999</v>
      </c>
      <c r="CT51" s="523">
        <f t="shared" si="10"/>
        <v>9.9330000000000002E-2</v>
      </c>
      <c r="CU51" s="523">
        <f t="shared" si="10"/>
        <v>0.15812500000000002</v>
      </c>
      <c r="CV51" s="722">
        <f t="shared" si="10"/>
        <v>5.4107526881720432E-3</v>
      </c>
      <c r="CW51" s="736">
        <f t="shared" si="10"/>
        <v>0.15434999999999999</v>
      </c>
      <c r="CX51" s="523">
        <f t="shared" si="10"/>
        <v>0.1338</v>
      </c>
      <c r="CY51" s="523">
        <f t="shared" si="10"/>
        <v>0.13441791666666666</v>
      </c>
      <c r="CZ51" s="523">
        <f t="shared" si="10"/>
        <v>8.8060000000000013E-2</v>
      </c>
      <c r="DA51" s="523">
        <f t="shared" si="10"/>
        <v>4.6729166666666669E-2</v>
      </c>
      <c r="DB51" s="722">
        <f t="shared" si="10"/>
        <v>1.4249999999999999E-4</v>
      </c>
      <c r="DC51" s="736">
        <f t="shared" si="10"/>
        <v>6.0100000000000001E-2</v>
      </c>
      <c r="DD51" s="523">
        <f t="shared" si="10"/>
        <v>0.17698333333333335</v>
      </c>
      <c r="DE51" s="523">
        <f t="shared" si="10"/>
        <v>0.14181250000000001</v>
      </c>
      <c r="DF51" s="523">
        <f t="shared" si="10"/>
        <v>0.13648333333333335</v>
      </c>
      <c r="DG51" s="523">
        <f t="shared" si="10"/>
        <v>3.7072941176470593E-2</v>
      </c>
      <c r="DH51" s="523">
        <f t="shared" si="10"/>
        <v>9.0758571428571438E-2</v>
      </c>
      <c r="DI51" s="228"/>
      <c r="DJ51" s="1" t="s">
        <v>376</v>
      </c>
    </row>
    <row r="52" spans="3:114" s="528" customFormat="1" ht="15.6" customHeight="1" thickTop="1" thickBot="1" x14ac:dyDescent="0.3">
      <c r="C52" s="524"/>
      <c r="D52" s="524"/>
      <c r="E52" s="524"/>
      <c r="F52" s="481"/>
      <c r="G52" s="466"/>
      <c r="H52" s="525"/>
      <c r="I52" s="1340"/>
      <c r="J52" s="526"/>
      <c r="K52" s="525"/>
      <c r="L52" s="525"/>
      <c r="M52" s="525"/>
      <c r="N52" s="1421"/>
      <c r="O52" s="1340"/>
      <c r="P52" s="509"/>
      <c r="Q52" s="510"/>
      <c r="R52" s="510"/>
      <c r="S52" s="1421"/>
      <c r="T52" s="1421"/>
      <c r="U52" s="1421"/>
      <c r="V52" s="466"/>
      <c r="W52" s="480"/>
      <c r="X52" s="481"/>
      <c r="Y52" s="466"/>
      <c r="Z52" s="466"/>
      <c r="AA52" s="519"/>
      <c r="AB52" s="481"/>
      <c r="AC52" s="466"/>
      <c r="AD52" s="466"/>
      <c r="AE52" s="466"/>
      <c r="AF52" s="466"/>
      <c r="AG52" s="519"/>
      <c r="AH52" s="481"/>
      <c r="AI52" s="466"/>
      <c r="AJ52" s="466"/>
      <c r="AK52" s="466"/>
      <c r="AL52" s="466"/>
      <c r="AM52" s="466"/>
      <c r="AN52" s="466"/>
      <c r="AO52" s="482"/>
      <c r="AP52" s="466"/>
      <c r="AQ52" s="466"/>
      <c r="AR52" s="466"/>
      <c r="AS52" s="519"/>
      <c r="AT52" s="481"/>
      <c r="AU52" s="466"/>
      <c r="AV52" s="466"/>
      <c r="AW52" s="466"/>
      <c r="AX52" s="466"/>
      <c r="AY52" s="519"/>
      <c r="AZ52" s="481"/>
      <c r="BA52" s="466"/>
      <c r="BB52" s="466"/>
      <c r="BC52" s="466"/>
      <c r="BD52" s="466"/>
      <c r="BE52" s="466"/>
      <c r="BF52" s="466"/>
      <c r="BG52" s="482"/>
      <c r="BH52" s="466"/>
      <c r="BI52" s="466"/>
      <c r="BJ52" s="466"/>
      <c r="BK52" s="519"/>
      <c r="BL52" s="481"/>
      <c r="BM52" s="466"/>
      <c r="BN52" s="466"/>
      <c r="BO52" s="466"/>
      <c r="BP52" s="466"/>
      <c r="BQ52" s="519"/>
      <c r="BR52" s="481"/>
      <c r="BS52" s="466"/>
      <c r="BT52" s="466"/>
      <c r="BU52" s="466"/>
      <c r="BV52" s="466"/>
      <c r="BW52" s="466"/>
      <c r="BX52" s="466"/>
      <c r="BY52" s="482"/>
      <c r="BZ52" s="485"/>
      <c r="CA52" s="466"/>
      <c r="CB52" s="466"/>
      <c r="CC52" s="466"/>
      <c r="CD52" s="519"/>
      <c r="CE52" s="481"/>
      <c r="CF52" s="466"/>
      <c r="CG52" s="466"/>
      <c r="CH52" s="466"/>
      <c r="CI52" s="466"/>
      <c r="CJ52" s="519"/>
      <c r="CK52" s="481"/>
      <c r="CL52" s="466"/>
      <c r="CM52" s="466"/>
      <c r="CN52" s="466"/>
      <c r="CO52" s="466"/>
      <c r="CP52" s="466"/>
      <c r="CQ52" s="466"/>
      <c r="CR52" s="482"/>
      <c r="CS52" s="466"/>
      <c r="CT52" s="466"/>
      <c r="CU52" s="466"/>
      <c r="CV52" s="519"/>
      <c r="CW52" s="481"/>
      <c r="CX52" s="466"/>
      <c r="CY52" s="466"/>
      <c r="CZ52" s="527"/>
      <c r="DA52" s="527"/>
      <c r="DB52" s="566"/>
      <c r="DC52" s="481"/>
      <c r="DD52" s="466"/>
      <c r="DE52" s="466"/>
      <c r="DF52" s="466"/>
      <c r="DG52" s="466"/>
      <c r="DH52" s="466"/>
      <c r="DI52" s="466"/>
    </row>
    <row r="53" spans="3:114" ht="15.75" thickBot="1" x14ac:dyDescent="0.3">
      <c r="C53" s="367" t="s">
        <v>366</v>
      </c>
      <c r="F53" s="1514" t="s">
        <v>206</v>
      </c>
      <c r="G53" s="1514"/>
      <c r="H53" s="1514"/>
      <c r="I53" s="1514"/>
      <c r="J53" s="1514" t="s">
        <v>206</v>
      </c>
      <c r="K53" s="1514"/>
      <c r="L53" s="1514"/>
      <c r="M53" s="1514"/>
      <c r="N53" s="1514"/>
      <c r="O53" s="1514"/>
      <c r="P53" s="1514" t="s">
        <v>206</v>
      </c>
      <c r="Q53" s="1514"/>
      <c r="R53" s="1514"/>
      <c r="S53" s="1514"/>
      <c r="T53" s="1514"/>
      <c r="U53" s="1514"/>
      <c r="X53" s="1514" t="s">
        <v>392</v>
      </c>
      <c r="Y53" s="1514"/>
      <c r="Z53" s="1514"/>
      <c r="AA53" s="1514"/>
      <c r="AB53" s="1514" t="s">
        <v>392</v>
      </c>
      <c r="AC53" s="1514"/>
      <c r="AD53" s="1514"/>
      <c r="AE53" s="1514"/>
      <c r="AF53" s="1514"/>
      <c r="AG53" s="1514"/>
      <c r="AH53" s="1516" t="s">
        <v>392</v>
      </c>
      <c r="AI53" s="1516"/>
      <c r="AJ53" s="1516"/>
      <c r="AK53" s="1516"/>
      <c r="AL53" s="1516"/>
      <c r="AM53" s="1516"/>
      <c r="AN53" s="409"/>
      <c r="AO53" s="423"/>
      <c r="AP53" s="1514" t="s">
        <v>15</v>
      </c>
      <c r="AQ53" s="1514"/>
      <c r="AR53" s="1514"/>
      <c r="AS53" s="1514"/>
      <c r="AT53" s="1514" t="s">
        <v>15</v>
      </c>
      <c r="AU53" s="1514"/>
      <c r="AV53" s="1514"/>
      <c r="AW53" s="1514"/>
      <c r="AX53" s="1514"/>
      <c r="AY53" s="1514"/>
      <c r="AZ53" s="1514" t="s">
        <v>15</v>
      </c>
      <c r="BA53" s="1514"/>
      <c r="BB53" s="1514"/>
      <c r="BC53" s="1514"/>
      <c r="BD53" s="1514"/>
      <c r="BE53" s="1514"/>
      <c r="BF53" s="254"/>
      <c r="BH53" s="1514" t="s">
        <v>0</v>
      </c>
      <c r="BI53" s="1514"/>
      <c r="BJ53" s="1514"/>
      <c r="BK53" s="1514"/>
      <c r="BL53" s="1514" t="s">
        <v>0</v>
      </c>
      <c r="BM53" s="1514"/>
      <c r="BN53" s="1514"/>
      <c r="BO53" s="1514"/>
      <c r="BP53" s="1514"/>
      <c r="BQ53" s="1514"/>
      <c r="BR53" s="1514" t="s">
        <v>0</v>
      </c>
      <c r="BS53" s="1514"/>
      <c r="BT53" s="1514"/>
      <c r="BU53" s="1514"/>
      <c r="BV53" s="1514"/>
      <c r="BW53" s="1514"/>
      <c r="CA53" s="1514" t="s">
        <v>351</v>
      </c>
      <c r="CB53" s="1514"/>
      <c r="CC53" s="1514"/>
      <c r="CD53" s="1514"/>
      <c r="CE53" s="1514" t="s">
        <v>351</v>
      </c>
      <c r="CF53" s="1514"/>
      <c r="CG53" s="1514"/>
      <c r="CH53" s="1514"/>
      <c r="CI53" s="1514"/>
      <c r="CJ53" s="1514"/>
      <c r="CK53" s="1514" t="s">
        <v>351</v>
      </c>
      <c r="CL53" s="1514"/>
      <c r="CM53" s="1514"/>
      <c r="CN53" s="1514"/>
      <c r="CO53" s="1514"/>
      <c r="CP53" s="1514"/>
      <c r="CQ53" s="254"/>
      <c r="CS53" s="1515" t="s">
        <v>388</v>
      </c>
      <c r="CT53" s="1515"/>
      <c r="CU53" s="1515"/>
      <c r="CV53" s="1515"/>
      <c r="CW53" s="1515" t="s">
        <v>388</v>
      </c>
      <c r="CX53" s="1515"/>
      <c r="CY53" s="1515"/>
      <c r="CZ53" s="1515"/>
      <c r="DA53" s="1515"/>
      <c r="DB53" s="1515"/>
      <c r="DC53" s="1514" t="s">
        <v>388</v>
      </c>
      <c r="DD53" s="1514"/>
      <c r="DE53" s="1514"/>
      <c r="DF53" s="1514"/>
      <c r="DG53" s="1514"/>
      <c r="DH53" s="1514"/>
    </row>
    <row r="54" spans="3:114" ht="15.75" thickBot="1" x14ac:dyDescent="0.3">
      <c r="C54" s="648" t="s">
        <v>423</v>
      </c>
      <c r="D54" s="649"/>
      <c r="E54" s="649"/>
      <c r="F54" s="650">
        <f>(2606+2899)</f>
        <v>5505</v>
      </c>
      <c r="G54" s="651">
        <v>2686</v>
      </c>
      <c r="H54" s="651">
        <f>(2574+2639)</f>
        <v>5213</v>
      </c>
      <c r="I54" s="1341">
        <f>(2469+2662)</f>
        <v>5131</v>
      </c>
      <c r="J54" s="319"/>
      <c r="K54" s="254"/>
      <c r="L54" s="254"/>
      <c r="M54" s="254"/>
      <c r="N54" s="1422"/>
      <c r="O54" s="1341"/>
      <c r="P54" s="319"/>
      <c r="Q54" s="254"/>
      <c r="R54" s="254"/>
      <c r="S54" s="1422"/>
      <c r="T54" s="1422"/>
      <c r="U54" s="1422"/>
      <c r="X54" s="319"/>
      <c r="Y54" s="254"/>
      <c r="Z54" s="254"/>
      <c r="AA54" s="308"/>
      <c r="AB54" s="319"/>
      <c r="AC54" s="254"/>
      <c r="AD54" s="254"/>
      <c r="AE54" s="254"/>
      <c r="AF54" s="254"/>
      <c r="AG54" s="308"/>
      <c r="AH54" s="605"/>
      <c r="AI54" s="409"/>
      <c r="AJ54" s="409"/>
      <c r="AK54" s="409"/>
      <c r="AL54" s="409"/>
      <c r="AM54" s="409"/>
      <c r="AN54" s="409"/>
      <c r="AO54" s="423"/>
      <c r="AP54" s="254"/>
      <c r="AQ54" s="254"/>
      <c r="AR54" s="254"/>
      <c r="AS54" s="308"/>
      <c r="AT54" s="319"/>
      <c r="AU54" s="254"/>
      <c r="AV54" s="254"/>
      <c r="AW54" s="254"/>
      <c r="AX54" s="254"/>
      <c r="AY54" s="308"/>
      <c r="AZ54" s="319"/>
      <c r="BA54" s="254"/>
      <c r="BB54" s="254"/>
      <c r="BC54" s="254"/>
      <c r="BD54" s="254"/>
      <c r="BE54" s="254"/>
      <c r="BF54" s="254"/>
      <c r="BH54" s="254"/>
      <c r="BI54" s="254"/>
      <c r="BJ54" s="254"/>
      <c r="BK54" s="308"/>
      <c r="BL54" s="319"/>
      <c r="BM54" s="254"/>
      <c r="BN54" s="254"/>
      <c r="BO54" s="254"/>
      <c r="BP54" s="254"/>
      <c r="BQ54" s="308"/>
      <c r="BR54" s="319"/>
      <c r="BS54" s="254"/>
      <c r="BT54" s="254"/>
      <c r="BU54" s="254"/>
      <c r="BV54" s="254"/>
      <c r="BW54" s="254"/>
      <c r="CA54" s="254"/>
      <c r="CB54" s="254"/>
      <c r="CC54" s="254"/>
      <c r="CD54" s="308"/>
      <c r="CE54" s="319"/>
      <c r="CF54" s="254"/>
      <c r="CG54" s="254"/>
      <c r="CH54" s="254"/>
      <c r="CI54" s="254"/>
      <c r="CJ54" s="308"/>
      <c r="CK54" s="319"/>
      <c r="CL54" s="254"/>
      <c r="CM54" s="254"/>
      <c r="CN54" s="254"/>
      <c r="CO54" s="254"/>
      <c r="CP54" s="254"/>
      <c r="CQ54" s="254"/>
      <c r="CS54" s="281"/>
      <c r="CT54" s="281"/>
      <c r="CU54" s="281"/>
      <c r="CV54" s="313"/>
      <c r="CW54" s="329"/>
      <c r="CX54" s="281"/>
      <c r="CY54" s="281"/>
      <c r="CZ54" s="281"/>
      <c r="DA54" s="281"/>
      <c r="DB54" s="313"/>
      <c r="DC54" s="319"/>
      <c r="DD54" s="254"/>
      <c r="DE54" s="254"/>
      <c r="DF54" s="254"/>
      <c r="DG54" s="254"/>
      <c r="DH54" s="254"/>
    </row>
    <row r="55" spans="3:114" ht="15.75" thickBot="1" x14ac:dyDescent="0.3">
      <c r="C55" s="611" t="s">
        <v>424</v>
      </c>
      <c r="F55" s="319">
        <f>F$54/23.5</f>
        <v>234.25531914893617</v>
      </c>
      <c r="G55" s="254">
        <f>G$54/12</f>
        <v>223.83333333333334</v>
      </c>
      <c r="H55" s="254">
        <f>H$54/24</f>
        <v>217.20833333333334</v>
      </c>
      <c r="I55" s="1341">
        <f>I$54/23.25</f>
        <v>220.68817204301075</v>
      </c>
      <c r="J55" s="319"/>
      <c r="K55" s="775"/>
      <c r="L55" s="254"/>
      <c r="M55" s="254"/>
      <c r="N55" s="1422"/>
      <c r="O55" s="1341"/>
      <c r="P55" s="319"/>
      <c r="Q55" s="254"/>
      <c r="R55" s="254"/>
      <c r="S55" s="1422"/>
      <c r="T55" s="1422"/>
      <c r="U55" s="1422"/>
      <c r="X55" s="319"/>
      <c r="Y55" s="254"/>
      <c r="Z55" s="254"/>
      <c r="AA55" s="308"/>
      <c r="AB55" s="319"/>
      <c r="AC55" s="254"/>
      <c r="AD55" s="254"/>
      <c r="AE55" s="254"/>
      <c r="AF55" s="254"/>
      <c r="AG55" s="308"/>
      <c r="AH55" s="605"/>
      <c r="AI55" s="409"/>
      <c r="AJ55" s="409"/>
      <c r="AK55" s="409"/>
      <c r="AL55" s="409"/>
      <c r="AM55" s="409"/>
      <c r="AN55" s="409"/>
      <c r="AO55" s="423"/>
      <c r="AP55" s="254"/>
      <c r="AQ55" s="254"/>
      <c r="AR55" s="254"/>
      <c r="AS55" s="308"/>
      <c r="AT55" s="319"/>
      <c r="AU55" s="254"/>
      <c r="AV55" s="254"/>
      <c r="AW55" s="254"/>
      <c r="AX55" s="254"/>
      <c r="AY55" s="308"/>
      <c r="AZ55" s="319"/>
      <c r="BA55" s="254"/>
      <c r="BB55" s="254"/>
      <c r="BC55" s="254"/>
      <c r="BD55" s="254"/>
      <c r="BE55" s="254"/>
      <c r="BF55" s="254"/>
      <c r="BH55" s="254"/>
      <c r="BI55" s="254"/>
      <c r="BJ55" s="254"/>
      <c r="BK55" s="308"/>
      <c r="BL55" s="319"/>
      <c r="BM55" s="254"/>
      <c r="BN55" s="254"/>
      <c r="BO55" s="254"/>
      <c r="BP55" s="254"/>
      <c r="BQ55" s="308"/>
      <c r="BR55" s="319"/>
      <c r="BS55" s="254"/>
      <c r="BT55" s="254"/>
      <c r="BU55" s="254"/>
      <c r="BV55" s="254"/>
      <c r="BW55" s="254"/>
      <c r="CA55" s="254"/>
      <c r="CB55" s="254"/>
      <c r="CC55" s="254"/>
      <c r="CD55" s="308"/>
      <c r="CE55" s="319"/>
      <c r="CF55" s="254"/>
      <c r="CG55" s="254"/>
      <c r="CH55" s="254"/>
      <c r="CI55" s="254"/>
      <c r="CJ55" s="308"/>
      <c r="CK55" s="319"/>
      <c r="CL55" s="254"/>
      <c r="CM55" s="254"/>
      <c r="CN55" s="254"/>
      <c r="CO55" s="254"/>
      <c r="CP55" s="254"/>
      <c r="CQ55" s="254"/>
      <c r="CS55" s="281"/>
      <c r="CT55" s="281"/>
      <c r="CU55" s="281"/>
      <c r="CV55" s="313"/>
      <c r="CW55" s="329"/>
      <c r="CX55" s="281"/>
      <c r="CY55" s="281"/>
      <c r="CZ55" s="281"/>
      <c r="DA55" s="281"/>
      <c r="DB55" s="313"/>
      <c r="DC55" s="319"/>
      <c r="DD55" s="254"/>
      <c r="DE55" s="254"/>
      <c r="DF55" s="254"/>
      <c r="DG55" s="254"/>
      <c r="DH55" s="254"/>
    </row>
    <row r="56" spans="3:114" ht="15.75" thickBot="1" x14ac:dyDescent="0.3">
      <c r="C56" s="648" t="s">
        <v>419</v>
      </c>
      <c r="D56" s="649"/>
      <c r="E56" s="649"/>
      <c r="F56" s="650">
        <f>(1211+1264)</f>
        <v>2475</v>
      </c>
      <c r="G56" s="651">
        <v>1256</v>
      </c>
      <c r="H56" s="651">
        <f>(1229+1255)</f>
        <v>2484</v>
      </c>
      <c r="I56" s="1341">
        <f>(1171+1211)</f>
        <v>2382</v>
      </c>
      <c r="J56" s="319"/>
      <c r="K56" s="254"/>
      <c r="L56" s="254"/>
      <c r="M56" s="254"/>
      <c r="N56" s="1422"/>
      <c r="O56" s="1341"/>
      <c r="P56" s="319"/>
      <c r="Q56" s="254"/>
      <c r="R56" s="254"/>
      <c r="S56" s="1422"/>
      <c r="T56" s="1422"/>
      <c r="U56" s="1422"/>
      <c r="X56" s="319"/>
      <c r="Y56" s="254"/>
      <c r="Z56" s="254"/>
      <c r="AA56" s="308"/>
      <c r="AB56" s="319"/>
      <c r="AC56" s="254"/>
      <c r="AD56" s="254"/>
      <c r="AE56" s="254"/>
      <c r="AF56" s="254"/>
      <c r="AG56" s="308"/>
      <c r="AH56" s="605"/>
      <c r="AI56" s="409"/>
      <c r="AJ56" s="409"/>
      <c r="AK56" s="409"/>
      <c r="AL56" s="409"/>
      <c r="AM56" s="409"/>
      <c r="AN56" s="409"/>
      <c r="AO56" s="423"/>
      <c r="AP56" s="254"/>
      <c r="AQ56" s="254"/>
      <c r="AR56" s="254"/>
      <c r="AS56" s="308"/>
      <c r="AT56" s="319"/>
      <c r="AU56" s="254"/>
      <c r="AV56" s="254"/>
      <c r="AW56" s="254"/>
      <c r="AX56" s="254"/>
      <c r="AY56" s="308"/>
      <c r="AZ56" s="319"/>
      <c r="BA56" s="254"/>
      <c r="BB56" s="254"/>
      <c r="BC56" s="254"/>
      <c r="BD56" s="254"/>
      <c r="BE56" s="254"/>
      <c r="BF56" s="254"/>
      <c r="BH56" s="254"/>
      <c r="BI56" s="254"/>
      <c r="BJ56" s="254"/>
      <c r="BK56" s="308"/>
      <c r="BL56" s="319"/>
      <c r="BM56" s="254"/>
      <c r="BN56" s="254"/>
      <c r="BO56" s="254"/>
      <c r="BP56" s="254"/>
      <c r="BQ56" s="308"/>
      <c r="BR56" s="319"/>
      <c r="BS56" s="254"/>
      <c r="BT56" s="254"/>
      <c r="BU56" s="254"/>
      <c r="BV56" s="254"/>
      <c r="BW56" s="254"/>
      <c r="CA56" s="254"/>
      <c r="CB56" s="254"/>
      <c r="CC56" s="254"/>
      <c r="CD56" s="308"/>
      <c r="CE56" s="319"/>
      <c r="CF56" s="254"/>
      <c r="CG56" s="254"/>
      <c r="CH56" s="254"/>
      <c r="CI56" s="254"/>
      <c r="CJ56" s="308"/>
      <c r="CK56" s="319"/>
      <c r="CL56" s="254"/>
      <c r="CM56" s="254"/>
      <c r="CN56" s="254"/>
      <c r="CO56" s="254"/>
      <c r="CP56" s="254"/>
      <c r="CQ56" s="254"/>
      <c r="CS56" s="281"/>
      <c r="CT56" s="281"/>
      <c r="CU56" s="281"/>
      <c r="CV56" s="313"/>
      <c r="CW56" s="329"/>
      <c r="CX56" s="281"/>
      <c r="CY56" s="281"/>
      <c r="CZ56" s="281"/>
      <c r="DA56" s="281"/>
      <c r="DB56" s="313"/>
      <c r="DC56" s="319"/>
      <c r="DD56" s="254"/>
      <c r="DE56" s="254"/>
      <c r="DF56" s="254"/>
      <c r="DG56" s="254"/>
      <c r="DH56" s="254"/>
    </row>
    <row r="57" spans="3:114" ht="15.75" thickBot="1" x14ac:dyDescent="0.3">
      <c r="C57" s="611" t="s">
        <v>418</v>
      </c>
      <c r="F57" s="319">
        <f t="shared" ref="F57:H57" si="11">F$56/23.5</f>
        <v>105.31914893617021</v>
      </c>
      <c r="G57" s="254">
        <f>G$56/12</f>
        <v>104.66666666666667</v>
      </c>
      <c r="H57" s="254">
        <f t="shared" si="11"/>
        <v>105.70212765957447</v>
      </c>
      <c r="I57" s="1341">
        <f>I$56/23.25</f>
        <v>102.45161290322581</v>
      </c>
      <c r="J57" s="319"/>
      <c r="K57" s="254"/>
      <c r="L57" s="254"/>
      <c r="M57" s="254"/>
      <c r="N57" s="1422"/>
      <c r="O57" s="1341"/>
      <c r="P57" s="319"/>
      <c r="Q57" s="254"/>
      <c r="R57" s="254"/>
      <c r="S57" s="1422"/>
      <c r="T57" s="1422"/>
      <c r="U57" s="1422"/>
      <c r="X57" s="319"/>
      <c r="Y57" s="254"/>
      <c r="Z57" s="254"/>
      <c r="AA57" s="308"/>
      <c r="AB57" s="319"/>
      <c r="AC57" s="254"/>
      <c r="AD57" s="254"/>
      <c r="AE57" s="254"/>
      <c r="AF57" s="254"/>
      <c r="AG57" s="308"/>
      <c r="AH57" s="605"/>
      <c r="AI57" s="409"/>
      <c r="AJ57" s="409"/>
      <c r="AK57" s="409"/>
      <c r="AL57" s="409"/>
      <c r="AM57" s="409"/>
      <c r="AN57" s="409"/>
      <c r="AO57" s="423"/>
      <c r="AP57" s="254"/>
      <c r="AQ57" s="254"/>
      <c r="AR57" s="254"/>
      <c r="AS57" s="308"/>
      <c r="AT57" s="319"/>
      <c r="AU57" s="254"/>
      <c r="AV57" s="254"/>
      <c r="AW57" s="254">
        <v>3558</v>
      </c>
      <c r="AX57" s="254">
        <v>3660</v>
      </c>
      <c r="AY57" s="308">
        <v>3714</v>
      </c>
      <c r="AZ57" s="319"/>
      <c r="BA57" s="254"/>
      <c r="BB57" s="254">
        <v>3882</v>
      </c>
      <c r="BC57" s="254">
        <v>3648</v>
      </c>
      <c r="BD57" s="254"/>
      <c r="BE57" s="254">
        <v>1846</v>
      </c>
      <c r="BF57" s="254"/>
      <c r="BH57" s="254"/>
      <c r="BI57" s="254"/>
      <c r="BJ57" s="254"/>
      <c r="BK57" s="308"/>
      <c r="BL57" s="319"/>
      <c r="BM57" s="254"/>
      <c r="BN57" s="254"/>
      <c r="BO57" s="254"/>
      <c r="BP57" s="254"/>
      <c r="BQ57" s="308"/>
      <c r="BR57" s="319"/>
      <c r="BS57" s="254"/>
      <c r="BT57" s="254"/>
      <c r="BU57" s="254"/>
      <c r="BV57" s="254"/>
      <c r="BW57" s="254"/>
      <c r="CA57" s="254">
        <v>399.5</v>
      </c>
      <c r="CB57" s="254"/>
      <c r="CC57" s="254"/>
      <c r="CD57" s="308"/>
      <c r="CE57" s="319"/>
      <c r="CF57" s="254"/>
      <c r="CG57" s="254"/>
      <c r="CH57" s="254"/>
      <c r="CI57" s="254"/>
      <c r="CJ57" s="308"/>
      <c r="CK57" s="319"/>
      <c r="CL57" s="254"/>
      <c r="CM57" s="254"/>
      <c r="CN57" s="254"/>
      <c r="CO57" s="254">
        <v>666.2</v>
      </c>
      <c r="CP57" s="254"/>
      <c r="CQ57" s="254"/>
      <c r="CS57" s="281">
        <v>115.15</v>
      </c>
      <c r="CT57" s="875">
        <v>116</v>
      </c>
      <c r="CU57" s="281"/>
      <c r="CV57" s="313"/>
      <c r="CW57" s="329"/>
      <c r="CX57" s="281"/>
      <c r="CY57" s="281"/>
      <c r="CZ57" s="281"/>
      <c r="DA57" s="281"/>
      <c r="DB57" s="313"/>
      <c r="DC57" s="319"/>
      <c r="DD57" s="254"/>
      <c r="DE57" s="254"/>
      <c r="DF57" s="254"/>
      <c r="DG57" s="254"/>
      <c r="DH57" s="254"/>
    </row>
    <row r="58" spans="3:114" ht="15.75" thickBot="1" x14ac:dyDescent="0.3">
      <c r="C58" s="652" t="s">
        <v>437</v>
      </c>
      <c r="D58" s="653"/>
      <c r="E58" s="653"/>
      <c r="F58" s="654">
        <f>(2606+1211+2899+1264)</f>
        <v>7980</v>
      </c>
      <c r="G58" s="655"/>
      <c r="H58" s="655"/>
      <c r="I58" s="1331"/>
      <c r="J58" s="688"/>
      <c r="K58" s="689">
        <v>4146</v>
      </c>
      <c r="L58" s="689">
        <v>4517</v>
      </c>
      <c r="M58" s="689">
        <v>4192</v>
      </c>
      <c r="N58" s="1413">
        <v>4164</v>
      </c>
      <c r="O58" s="1331">
        <v>4220</v>
      </c>
      <c r="P58" s="877"/>
      <c r="Q58" s="689">
        <v>4276</v>
      </c>
      <c r="R58" s="689">
        <v>4489</v>
      </c>
      <c r="S58" s="1413">
        <v>4290</v>
      </c>
      <c r="T58" s="1413">
        <v>2894</v>
      </c>
      <c r="U58" s="1413">
        <v>2402</v>
      </c>
      <c r="V58" s="691"/>
      <c r="X58" s="693">
        <v>18</v>
      </c>
      <c r="Y58" s="691">
        <v>11.58</v>
      </c>
      <c r="Z58" s="691">
        <v>33.155999999999999</v>
      </c>
      <c r="AA58" s="692">
        <v>0</v>
      </c>
      <c r="AB58" s="693">
        <v>30</v>
      </c>
      <c r="AC58" s="691">
        <v>30.696000000000002</v>
      </c>
      <c r="AD58" s="691">
        <v>26.31</v>
      </c>
      <c r="AE58" s="691">
        <v>14.36</v>
      </c>
      <c r="AF58" s="691">
        <v>0</v>
      </c>
      <c r="AG58" s="692">
        <v>0</v>
      </c>
      <c r="AH58" s="876"/>
      <c r="AI58" s="691">
        <v>27.08</v>
      </c>
      <c r="AJ58" s="691">
        <v>23.5</v>
      </c>
      <c r="AK58" s="691">
        <v>16.739999999999998</v>
      </c>
      <c r="AL58" s="691">
        <v>0</v>
      </c>
      <c r="AM58" s="691">
        <v>0</v>
      </c>
      <c r="AN58" s="691"/>
      <c r="AP58" s="689">
        <f>(3366+3855)</f>
        <v>7221</v>
      </c>
      <c r="AQ58" s="689">
        <v>3480</v>
      </c>
      <c r="AR58" s="689">
        <f>(3348+3480)</f>
        <v>6828</v>
      </c>
      <c r="AS58" s="690">
        <f>(3300+3516)</f>
        <v>6816</v>
      </c>
      <c r="AT58" s="789">
        <v>1076</v>
      </c>
      <c r="AU58" s="689">
        <v>3592</v>
      </c>
      <c r="AV58" s="689">
        <v>3984</v>
      </c>
      <c r="AW58" s="689">
        <v>3708</v>
      </c>
      <c r="AX58" s="689">
        <v>3758</v>
      </c>
      <c r="AY58" s="690">
        <v>3714</v>
      </c>
      <c r="AZ58" s="688">
        <v>3674</v>
      </c>
      <c r="BA58" s="689">
        <v>3654</v>
      </c>
      <c r="BB58" s="689">
        <v>3894</v>
      </c>
      <c r="BC58" s="689">
        <v>3676</v>
      </c>
      <c r="BD58" s="689">
        <v>2642</v>
      </c>
      <c r="BE58" s="689">
        <v>1846</v>
      </c>
      <c r="BF58" s="689"/>
      <c r="BH58" s="691">
        <v>106.5</v>
      </c>
      <c r="BI58" s="689">
        <v>86</v>
      </c>
      <c r="BJ58" s="689">
        <f>(328+112)</f>
        <v>440</v>
      </c>
      <c r="BK58" s="690">
        <v>254</v>
      </c>
      <c r="BL58" s="789">
        <v>202</v>
      </c>
      <c r="BM58" s="689">
        <v>160</v>
      </c>
      <c r="BN58" s="689">
        <v>230</v>
      </c>
      <c r="BO58" s="689">
        <v>192</v>
      </c>
      <c r="BP58" s="689">
        <v>164</v>
      </c>
      <c r="BQ58" s="690">
        <v>180</v>
      </c>
      <c r="BR58" s="688">
        <v>210</v>
      </c>
      <c r="BS58" s="689">
        <v>212</v>
      </c>
      <c r="BT58" s="689">
        <v>248</v>
      </c>
      <c r="BU58" s="689">
        <v>224</v>
      </c>
      <c r="BV58" s="689">
        <v>150</v>
      </c>
      <c r="BW58" s="689">
        <v>146</v>
      </c>
      <c r="BX58" s="691"/>
      <c r="BZ58" s="694"/>
      <c r="CA58" s="689">
        <v>504.4</v>
      </c>
      <c r="CB58" s="689">
        <v>228</v>
      </c>
      <c r="CC58" s="689">
        <f>(226.3+165.5)</f>
        <v>391.8</v>
      </c>
      <c r="CD58" s="690">
        <f>(212.1+226.6)</f>
        <v>438.7</v>
      </c>
      <c r="CE58" s="688">
        <v>294.60000000000002</v>
      </c>
      <c r="CF58" s="689">
        <v>307</v>
      </c>
      <c r="CG58" s="689">
        <v>314.7</v>
      </c>
      <c r="CH58" s="689">
        <v>302.89999999999998</v>
      </c>
      <c r="CI58" s="695">
        <v>333</v>
      </c>
      <c r="CJ58" s="774">
        <v>328.5</v>
      </c>
      <c r="CK58" s="688">
        <v>327.60000000000002</v>
      </c>
      <c r="CL58" s="689">
        <v>333.1</v>
      </c>
      <c r="CM58" s="689">
        <v>324.89999999999998</v>
      </c>
      <c r="CN58" s="689">
        <v>341.2</v>
      </c>
      <c r="CO58" s="689">
        <v>340</v>
      </c>
      <c r="CP58" s="689">
        <v>189.5</v>
      </c>
      <c r="CQ58" s="689"/>
      <c r="CR58" s="424" t="s">
        <v>185</v>
      </c>
      <c r="CS58" s="696">
        <v>115.15</v>
      </c>
      <c r="CT58" s="697">
        <v>361.2</v>
      </c>
      <c r="CU58" s="697">
        <v>690</v>
      </c>
      <c r="CV58" s="765">
        <f>(17.1+19.9)</f>
        <v>37</v>
      </c>
      <c r="CW58" s="817">
        <v>294</v>
      </c>
      <c r="CX58" s="697">
        <f>892</f>
        <v>892</v>
      </c>
      <c r="CY58" s="829">
        <v>871.9</v>
      </c>
      <c r="CZ58" s="697">
        <v>754.8</v>
      </c>
      <c r="DA58" s="1508">
        <v>448.6</v>
      </c>
      <c r="DB58" s="1509">
        <v>1.9</v>
      </c>
      <c r="DC58" s="874">
        <v>601</v>
      </c>
      <c r="DD58" s="829">
        <v>1061.9000000000001</v>
      </c>
      <c r="DE58" s="697">
        <v>1134.5</v>
      </c>
      <c r="DF58" s="691">
        <v>818.9</v>
      </c>
      <c r="DG58" s="691">
        <v>242.4</v>
      </c>
      <c r="DH58" s="691">
        <v>488.7</v>
      </c>
      <c r="DI58" s="691"/>
    </row>
    <row r="59" spans="3:114" ht="15.75" thickBot="1" x14ac:dyDescent="0.3">
      <c r="C59" s="307" t="s">
        <v>422</v>
      </c>
      <c r="D59" s="302"/>
      <c r="E59" s="302"/>
      <c r="F59" s="323">
        <f t="shared" ref="F59:I59" si="12">F$55+F$57</f>
        <v>339.57446808510639</v>
      </c>
      <c r="G59" s="264">
        <f t="shared" si="12"/>
        <v>328.5</v>
      </c>
      <c r="H59" s="366">
        <f t="shared" si="12"/>
        <v>322.91046099290782</v>
      </c>
      <c r="I59" s="1324">
        <f t="shared" si="12"/>
        <v>323.13978494623655</v>
      </c>
      <c r="J59" s="790">
        <f>159.36*1.01</f>
        <v>160.95360000000002</v>
      </c>
      <c r="K59" s="366">
        <f>K$58/23</f>
        <v>180.2608695652174</v>
      </c>
      <c r="L59" s="264">
        <f>L$58/23</f>
        <v>196.39130434782609</v>
      </c>
      <c r="M59" s="264">
        <f>M$58/23</f>
        <v>182.2608695652174</v>
      </c>
      <c r="N59" s="1423">
        <f>N$58/23</f>
        <v>181.04347826086956</v>
      </c>
      <c r="O59" s="1342">
        <f>O$58/23</f>
        <v>183.47826086956522</v>
      </c>
      <c r="P59" s="790">
        <v>185</v>
      </c>
      <c r="Q59" s="264">
        <f>Q$58/23</f>
        <v>185.91304347826087</v>
      </c>
      <c r="R59" s="264">
        <f>R$58/23</f>
        <v>195.17391304347825</v>
      </c>
      <c r="S59" s="1423">
        <f>S$58/23</f>
        <v>186.52173913043478</v>
      </c>
      <c r="T59" s="1423">
        <f>T$58/16</f>
        <v>180.875</v>
      </c>
      <c r="U59" s="1423">
        <f>U$58/13</f>
        <v>184.76923076923077</v>
      </c>
      <c r="V59" s="265"/>
      <c r="W59" s="447"/>
      <c r="X59" s="325">
        <f>X$58/23.5</f>
        <v>0.76595744680851063</v>
      </c>
      <c r="Y59" s="265">
        <f>Y58/12</f>
        <v>0.96499999999999997</v>
      </c>
      <c r="Z59" s="265">
        <f>Z58/24</f>
        <v>1.3815</v>
      </c>
      <c r="AA59" s="237"/>
      <c r="AB59" s="325">
        <f>AB58/24</f>
        <v>1.25</v>
      </c>
      <c r="AC59" s="265">
        <f>AC58/24</f>
        <v>1.2790000000000001</v>
      </c>
      <c r="AD59" s="265">
        <f>AD58/24</f>
        <v>1.0962499999999999</v>
      </c>
      <c r="AE59" s="265">
        <f>AE58/24</f>
        <v>0.59833333333333327</v>
      </c>
      <c r="AF59" s="265"/>
      <c r="AG59" s="237"/>
      <c r="AH59" s="325"/>
      <c r="AI59" s="265">
        <f>AI58/24</f>
        <v>1.1283333333333332</v>
      </c>
      <c r="AJ59" s="265">
        <f>AJ58/24</f>
        <v>0.97916666666666663</v>
      </c>
      <c r="AK59" s="265">
        <f>AK58/24</f>
        <v>0.6974999999999999</v>
      </c>
      <c r="AL59" s="265"/>
      <c r="AM59" s="265"/>
      <c r="AN59" s="265"/>
      <c r="AO59" s="425"/>
      <c r="AP59" s="763">
        <f>AP$58/23.5</f>
        <v>307.27659574468083</v>
      </c>
      <c r="AQ59" s="763">
        <f>AQ$58/12</f>
        <v>290</v>
      </c>
      <c r="AR59" s="763">
        <f>AR$58/24</f>
        <v>284.5</v>
      </c>
      <c r="AS59" s="764">
        <f>AS$58/24</f>
        <v>284</v>
      </c>
      <c r="AT59" s="331">
        <f>AT58/8</f>
        <v>134.5</v>
      </c>
      <c r="AU59" s="266">
        <f t="shared" ref="AU59:BA59" si="13">AU$58/24</f>
        <v>149.66666666666666</v>
      </c>
      <c r="AV59" s="266">
        <f t="shared" si="13"/>
        <v>166</v>
      </c>
      <c r="AW59" s="266">
        <f t="shared" si="13"/>
        <v>154.5</v>
      </c>
      <c r="AX59" s="266">
        <f t="shared" si="13"/>
        <v>156.58333333333334</v>
      </c>
      <c r="AY59" s="315">
        <f t="shared" si="13"/>
        <v>154.75</v>
      </c>
      <c r="AZ59" s="331">
        <f t="shared" si="13"/>
        <v>153.08333333333334</v>
      </c>
      <c r="BA59" s="266">
        <f t="shared" si="13"/>
        <v>152.25</v>
      </c>
      <c r="BB59" s="266">
        <f>BB$58/24</f>
        <v>162.25</v>
      </c>
      <c r="BC59" s="266">
        <f>BC$58/24</f>
        <v>153.16666666666666</v>
      </c>
      <c r="BD59" s="266">
        <f>BD$58/17</f>
        <v>155.41176470588235</v>
      </c>
      <c r="BE59" s="266">
        <f>BE$58/14</f>
        <v>131.85714285714286</v>
      </c>
      <c r="BF59" s="266">
        <f t="shared" ref="BF59" si="14">BF$58/23.5</f>
        <v>0</v>
      </c>
      <c r="BG59" s="421"/>
      <c r="BH59" s="264">
        <f>BH$58/23.5</f>
        <v>4.5319148936170217</v>
      </c>
      <c r="BI59" s="264">
        <f>BI$58/12</f>
        <v>7.166666666666667</v>
      </c>
      <c r="BJ59" s="264">
        <f>BJ$58/24</f>
        <v>18.333333333333332</v>
      </c>
      <c r="BK59" s="311">
        <f>BK$58/24</f>
        <v>10.583333333333334</v>
      </c>
      <c r="BL59" s="323">
        <f>BL$58/8</f>
        <v>25.25</v>
      </c>
      <c r="BM59" s="264">
        <f t="shared" ref="BM59:BQ59" si="15">BM$58/24</f>
        <v>6.666666666666667</v>
      </c>
      <c r="BN59" s="264">
        <f t="shared" si="15"/>
        <v>9.5833333333333339</v>
      </c>
      <c r="BO59" s="264">
        <f t="shared" si="15"/>
        <v>8</v>
      </c>
      <c r="BP59" s="264">
        <f t="shared" si="15"/>
        <v>6.833333333333333</v>
      </c>
      <c r="BQ59" s="311">
        <f t="shared" si="15"/>
        <v>7.5</v>
      </c>
      <c r="BR59" s="323">
        <f>BR$58/24</f>
        <v>8.75</v>
      </c>
      <c r="BS59" s="264">
        <f>BS$58/24</f>
        <v>8.8333333333333339</v>
      </c>
      <c r="BT59" s="264">
        <f>BT$58/24</f>
        <v>10.333333333333334</v>
      </c>
      <c r="BU59" s="264">
        <f>BU$58/24</f>
        <v>9.3333333333333339</v>
      </c>
      <c r="BV59" s="264">
        <f>BV$58/(21-4)</f>
        <v>8.8235294117647065</v>
      </c>
      <c r="BW59" s="264">
        <f>BW$58/12</f>
        <v>12.166666666666666</v>
      </c>
      <c r="BX59" s="264">
        <f t="shared" ref="BX59" si="16">BX$58/23.5</f>
        <v>0</v>
      </c>
      <c r="BY59" s="421"/>
      <c r="BZ59" s="426"/>
      <c r="CA59" s="266">
        <f>CA$58/23.5</f>
        <v>21.46382978723404</v>
      </c>
      <c r="CB59" s="266">
        <f>CB$58/12</f>
        <v>19</v>
      </c>
      <c r="CC59" s="266">
        <f>CC$58/24</f>
        <v>16.324999999999999</v>
      </c>
      <c r="CD59" s="315">
        <f>CD$58/23.25</f>
        <v>18.868817204301074</v>
      </c>
      <c r="CE59" s="811">
        <f>CE$58/18</f>
        <v>16.366666666666667</v>
      </c>
      <c r="CF59" s="266">
        <f t="shared" ref="CF59:CK59" si="17">CF$58/24</f>
        <v>12.791666666666666</v>
      </c>
      <c r="CG59" s="266">
        <f t="shared" si="17"/>
        <v>13.112499999999999</v>
      </c>
      <c r="CH59" s="266">
        <f t="shared" si="17"/>
        <v>12.620833333333332</v>
      </c>
      <c r="CI59" s="266">
        <f t="shared" si="17"/>
        <v>13.875</v>
      </c>
      <c r="CJ59" s="315">
        <f t="shared" si="17"/>
        <v>13.6875</v>
      </c>
      <c r="CK59" s="331">
        <f t="shared" si="17"/>
        <v>13.65</v>
      </c>
      <c r="CL59" s="266">
        <f>CL$58/24</f>
        <v>13.879166666666668</v>
      </c>
      <c r="CM59" s="266">
        <f>CM$58/24</f>
        <v>13.5375</v>
      </c>
      <c r="CN59" s="266">
        <f>CN$58/24</f>
        <v>14.216666666666667</v>
      </c>
      <c r="CO59" s="266">
        <f>CO$58/24</f>
        <v>14.166666666666666</v>
      </c>
      <c r="CP59" s="266">
        <f>CP$58/14</f>
        <v>13.535714285714286</v>
      </c>
      <c r="CQ59" s="266"/>
      <c r="CR59" s="427" t="s">
        <v>207</v>
      </c>
      <c r="CS59" s="266">
        <f>CS$58/23.5</f>
        <v>4.9000000000000004</v>
      </c>
      <c r="CT59" s="266">
        <f>CT$58/20</f>
        <v>18.059999999999999</v>
      </c>
      <c r="CU59" s="266">
        <f>CU$58/24</f>
        <v>28.75</v>
      </c>
      <c r="CV59" s="315">
        <f>CV$58/23.25</f>
        <v>1.5913978494623655</v>
      </c>
      <c r="CW59" s="811">
        <f>CW$58/8</f>
        <v>36.75</v>
      </c>
      <c r="CX59" s="266">
        <f t="shared" ref="CX59:DD59" si="18">CX$58/24</f>
        <v>37.166666666666664</v>
      </c>
      <c r="CY59" s="266">
        <f t="shared" si="18"/>
        <v>36.329166666666666</v>
      </c>
      <c r="CZ59" s="266">
        <f t="shared" si="18"/>
        <v>31.45</v>
      </c>
      <c r="DA59" s="266">
        <f t="shared" si="18"/>
        <v>18.691666666666666</v>
      </c>
      <c r="DB59" s="315">
        <f t="shared" si="18"/>
        <v>7.9166666666666663E-2</v>
      </c>
      <c r="DC59" s="331">
        <f t="shared" si="18"/>
        <v>25.041666666666668</v>
      </c>
      <c r="DD59" s="266">
        <f t="shared" si="18"/>
        <v>44.245833333333337</v>
      </c>
      <c r="DE59" s="266">
        <f>DE$58/24</f>
        <v>47.270833333333336</v>
      </c>
      <c r="DF59" s="266">
        <f>DF$58/24</f>
        <v>34.12083333333333</v>
      </c>
      <c r="DG59" s="266">
        <f>DG$58/17</f>
        <v>14.258823529411766</v>
      </c>
      <c r="DH59" s="266">
        <f>DH$58/14</f>
        <v>34.907142857142858</v>
      </c>
    </row>
    <row r="60" spans="3:114" x14ac:dyDescent="0.25">
      <c r="C60" s="1" t="s">
        <v>368</v>
      </c>
      <c r="F60" s="323"/>
      <c r="G60" s="264"/>
      <c r="H60" s="264"/>
      <c r="I60" s="1342"/>
      <c r="J60" s="323"/>
      <c r="K60" s="264"/>
      <c r="L60" s="264"/>
      <c r="M60" s="264"/>
      <c r="N60" s="1423"/>
      <c r="O60" s="1342"/>
      <c r="P60" s="323"/>
      <c r="Q60" s="264"/>
      <c r="R60" s="264"/>
      <c r="S60" s="1423"/>
      <c r="T60" s="1423"/>
      <c r="U60" s="1423"/>
      <c r="V60" s="265"/>
      <c r="W60" s="447"/>
      <c r="X60" s="325"/>
      <c r="Y60" s="265"/>
      <c r="Z60" s="265"/>
      <c r="AA60" s="237"/>
      <c r="AB60" s="325"/>
      <c r="AC60" s="265"/>
      <c r="AD60" s="265"/>
      <c r="AE60" s="265"/>
      <c r="AF60" s="265"/>
      <c r="AG60" s="237"/>
      <c r="AH60" s="325"/>
      <c r="AI60" s="265"/>
      <c r="AJ60" s="265"/>
      <c r="AK60" s="265"/>
      <c r="AL60" s="265"/>
      <c r="AM60" s="265"/>
      <c r="AN60" s="265"/>
      <c r="AO60" s="425"/>
      <c r="AP60" s="266"/>
      <c r="AQ60" s="266"/>
      <c r="AR60" s="266"/>
      <c r="AS60" s="315"/>
      <c r="AT60" s="331"/>
      <c r="AU60" s="266"/>
      <c r="AV60" s="266"/>
      <c r="AW60" s="267"/>
      <c r="AX60" s="267"/>
      <c r="AY60" s="753"/>
      <c r="AZ60" s="756"/>
      <c r="BA60" s="267"/>
      <c r="BB60" s="267"/>
      <c r="BC60" s="267"/>
      <c r="BD60" s="267"/>
      <c r="BE60" s="267"/>
      <c r="BF60" s="267"/>
      <c r="BG60" s="421"/>
      <c r="BH60" s="415"/>
      <c r="BI60" s="264"/>
      <c r="BJ60" s="264"/>
      <c r="BK60" s="311"/>
      <c r="BL60" s="323"/>
      <c r="BM60" s="264"/>
      <c r="BN60" s="264"/>
      <c r="BO60" s="264"/>
      <c r="BP60" s="264"/>
      <c r="BQ60" s="311"/>
      <c r="BR60" s="323"/>
      <c r="BS60" s="264"/>
      <c r="BT60" s="264"/>
      <c r="BU60" s="264"/>
      <c r="BV60" s="264"/>
      <c r="BW60" s="264"/>
      <c r="BX60" s="251"/>
      <c r="BY60" s="421"/>
      <c r="BZ60" s="426"/>
      <c r="CA60" s="266"/>
      <c r="CB60" s="266"/>
      <c r="CC60" s="266"/>
      <c r="CD60" s="315"/>
      <c r="CE60" s="331"/>
      <c r="CF60" s="266"/>
      <c r="CG60" s="266"/>
      <c r="CH60" s="266"/>
      <c r="CI60" s="266"/>
      <c r="CJ60" s="315"/>
      <c r="CK60" s="331"/>
      <c r="CL60" s="266"/>
      <c r="CM60" s="266"/>
      <c r="CN60" s="266"/>
      <c r="CO60" s="266"/>
      <c r="CP60" s="266"/>
      <c r="CQ60" s="266"/>
      <c r="CR60" s="427"/>
      <c r="CS60" s="266"/>
      <c r="CT60" s="266"/>
      <c r="CU60" s="266"/>
      <c r="CV60" s="315"/>
      <c r="CW60" s="331"/>
      <c r="CX60" s="266"/>
      <c r="CY60" s="266"/>
      <c r="CZ60" s="266"/>
      <c r="DA60" s="257"/>
      <c r="DB60" s="750"/>
      <c r="DC60" s="751"/>
      <c r="DD60" s="257"/>
      <c r="DE60" s="257"/>
      <c r="DF60" s="251"/>
      <c r="DG60" s="251"/>
      <c r="DH60" s="251"/>
    </row>
    <row r="61" spans="3:114" x14ac:dyDescent="0.25">
      <c r="C61" s="1" t="s">
        <v>630</v>
      </c>
      <c r="F61" s="264">
        <f>BH$59*100/(BH$59+AP$59)</f>
        <v>1.453428863868987</v>
      </c>
      <c r="G61" s="264">
        <f t="shared" ref="G61:U61" si="19">BI$59*100/(BI$59+AQ$59)</f>
        <v>2.4116657319125072</v>
      </c>
      <c r="H61" s="264">
        <f t="shared" si="19"/>
        <v>6.0539350577875624</v>
      </c>
      <c r="I61" s="1343">
        <f t="shared" si="19"/>
        <v>3.5926449787835932</v>
      </c>
      <c r="J61" s="1013">
        <f t="shared" si="19"/>
        <v>15.805946791862285</v>
      </c>
      <c r="K61" s="264">
        <f t="shared" si="19"/>
        <v>4.2643923240938175</v>
      </c>
      <c r="L61" s="264">
        <f t="shared" si="19"/>
        <v>5.4579971523493116</v>
      </c>
      <c r="M61" s="264">
        <f t="shared" si="19"/>
        <v>4.9230769230769234</v>
      </c>
      <c r="N61" s="1423">
        <f t="shared" si="19"/>
        <v>4.1815400305966337</v>
      </c>
      <c r="O61" s="1343">
        <f t="shared" si="19"/>
        <v>4.6224961479198772</v>
      </c>
      <c r="P61" s="1013">
        <f t="shared" si="19"/>
        <v>5.4067971163748707</v>
      </c>
      <c r="Q61" s="264">
        <f t="shared" si="19"/>
        <v>5.4837040869115361</v>
      </c>
      <c r="R61" s="264">
        <f t="shared" si="19"/>
        <v>5.9874456784162247</v>
      </c>
      <c r="S61" s="1423">
        <f t="shared" si="19"/>
        <v>5.7435897435897436</v>
      </c>
      <c r="T61" s="1423">
        <f t="shared" si="19"/>
        <v>5.3724928366762184</v>
      </c>
      <c r="U61" s="1423">
        <f t="shared" si="19"/>
        <v>8.4476773020333926</v>
      </c>
      <c r="V61" s="265"/>
      <c r="W61" s="447"/>
      <c r="X61" s="325"/>
      <c r="Y61" s="265"/>
      <c r="Z61" s="265"/>
      <c r="AA61" s="237"/>
      <c r="AB61" s="325"/>
      <c r="AC61" s="265"/>
      <c r="AD61" s="265"/>
      <c r="AE61" s="265"/>
      <c r="AF61" s="265"/>
      <c r="AG61" s="237"/>
      <c r="AH61" s="325"/>
      <c r="AI61" s="265"/>
      <c r="AJ61" s="265"/>
      <c r="AK61" s="265"/>
      <c r="AL61" s="265"/>
      <c r="AM61" s="265"/>
      <c r="AN61" s="265"/>
      <c r="AO61" s="425"/>
      <c r="AP61" s="266"/>
      <c r="AQ61" s="266"/>
      <c r="AR61" s="266"/>
      <c r="AS61" s="315"/>
      <c r="AT61" s="331"/>
      <c r="AU61" s="266"/>
      <c r="AV61" s="266"/>
      <c r="AW61" s="267"/>
      <c r="AX61" s="267"/>
      <c r="AY61" s="753"/>
      <c r="AZ61" s="756"/>
      <c r="BA61" s="267"/>
      <c r="BB61" s="267"/>
      <c r="BC61" s="267"/>
      <c r="BD61" s="267"/>
      <c r="BE61" s="267"/>
      <c r="BF61" s="267"/>
      <c r="BG61" s="421"/>
      <c r="BH61" s="415"/>
      <c r="BI61" s="264"/>
      <c r="BJ61" s="264"/>
      <c r="BK61" s="311"/>
      <c r="BL61" s="323"/>
      <c r="BM61" s="264"/>
      <c r="BN61" s="264"/>
      <c r="BO61" s="264"/>
      <c r="BP61" s="264"/>
      <c r="BQ61" s="311"/>
      <c r="BR61" s="323"/>
      <c r="BS61" s="1012"/>
      <c r="BT61" s="264"/>
      <c r="BU61" s="264"/>
      <c r="BV61" s="264"/>
      <c r="BW61" s="264"/>
      <c r="BX61" s="251"/>
      <c r="BY61" s="421"/>
      <c r="BZ61" s="426"/>
      <c r="CA61" s="266"/>
      <c r="CB61" s="266"/>
      <c r="CC61" s="266"/>
      <c r="CD61" s="315"/>
      <c r="CE61" s="331"/>
      <c r="CF61" s="266"/>
      <c r="CG61" s="266"/>
      <c r="CH61" s="266"/>
      <c r="CI61" s="266"/>
      <c r="CJ61" s="315"/>
      <c r="CK61" s="331"/>
      <c r="CL61" s="266"/>
      <c r="CM61" s="266"/>
      <c r="CN61" s="266"/>
      <c r="CO61" s="266"/>
      <c r="CP61" s="266"/>
      <c r="CQ61" s="266"/>
      <c r="CR61" s="427"/>
      <c r="CS61" s="266"/>
      <c r="CT61" s="266"/>
      <c r="CU61" s="266"/>
      <c r="CV61" s="315"/>
      <c r="CW61" s="331"/>
      <c r="CX61" s="266"/>
      <c r="CY61" s="266"/>
      <c r="CZ61" s="266"/>
      <c r="DA61" s="257"/>
      <c r="DB61" s="750"/>
      <c r="DC61" s="751"/>
      <c r="DD61" s="257"/>
      <c r="DE61" s="257"/>
      <c r="DF61" s="251"/>
      <c r="DG61" s="251"/>
      <c r="DH61" s="251"/>
    </row>
    <row r="62" spans="3:114" x14ac:dyDescent="0.25">
      <c r="C62" s="1" t="s">
        <v>369</v>
      </c>
      <c r="F62" s="337">
        <v>1.0489999999999999</v>
      </c>
      <c r="G62" s="264">
        <v>1.0489999999999999</v>
      </c>
      <c r="H62" s="264">
        <v>1.0489999999999999</v>
      </c>
      <c r="I62" s="1342">
        <v>1.0489999999999999</v>
      </c>
      <c r="J62" s="323">
        <f>'HPS DAILY'!$H$12</f>
        <v>1.0649999999999999</v>
      </c>
      <c r="K62" s="264">
        <f>'HPS DAILY'!$H$12</f>
        <v>1.0649999999999999</v>
      </c>
      <c r="L62" s="264">
        <f>'HPS DAILY'!$H$12</f>
        <v>1.0649999999999999</v>
      </c>
      <c r="M62" s="264">
        <f>'HPS DAILY'!$H$12</f>
        <v>1.0649999999999999</v>
      </c>
      <c r="N62" s="1423">
        <f>'HPS DAILY'!$H$12</f>
        <v>1.0649999999999999</v>
      </c>
      <c r="O62" s="1342">
        <f>'HPS DAILY'!$H$12</f>
        <v>1.0649999999999999</v>
      </c>
      <c r="P62" s="323">
        <f>1.061</f>
        <v>1.0609999999999999</v>
      </c>
      <c r="Q62" s="264">
        <f>1.061</f>
        <v>1.0609999999999999</v>
      </c>
      <c r="R62" s="264">
        <f t="shared" ref="R62:U62" si="20">1.061</f>
        <v>1.0609999999999999</v>
      </c>
      <c r="S62" s="1423">
        <f t="shared" si="20"/>
        <v>1.0609999999999999</v>
      </c>
      <c r="T62" s="1423">
        <f t="shared" si="20"/>
        <v>1.0609999999999999</v>
      </c>
      <c r="U62" s="1423">
        <f t="shared" si="20"/>
        <v>1.0609999999999999</v>
      </c>
      <c r="V62" s="265"/>
      <c r="W62" s="447"/>
      <c r="X62" s="325"/>
      <c r="Y62" s="265"/>
      <c r="Z62" s="265"/>
      <c r="AA62" s="237"/>
      <c r="AB62" s="325"/>
      <c r="AC62" s="265"/>
      <c r="AD62" s="265"/>
      <c r="AE62" s="265"/>
      <c r="AF62" s="265"/>
      <c r="AG62" s="237"/>
      <c r="AH62" s="325"/>
      <c r="AI62" s="265"/>
      <c r="AJ62" s="265"/>
      <c r="AK62" s="265"/>
      <c r="AL62" s="265"/>
      <c r="AM62" s="265"/>
      <c r="AN62" s="265"/>
      <c r="AO62" s="425"/>
      <c r="AP62" s="266"/>
      <c r="AQ62" s="266"/>
      <c r="AR62" s="266"/>
      <c r="AS62" s="315"/>
      <c r="AT62" s="331"/>
      <c r="AU62" s="266">
        <f>AVERAGE(AU59:AY59)</f>
        <v>156.30000000000001</v>
      </c>
      <c r="AV62" s="266"/>
      <c r="AW62" s="267"/>
      <c r="AX62" s="267"/>
      <c r="AY62" s="753"/>
      <c r="AZ62" s="756"/>
      <c r="BA62" s="266">
        <f>AVERAGE(AZ59:BD59)</f>
        <v>155.23235294117646</v>
      </c>
      <c r="BB62" s="267"/>
      <c r="BC62" s="267"/>
      <c r="BD62" s="267"/>
      <c r="BE62" s="267"/>
      <c r="BF62" s="267"/>
      <c r="BG62" s="421"/>
      <c r="BH62" s="415"/>
      <c r="BI62" s="264"/>
      <c r="BJ62" s="264"/>
      <c r="BK62" s="311"/>
      <c r="BL62" s="323"/>
      <c r="BM62" s="264">
        <f>AVERAGE(BM59:BQ59)</f>
        <v>7.7166666666666659</v>
      </c>
      <c r="BN62" s="832"/>
      <c r="BO62" s="264"/>
      <c r="BP62" s="264"/>
      <c r="BQ62" s="311"/>
      <c r="BS62" s="323">
        <f>AVERAGE(BR59:BV59)</f>
        <v>9.2147058823529413</v>
      </c>
      <c r="BT62" s="264"/>
      <c r="BU62" s="264"/>
      <c r="BV62" s="264"/>
      <c r="BW62" s="264"/>
      <c r="BX62" s="251"/>
      <c r="BY62" s="421"/>
      <c r="BZ62" s="426"/>
      <c r="CA62" s="266"/>
      <c r="CB62" s="266"/>
      <c r="CC62" s="266"/>
      <c r="CD62" s="315"/>
      <c r="CE62" s="331"/>
      <c r="CF62" s="266"/>
      <c r="CG62" s="266"/>
      <c r="CH62" s="266"/>
      <c r="CI62" s="266"/>
      <c r="CJ62" s="315"/>
      <c r="CK62" s="331"/>
      <c r="CL62" s="266"/>
      <c r="CM62" s="266"/>
      <c r="CN62" s="266"/>
      <c r="CO62" s="266"/>
      <c r="CP62" s="266"/>
      <c r="CQ62" s="266"/>
      <c r="CR62" s="427"/>
      <c r="CS62" s="266"/>
      <c r="CT62" s="266"/>
      <c r="CU62" s="266"/>
      <c r="CV62" s="315"/>
      <c r="CW62" s="331"/>
      <c r="CX62" s="266"/>
      <c r="CY62" s="266"/>
      <c r="CZ62" s="266"/>
      <c r="DA62" s="257"/>
      <c r="DB62" s="750"/>
      <c r="DC62" s="751"/>
      <c r="DD62" s="257"/>
      <c r="DE62" s="257"/>
      <c r="DF62" s="251"/>
      <c r="DG62" s="251"/>
      <c r="DH62" s="251"/>
    </row>
    <row r="63" spans="3:114" s="182" customFormat="1" x14ac:dyDescent="0.25">
      <c r="C63" s="164" t="s">
        <v>325</v>
      </c>
      <c r="D63" s="164"/>
      <c r="E63" s="164"/>
      <c r="F63" s="324">
        <f>F$59/F$62</f>
        <v>323.71255298866197</v>
      </c>
      <c r="G63" s="268">
        <f t="shared" ref="G63:U63" si="21">G$59/G$62</f>
        <v>313.15538608198284</v>
      </c>
      <c r="H63" s="698">
        <f t="shared" si="21"/>
        <v>307.82694088933061</v>
      </c>
      <c r="I63" s="1344">
        <f t="shared" si="21"/>
        <v>308.0455528562789</v>
      </c>
      <c r="J63" s="324">
        <f t="shared" si="21"/>
        <v>151.13014084507046</v>
      </c>
      <c r="K63" s="698">
        <f t="shared" si="21"/>
        <v>169.2590324556032</v>
      </c>
      <c r="L63" s="268">
        <f t="shared" si="21"/>
        <v>184.40498060828742</v>
      </c>
      <c r="M63" s="268">
        <f t="shared" si="21"/>
        <v>171.13696672790368</v>
      </c>
      <c r="N63" s="1424">
        <f t="shared" si="21"/>
        <v>169.99387630128598</v>
      </c>
      <c r="O63" s="1425">
        <f>O$59/O$62</f>
        <v>172.28005715452133</v>
      </c>
      <c r="P63" s="699">
        <f>P$59/P$62</f>
        <v>174.36380772855799</v>
      </c>
      <c r="Q63" s="698">
        <f t="shared" si="21"/>
        <v>175.22435766094335</v>
      </c>
      <c r="R63" s="698">
        <f t="shared" si="21"/>
        <v>183.95279268942343</v>
      </c>
      <c r="S63" s="1424">
        <f t="shared" si="21"/>
        <v>175.79805761586692</v>
      </c>
      <c r="T63" s="1468">
        <f t="shared" si="21"/>
        <v>170.47596606974554</v>
      </c>
      <c r="U63" s="1468">
        <f t="shared" si="21"/>
        <v>174.14630609729574</v>
      </c>
      <c r="V63" s="269"/>
      <c r="W63" s="448"/>
      <c r="X63" s="342"/>
      <c r="Y63" s="269"/>
      <c r="Z63" s="269"/>
      <c r="AA63" s="340"/>
      <c r="AB63" s="342"/>
      <c r="AC63" s="269"/>
      <c r="AD63" s="269"/>
      <c r="AE63" s="269"/>
      <c r="AF63" s="269"/>
      <c r="AG63" s="340"/>
      <c r="AH63" s="342"/>
      <c r="AI63" s="269"/>
      <c r="AJ63" s="269"/>
      <c r="AK63" s="269"/>
      <c r="AL63" s="269"/>
      <c r="AM63" s="269"/>
      <c r="AN63" s="269"/>
      <c r="AO63" s="428"/>
      <c r="AP63" s="270"/>
      <c r="AQ63" s="271"/>
      <c r="AR63" s="271"/>
      <c r="AS63" s="345"/>
      <c r="AT63" s="347"/>
      <c r="AU63" s="271"/>
      <c r="AV63" s="271"/>
      <c r="AW63" s="272"/>
      <c r="AX63" s="272"/>
      <c r="AY63" s="754"/>
      <c r="AZ63" s="757"/>
      <c r="BA63" s="272"/>
      <c r="BB63" s="272"/>
      <c r="BC63" s="272"/>
      <c r="BD63" s="272"/>
      <c r="BE63" s="272"/>
      <c r="BF63" s="272"/>
      <c r="BG63" s="428"/>
      <c r="BH63" s="416"/>
      <c r="BI63" s="273"/>
      <c r="BJ63" s="274"/>
      <c r="BK63" s="792"/>
      <c r="BL63" s="797"/>
      <c r="BM63" s="962">
        <f>100*BM62/(BM62+AU62)</f>
        <v>4.7048064221115737</v>
      </c>
      <c r="BN63" s="963" t="s">
        <v>594</v>
      </c>
      <c r="BO63" s="275"/>
      <c r="BP63" s="275"/>
      <c r="BQ63" s="801"/>
      <c r="BR63" s="803"/>
      <c r="BS63" s="268">
        <f>100*BS62/(BS62+BA62)</f>
        <v>5.6034482758620694</v>
      </c>
      <c r="BT63" s="268" t="s">
        <v>595</v>
      </c>
      <c r="BU63" s="275"/>
      <c r="BV63" s="275"/>
      <c r="BW63" s="275"/>
      <c r="BX63" s="239"/>
      <c r="BY63" s="429"/>
      <c r="BZ63" s="430"/>
      <c r="CA63" s="270"/>
      <c r="CB63" s="270"/>
      <c r="CC63" s="270"/>
      <c r="CD63" s="768"/>
      <c r="CE63" s="772"/>
      <c r="CF63" s="270"/>
      <c r="CG63" s="270"/>
      <c r="CH63" s="270"/>
      <c r="CI63" s="270"/>
      <c r="CJ63" s="768"/>
      <c r="CK63" s="772"/>
      <c r="CL63" s="270"/>
      <c r="CM63" s="270"/>
      <c r="CN63" s="270"/>
      <c r="CO63" s="270"/>
      <c r="CP63" s="270"/>
      <c r="CQ63" s="270"/>
      <c r="CR63" s="431"/>
      <c r="CS63" s="258"/>
      <c r="CT63" s="258"/>
      <c r="CU63" s="258"/>
      <c r="CV63" s="723"/>
      <c r="CW63" s="737"/>
      <c r="CX63" s="258"/>
      <c r="CY63" s="258"/>
      <c r="CZ63" s="258"/>
      <c r="DA63" s="258"/>
      <c r="DB63" s="723"/>
      <c r="DC63" s="737"/>
      <c r="DD63" s="258"/>
      <c r="DE63" s="258"/>
      <c r="DF63" s="239"/>
      <c r="DG63" s="239"/>
      <c r="DH63" s="239"/>
      <c r="DI63" s="239"/>
    </row>
    <row r="64" spans="3:114" s="182" customFormat="1" x14ac:dyDescent="0.25">
      <c r="C64" s="164" t="s">
        <v>428</v>
      </c>
      <c r="D64" s="164"/>
      <c r="E64" s="164"/>
      <c r="F64" s="331">
        <f>F$63/(3*186)</f>
        <v>0.580130023277172</v>
      </c>
      <c r="G64" s="266">
        <f>G$63/(3*186)</f>
        <v>0.56121036932254986</v>
      </c>
      <c r="H64" s="266">
        <f t="shared" ref="H64:U64" si="22">H$63/(3*186)</f>
        <v>0.55166118438948142</v>
      </c>
      <c r="I64" s="1345">
        <f t="shared" si="22"/>
        <v>0.55205296210802668</v>
      </c>
      <c r="J64" s="331">
        <f t="shared" si="22"/>
        <v>0.27084254631733057</v>
      </c>
      <c r="K64" s="266">
        <f t="shared" si="22"/>
        <v>0.30333159938280146</v>
      </c>
      <c r="L64" s="1426">
        <f t="shared" si="22"/>
        <v>0.33047487564209216</v>
      </c>
      <c r="M64" s="266">
        <f t="shared" si="22"/>
        <v>0.30669707298907473</v>
      </c>
      <c r="N64" s="1426">
        <f t="shared" si="22"/>
        <v>0.30464852383743007</v>
      </c>
      <c r="O64" s="1345">
        <f t="shared" si="22"/>
        <v>0.30874562214071921</v>
      </c>
      <c r="P64" s="331">
        <f t="shared" si="22"/>
        <v>0.31247994216587455</v>
      </c>
      <c r="Q64" s="266">
        <f t="shared" si="22"/>
        <v>0.31402214634577663</v>
      </c>
      <c r="R64" s="266">
        <f>R63/(3*186)</f>
        <v>0.32966450302764055</v>
      </c>
      <c r="S64" s="1426">
        <f>S$63/(3*186)</f>
        <v>0.31505028246571132</v>
      </c>
      <c r="T64" s="1426">
        <f t="shared" si="22"/>
        <v>0.30551248399595976</v>
      </c>
      <c r="U64" s="1426">
        <f t="shared" si="22"/>
        <v>0.31209015429622894</v>
      </c>
      <c r="V64" s="276"/>
      <c r="W64" s="449"/>
      <c r="X64" s="343"/>
      <c r="Y64" s="276"/>
      <c r="Z64" s="276"/>
      <c r="AA64" s="341"/>
      <c r="AB64" s="343"/>
      <c r="AC64" s="276"/>
      <c r="AD64" s="276"/>
      <c r="AE64" s="276"/>
      <c r="AF64" s="276"/>
      <c r="AG64" s="341"/>
      <c r="AH64" s="343"/>
      <c r="AI64" s="276"/>
      <c r="AJ64" s="276"/>
      <c r="AK64" s="276"/>
      <c r="AL64" s="276"/>
      <c r="AM64" s="276"/>
      <c r="AN64" s="276"/>
      <c r="AO64" s="432"/>
      <c r="AP64" s="276"/>
      <c r="AQ64" s="239"/>
      <c r="AR64" s="239"/>
      <c r="AS64" s="238"/>
      <c r="AT64" s="344"/>
      <c r="AU64" s="239"/>
      <c r="AV64" s="239"/>
      <c r="AW64" s="239"/>
      <c r="AX64" s="239"/>
      <c r="AY64" s="238"/>
      <c r="AZ64" s="344"/>
      <c r="BA64" s="239"/>
      <c r="BB64" s="239"/>
      <c r="BC64" s="239"/>
      <c r="BD64" s="239"/>
      <c r="BE64" s="239"/>
      <c r="BF64" s="239"/>
      <c r="BG64" s="429"/>
      <c r="BH64" s="239"/>
      <c r="BI64" s="277"/>
      <c r="BJ64" s="277"/>
      <c r="BK64" s="793"/>
      <c r="BL64" s="798"/>
      <c r="BM64" s="277"/>
      <c r="BN64" s="274"/>
      <c r="BO64" s="239"/>
      <c r="BP64" s="239"/>
      <c r="BQ64" s="238"/>
      <c r="BR64" s="344"/>
      <c r="BS64" s="239"/>
      <c r="BT64" s="239"/>
      <c r="BU64" s="239"/>
      <c r="BV64" s="239"/>
      <c r="BW64" s="239"/>
      <c r="BX64" s="239"/>
      <c r="BY64" s="429"/>
      <c r="BZ64" s="430"/>
      <c r="CA64" s="239"/>
      <c r="CB64" s="239"/>
      <c r="CC64" s="239"/>
      <c r="CD64" s="238"/>
      <c r="CE64" s="344"/>
      <c r="CF64" s="239"/>
      <c r="CG64" s="239"/>
      <c r="CH64" s="239"/>
      <c r="CI64" s="239"/>
      <c r="CJ64" s="238"/>
      <c r="CK64" s="344"/>
      <c r="CL64" s="239"/>
      <c r="CM64" s="239"/>
      <c r="CN64" s="239"/>
      <c r="CO64" s="239"/>
      <c r="CP64" s="239"/>
      <c r="CQ64" s="239"/>
      <c r="CR64" s="429"/>
      <c r="CS64" s="239"/>
      <c r="CT64" s="239"/>
      <c r="CU64" s="239"/>
      <c r="CV64" s="238"/>
      <c r="CW64" s="344"/>
      <c r="CX64" s="239"/>
      <c r="CY64" s="239"/>
      <c r="CZ64" s="239"/>
      <c r="DA64" s="239"/>
      <c r="DB64" s="238"/>
      <c r="DC64" s="344"/>
      <c r="DD64" s="239"/>
      <c r="DE64" s="239"/>
      <c r="DF64" s="239"/>
      <c r="DG64" s="239"/>
      <c r="DH64" s="239"/>
      <c r="DI64" s="239"/>
    </row>
    <row r="65" spans="3:114" s="182" customFormat="1" x14ac:dyDescent="0.25">
      <c r="C65" s="610" t="s">
        <v>429</v>
      </c>
      <c r="D65" s="164"/>
      <c r="E65" s="164"/>
      <c r="F65" s="916">
        <v>0.55000000000000004</v>
      </c>
      <c r="G65" s="266">
        <v>0.55000000000000004</v>
      </c>
      <c r="H65" s="266">
        <v>0.55000000000000004</v>
      </c>
      <c r="I65" s="1346">
        <v>0.55000000000000004</v>
      </c>
      <c r="J65" s="331">
        <v>0.31</v>
      </c>
      <c r="K65" s="266">
        <v>0.31</v>
      </c>
      <c r="L65" s="266">
        <v>0.31</v>
      </c>
      <c r="M65" s="266">
        <v>0.31</v>
      </c>
      <c r="N65" s="1426">
        <v>0.31</v>
      </c>
      <c r="O65" s="1345">
        <v>0.31</v>
      </c>
      <c r="P65" s="331">
        <v>0.31</v>
      </c>
      <c r="Q65" s="266">
        <v>0.31</v>
      </c>
      <c r="R65" s="266">
        <v>0.31</v>
      </c>
      <c r="S65" s="1426">
        <v>0.31</v>
      </c>
      <c r="T65" s="1426">
        <v>0.31</v>
      </c>
      <c r="U65" s="1426">
        <v>0.31</v>
      </c>
      <c r="V65" s="276"/>
      <c r="W65" s="449"/>
      <c r="X65" s="343"/>
      <c r="Y65" s="276"/>
      <c r="Z65" s="276"/>
      <c r="AA65" s="341"/>
      <c r="AB65" s="343"/>
      <c r="AC65" s="276"/>
      <c r="AD65" s="276"/>
      <c r="AE65" s="276"/>
      <c r="AF65" s="276"/>
      <c r="AG65" s="341"/>
      <c r="AH65" s="343"/>
      <c r="AI65" s="276"/>
      <c r="AJ65" s="276"/>
      <c r="AK65" s="276"/>
      <c r="AL65" s="276"/>
      <c r="AM65" s="276"/>
      <c r="AN65" s="276"/>
      <c r="AO65" s="432"/>
      <c r="AP65" s="276"/>
      <c r="AQ65" s="239"/>
      <c r="AR65" s="239"/>
      <c r="AS65" s="238"/>
      <c r="AT65" s="344"/>
      <c r="AU65" s="239"/>
      <c r="AV65" s="239"/>
      <c r="AW65" s="239"/>
      <c r="AX65" s="239"/>
      <c r="AY65" s="238"/>
      <c r="AZ65" s="344"/>
      <c r="BA65" s="239"/>
      <c r="BB65" s="239"/>
      <c r="BC65" s="239"/>
      <c r="BD65" s="239"/>
      <c r="BE65" s="239"/>
      <c r="BF65" s="239"/>
      <c r="BG65" s="429"/>
      <c r="BH65" s="239"/>
      <c r="BI65" s="277"/>
      <c r="BJ65" s="277"/>
      <c r="BK65" s="793"/>
      <c r="BL65" s="798"/>
      <c r="BM65" s="277"/>
      <c r="BN65" s="274"/>
      <c r="BO65" s="239"/>
      <c r="BP65" s="239"/>
      <c r="BQ65" s="238"/>
      <c r="BR65" s="344"/>
      <c r="BS65" s="239"/>
      <c r="BT65" s="239"/>
      <c r="BU65" s="239"/>
      <c r="BV65" s="239"/>
      <c r="BW65" s="239"/>
      <c r="BX65" s="239"/>
      <c r="BY65" s="429"/>
      <c r="BZ65" s="430"/>
      <c r="CA65" s="239"/>
      <c r="CB65" s="239"/>
      <c r="CC65" s="239"/>
      <c r="CD65" s="238"/>
      <c r="CE65" s="344"/>
      <c r="CF65" s="239"/>
      <c r="CG65" s="239"/>
      <c r="CH65" s="239"/>
      <c r="CI65" s="239"/>
      <c r="CJ65" s="238"/>
      <c r="CK65" s="344"/>
      <c r="CL65" s="239"/>
      <c r="CM65" s="239"/>
      <c r="CN65" s="239"/>
      <c r="CO65" s="239"/>
      <c r="CP65" s="239"/>
      <c r="CQ65" s="239"/>
      <c r="CR65" s="429"/>
      <c r="CS65" s="239"/>
      <c r="CT65" s="239"/>
      <c r="CU65" s="239"/>
      <c r="CV65" s="238"/>
      <c r="CW65" s="344"/>
      <c r="CX65" s="239"/>
      <c r="CY65" s="239"/>
      <c r="CZ65" s="239"/>
      <c r="DA65" s="239"/>
      <c r="DB65" s="238"/>
      <c r="DC65" s="344"/>
      <c r="DD65" s="239"/>
      <c r="DE65" s="239"/>
      <c r="DF65" s="239"/>
      <c r="DG65" s="239"/>
      <c r="DH65" s="239"/>
      <c r="DI65" s="239"/>
    </row>
    <row r="66" spans="3:114" s="182" customFormat="1" x14ac:dyDescent="0.25">
      <c r="C66" s="164" t="s">
        <v>427</v>
      </c>
      <c r="D66" s="164"/>
      <c r="E66" s="164"/>
      <c r="F66" s="916">
        <f>F$63/137</f>
        <v>2.3628653502822043</v>
      </c>
      <c r="G66" s="266">
        <f t="shared" ref="G66:U66" si="23">G$63/137</f>
        <v>2.2858057378246923</v>
      </c>
      <c r="H66" s="266">
        <f t="shared" si="23"/>
        <v>2.246911977294384</v>
      </c>
      <c r="I66" s="1347">
        <f t="shared" si="23"/>
        <v>2.2485076850823278</v>
      </c>
      <c r="J66" s="916">
        <f t="shared" si="23"/>
        <v>1.1031397141975945</v>
      </c>
      <c r="K66" s="266">
        <f t="shared" si="23"/>
        <v>1.2354673901868847</v>
      </c>
      <c r="L66" s="266">
        <f t="shared" si="23"/>
        <v>1.3460217562648717</v>
      </c>
      <c r="M66" s="266">
        <f t="shared" si="23"/>
        <v>1.2491749396197349</v>
      </c>
      <c r="N66" s="1426">
        <f t="shared" si="23"/>
        <v>1.2408312138779998</v>
      </c>
      <c r="O66" s="1347">
        <f t="shared" si="23"/>
        <v>1.2575186653614696</v>
      </c>
      <c r="P66" s="916">
        <f t="shared" si="23"/>
        <v>1.2727285235661168</v>
      </c>
      <c r="Q66" s="266">
        <f t="shared" si="23"/>
        <v>1.2790099099338932</v>
      </c>
      <c r="R66" s="266">
        <f t="shared" si="23"/>
        <v>1.3427211145213389</v>
      </c>
      <c r="S66" s="1426">
        <f t="shared" si="23"/>
        <v>1.2831975008457439</v>
      </c>
      <c r="T66" s="1426">
        <f t="shared" si="23"/>
        <v>1.2443501172974127</v>
      </c>
      <c r="U66" s="1347">
        <f t="shared" si="23"/>
        <v>1.2711409204182171</v>
      </c>
      <c r="V66" s="276"/>
      <c r="W66" s="449"/>
      <c r="X66" s="343"/>
      <c r="Y66" s="276"/>
      <c r="Z66" s="276"/>
      <c r="AA66" s="341"/>
      <c r="AB66" s="343"/>
      <c r="AC66" s="276"/>
      <c r="AD66" s="276"/>
      <c r="AE66" s="276"/>
      <c r="AF66" s="276"/>
      <c r="AG66" s="341"/>
      <c r="AH66" s="343"/>
      <c r="AI66" s="276"/>
      <c r="AJ66" s="276"/>
      <c r="AK66" s="276"/>
      <c r="AL66" s="276"/>
      <c r="AM66" s="276"/>
      <c r="AN66" s="276"/>
      <c r="AO66" s="432"/>
      <c r="AP66" s="276"/>
      <c r="AQ66" s="239"/>
      <c r="AR66" s="239"/>
      <c r="AS66" s="238"/>
      <c r="AT66" s="344"/>
      <c r="AU66" s="239"/>
      <c r="AV66" s="239"/>
      <c r="AW66" s="239"/>
      <c r="AX66" s="239"/>
      <c r="AY66" s="238"/>
      <c r="AZ66" s="344"/>
      <c r="BA66" s="239"/>
      <c r="BB66" s="239"/>
      <c r="BC66" s="239"/>
      <c r="BD66" s="239"/>
      <c r="BE66" s="239"/>
      <c r="BF66" s="239"/>
      <c r="BG66" s="429"/>
      <c r="BH66" s="239"/>
      <c r="BI66" s="277"/>
      <c r="BJ66" s="277"/>
      <c r="BK66" s="793"/>
      <c r="BL66" s="798"/>
      <c r="BM66" s="277"/>
      <c r="BN66" s="274"/>
      <c r="BO66" s="239"/>
      <c r="BP66" s="239"/>
      <c r="BQ66" s="238"/>
      <c r="BR66" s="344"/>
      <c r="BS66" s="239"/>
      <c r="BT66" s="239"/>
      <c r="BU66" s="239"/>
      <c r="BV66" s="239"/>
      <c r="BW66" s="239"/>
      <c r="BX66" s="239"/>
      <c r="BY66" s="429"/>
      <c r="BZ66" s="430"/>
      <c r="CA66" s="239"/>
      <c r="CB66" s="239"/>
      <c r="CC66" s="239"/>
      <c r="CD66" s="238"/>
      <c r="CE66" s="344"/>
      <c r="CF66" s="239"/>
      <c r="CG66" s="239"/>
      <c r="CH66" s="239"/>
      <c r="CI66" s="239"/>
      <c r="CJ66" s="238"/>
      <c r="CK66" s="344"/>
      <c r="CL66" s="239"/>
      <c r="CM66" s="239"/>
      <c r="CN66" s="239"/>
      <c r="CO66" s="239"/>
      <c r="CP66" s="239"/>
      <c r="CQ66" s="239"/>
      <c r="CR66" s="429"/>
      <c r="CS66" s="239"/>
      <c r="CT66" s="239"/>
      <c r="CU66" s="239"/>
      <c r="CV66" s="238"/>
      <c r="CW66" s="344"/>
      <c r="CX66" s="239"/>
      <c r="CY66" s="239"/>
      <c r="CZ66" s="239"/>
      <c r="DA66" s="239"/>
      <c r="DB66" s="238"/>
      <c r="DC66" s="344"/>
      <c r="DD66" s="239"/>
      <c r="DE66" s="239"/>
      <c r="DF66" s="239"/>
      <c r="DG66" s="239"/>
      <c r="DH66" s="239"/>
      <c r="DI66" s="239"/>
    </row>
    <row r="67" spans="3:114" s="182" customFormat="1" x14ac:dyDescent="0.25">
      <c r="C67" s="610" t="s">
        <v>385</v>
      </c>
      <c r="D67" s="164"/>
      <c r="E67" s="164"/>
      <c r="F67" s="331">
        <v>0.57999999999999996</v>
      </c>
      <c r="G67" s="266">
        <v>0.55000000000000004</v>
      </c>
      <c r="H67" s="266">
        <v>0.54</v>
      </c>
      <c r="I67" s="1345">
        <v>0.54</v>
      </c>
      <c r="J67" s="331">
        <v>0.31</v>
      </c>
      <c r="K67" s="266">
        <v>0.31</v>
      </c>
      <c r="L67" s="266">
        <v>0.31</v>
      </c>
      <c r="M67" s="266">
        <v>0.31</v>
      </c>
      <c r="N67" s="1426">
        <v>0.31</v>
      </c>
      <c r="O67" s="1345">
        <v>0.31</v>
      </c>
      <c r="P67" s="331">
        <v>0.31</v>
      </c>
      <c r="Q67" s="266">
        <v>0.31</v>
      </c>
      <c r="R67" s="266">
        <v>0.31</v>
      </c>
      <c r="S67" s="1426">
        <v>0.31</v>
      </c>
      <c r="T67" s="1426">
        <v>0.31</v>
      </c>
      <c r="U67" s="1426">
        <v>0.31</v>
      </c>
      <c r="V67" s="276"/>
      <c r="W67" s="449"/>
      <c r="X67" s="343"/>
      <c r="Y67" s="276"/>
      <c r="Z67" s="276"/>
      <c r="AA67" s="341"/>
      <c r="AB67" s="343"/>
      <c r="AC67" s="276"/>
      <c r="AD67" s="276"/>
      <c r="AE67" s="276"/>
      <c r="AF67" s="276"/>
      <c r="AG67" s="341"/>
      <c r="AH67" s="343"/>
      <c r="AI67" s="276"/>
      <c r="AJ67" s="276"/>
      <c r="AK67" s="276"/>
      <c r="AL67" s="276"/>
      <c r="AM67" s="276"/>
      <c r="AN67" s="276"/>
      <c r="AO67" s="432"/>
      <c r="AP67" s="276"/>
      <c r="AQ67" s="239"/>
      <c r="AR67" s="239"/>
      <c r="AS67" s="238"/>
      <c r="AT67" s="344"/>
      <c r="AU67" s="239"/>
      <c r="AV67" s="239"/>
      <c r="AW67" s="239"/>
      <c r="AX67" s="239"/>
      <c r="AY67" s="238"/>
      <c r="AZ67" s="344"/>
      <c r="BA67" s="239"/>
      <c r="BB67" s="239"/>
      <c r="BC67" s="239"/>
      <c r="BD67" s="239"/>
      <c r="BE67" s="239"/>
      <c r="BF67" s="239"/>
      <c r="BG67" s="429"/>
      <c r="BH67" s="239"/>
      <c r="BI67" s="277"/>
      <c r="BJ67" s="277"/>
      <c r="BK67" s="793"/>
      <c r="BL67" s="798"/>
      <c r="BM67" s="277"/>
      <c r="BN67" s="274"/>
      <c r="BO67" s="239"/>
      <c r="BP67" s="239"/>
      <c r="BQ67" s="238"/>
      <c r="BR67" s="344"/>
      <c r="BS67" s="239"/>
      <c r="BT67" s="239"/>
      <c r="BU67" s="239"/>
      <c r="BV67" s="239"/>
      <c r="BW67" s="239"/>
      <c r="BX67" s="239"/>
      <c r="BY67" s="429"/>
      <c r="BZ67" s="430"/>
      <c r="CA67" s="239"/>
      <c r="CB67" s="239"/>
      <c r="CC67" s="239"/>
      <c r="CD67" s="238"/>
      <c r="CE67" s="344"/>
      <c r="CF67" s="239"/>
      <c r="CG67" s="239"/>
      <c r="CH67" s="239"/>
      <c r="CI67" s="239"/>
      <c r="CJ67" s="238"/>
      <c r="CK67" s="344"/>
      <c r="CL67" s="239"/>
      <c r="CM67" s="239"/>
      <c r="CN67" s="239"/>
      <c r="CO67" s="239"/>
      <c r="CP67" s="239"/>
      <c r="CQ67" s="239"/>
      <c r="CR67" s="429"/>
      <c r="CS67" s="239"/>
      <c r="CT67" s="239"/>
      <c r="CU67" s="239"/>
      <c r="CV67" s="238"/>
      <c r="CW67" s="344"/>
      <c r="CX67" s="239"/>
      <c r="CY67" s="239"/>
      <c r="CZ67" s="239"/>
      <c r="DA67" s="239"/>
      <c r="DB67" s="238"/>
      <c r="DC67" s="344"/>
      <c r="DD67" s="239"/>
      <c r="DE67" s="239"/>
      <c r="DF67" s="239"/>
      <c r="DG67" s="239"/>
      <c r="DH67" s="239"/>
      <c r="DI67" s="239"/>
    </row>
    <row r="68" spans="3:114" s="182" customFormat="1" x14ac:dyDescent="0.25">
      <c r="C68" s="164" t="s">
        <v>360</v>
      </c>
      <c r="D68" s="164"/>
      <c r="E68" s="164"/>
      <c r="F68" s="331">
        <v>0.38</v>
      </c>
      <c r="G68" s="266">
        <v>0.38</v>
      </c>
      <c r="H68" s="266">
        <v>0.38</v>
      </c>
      <c r="I68" s="1345">
        <v>0.38</v>
      </c>
      <c r="J68" s="751">
        <v>0.21</v>
      </c>
      <c r="K68" s="257">
        <v>0.21</v>
      </c>
      <c r="L68" s="257">
        <v>0.21</v>
      </c>
      <c r="M68" s="257">
        <v>0.21</v>
      </c>
      <c r="N68" s="1427">
        <v>0.21</v>
      </c>
      <c r="O68" s="1428">
        <v>0.21</v>
      </c>
      <c r="P68" s="751">
        <v>0.21</v>
      </c>
      <c r="Q68" s="257">
        <v>0.21</v>
      </c>
      <c r="R68" s="257">
        <v>0.21</v>
      </c>
      <c r="S68" s="1427">
        <v>0.21</v>
      </c>
      <c r="T68" s="1427">
        <v>0.21</v>
      </c>
      <c r="U68" s="1427">
        <v>0.21</v>
      </c>
      <c r="V68" s="239"/>
      <c r="W68" s="450"/>
      <c r="X68" s="344"/>
      <c r="Y68" s="239"/>
      <c r="Z68" s="239"/>
      <c r="AA68" s="238"/>
      <c r="AB68" s="344"/>
      <c r="AC68" s="239"/>
      <c r="AD68" s="239"/>
      <c r="AE68" s="239"/>
      <c r="AF68" s="239"/>
      <c r="AG68" s="238"/>
      <c r="AH68" s="344"/>
      <c r="AI68" s="239"/>
      <c r="AJ68" s="239"/>
      <c r="AK68" s="239"/>
      <c r="AL68" s="239"/>
      <c r="AM68" s="239"/>
      <c r="AN68" s="239"/>
      <c r="AO68" s="429"/>
      <c r="AP68" s="239"/>
      <c r="AQ68" s="239"/>
      <c r="AR68" s="239"/>
      <c r="AS68" s="238"/>
      <c r="AT68" s="344"/>
      <c r="AU68" s="239"/>
      <c r="AV68" s="239"/>
      <c r="AW68" s="239"/>
      <c r="AX68" s="239"/>
      <c r="AY68" s="238"/>
      <c r="AZ68" s="344"/>
      <c r="BA68" s="239"/>
      <c r="BB68" s="239"/>
      <c r="BC68" s="239"/>
      <c r="BD68" s="239"/>
      <c r="BE68" s="239"/>
      <c r="BF68" s="239"/>
      <c r="BG68" s="429"/>
      <c r="BH68" s="239"/>
      <c r="BI68" s="239"/>
      <c r="BJ68" s="239"/>
      <c r="BK68" s="238"/>
      <c r="BL68" s="344"/>
      <c r="BM68" s="239"/>
      <c r="BN68" s="239"/>
      <c r="BO68" s="239"/>
      <c r="BP68" s="239"/>
      <c r="BQ68" s="238"/>
      <c r="BR68" s="344"/>
      <c r="BS68" s="239"/>
      <c r="BT68" s="239"/>
      <c r="BU68" s="239"/>
      <c r="BV68" s="239"/>
      <c r="BW68" s="239"/>
      <c r="BX68" s="239"/>
      <c r="BY68" s="429"/>
      <c r="BZ68" s="430"/>
      <c r="CA68" s="239"/>
      <c r="CB68" s="239"/>
      <c r="CC68" s="239"/>
      <c r="CD68" s="238"/>
      <c r="CE68" s="344"/>
      <c r="CF68" s="239"/>
      <c r="CG68" s="239"/>
      <c r="CH68" s="239"/>
      <c r="CI68" s="239"/>
      <c r="CJ68" s="238"/>
      <c r="CK68" s="344"/>
      <c r="CL68" s="239"/>
      <c r="CM68" s="239"/>
      <c r="CN68" s="239"/>
      <c r="CO68" s="239"/>
      <c r="CP68" s="239"/>
      <c r="CQ68" s="239"/>
      <c r="CR68" s="429"/>
      <c r="CS68" s="239"/>
      <c r="CT68" s="239"/>
      <c r="CU68" s="239"/>
      <c r="CV68" s="238"/>
      <c r="CW68" s="344"/>
      <c r="CX68" s="239"/>
      <c r="CY68" s="239"/>
      <c r="CZ68" s="239"/>
      <c r="DA68" s="239"/>
      <c r="DB68" s="238"/>
      <c r="DC68" s="344"/>
      <c r="DD68" s="239"/>
      <c r="DE68" s="239"/>
      <c r="DF68" s="239"/>
      <c r="DG68" s="239"/>
      <c r="DH68" s="239"/>
      <c r="DI68" s="239"/>
    </row>
    <row r="69" spans="3:114" s="182" customFormat="1" x14ac:dyDescent="0.25">
      <c r="C69" s="647" t="s">
        <v>361</v>
      </c>
      <c r="D69" s="647"/>
      <c r="E69" s="647"/>
      <c r="F69" s="917">
        <v>176.5</v>
      </c>
      <c r="G69" s="918">
        <v>176.5</v>
      </c>
      <c r="H69" s="1028">
        <v>176.5</v>
      </c>
      <c r="I69" s="1348">
        <v>176.5</v>
      </c>
      <c r="J69" s="919">
        <v>176.5</v>
      </c>
      <c r="K69" s="1028">
        <v>176.5</v>
      </c>
      <c r="L69" s="1028">
        <v>176.5</v>
      </c>
      <c r="M69" s="1028">
        <v>176.5</v>
      </c>
      <c r="N69" s="1429">
        <v>176.5</v>
      </c>
      <c r="O69" s="1429">
        <v>176.5</v>
      </c>
      <c r="P69" s="919">
        <v>176.5</v>
      </c>
      <c r="Q69" s="1028">
        <v>176.5</v>
      </c>
      <c r="R69" s="1028">
        <v>176.5</v>
      </c>
      <c r="S69" s="1429">
        <v>176.5</v>
      </c>
      <c r="T69" s="1429">
        <v>176.5</v>
      </c>
      <c r="U69" s="1429">
        <v>176.5</v>
      </c>
      <c r="V69" s="239"/>
      <c r="W69" s="450"/>
      <c r="X69" s="344"/>
      <c r="Y69" s="239"/>
      <c r="Z69" s="239"/>
      <c r="AA69" s="238"/>
      <c r="AB69" s="344"/>
      <c r="AC69" s="239"/>
      <c r="AD69" s="239"/>
      <c r="AE69" s="239"/>
      <c r="AF69" s="239"/>
      <c r="AG69" s="238"/>
      <c r="AH69" s="344"/>
      <c r="AI69" s="239"/>
      <c r="AJ69" s="239"/>
      <c r="AK69" s="239"/>
      <c r="AL69" s="239"/>
      <c r="AM69" s="239"/>
      <c r="AN69" s="239"/>
      <c r="AO69" s="429"/>
      <c r="AP69" s="239"/>
      <c r="AQ69" s="239"/>
      <c r="AR69" s="239"/>
      <c r="AS69" s="238"/>
      <c r="AT69" s="344"/>
      <c r="AU69" s="239"/>
      <c r="AV69" s="239"/>
      <c r="AW69" s="239"/>
      <c r="AX69" s="239"/>
      <c r="AY69" s="238"/>
      <c r="AZ69" s="344"/>
      <c r="BA69" s="239"/>
      <c r="BB69" s="239"/>
      <c r="BC69" s="239"/>
      <c r="BD69" s="239"/>
      <c r="BE69" s="239"/>
      <c r="BF69" s="239"/>
      <c r="BG69" s="429"/>
      <c r="BH69" s="239"/>
      <c r="BI69" s="239"/>
      <c r="BJ69" s="239"/>
      <c r="BK69" s="238"/>
      <c r="BL69" s="344"/>
      <c r="BM69" s="239"/>
      <c r="BN69" s="239"/>
      <c r="BO69" s="239"/>
      <c r="BP69" s="239"/>
      <c r="BQ69" s="238"/>
      <c r="BR69" s="344"/>
      <c r="BS69" s="239"/>
      <c r="BT69" s="239"/>
      <c r="BU69" s="239"/>
      <c r="BV69" s="239"/>
      <c r="BW69" s="239"/>
      <c r="BX69" s="239"/>
      <c r="BY69" s="429"/>
      <c r="BZ69" s="430"/>
      <c r="CA69" s="239"/>
      <c r="CB69" s="239"/>
      <c r="CC69" s="239"/>
      <c r="CD69" s="238"/>
      <c r="CE69" s="344"/>
      <c r="CF69" s="239"/>
      <c r="CG69" s="239"/>
      <c r="CH69" s="239"/>
      <c r="CI69" s="239"/>
      <c r="CJ69" s="238"/>
      <c r="CK69" s="344"/>
      <c r="CL69" s="239"/>
      <c r="CM69" s="239"/>
      <c r="CN69" s="239"/>
      <c r="CO69" s="239"/>
      <c r="CP69" s="239"/>
      <c r="CQ69" s="239"/>
      <c r="CR69" s="429"/>
      <c r="CS69" s="239"/>
      <c r="CT69" s="239"/>
      <c r="CU69" s="239"/>
      <c r="CV69" s="238"/>
      <c r="CW69" s="344"/>
      <c r="CX69" s="239"/>
      <c r="CY69" s="239"/>
      <c r="CZ69" s="239"/>
      <c r="DA69" s="239"/>
      <c r="DB69" s="238"/>
      <c r="DC69" s="344"/>
      <c r="DD69" s="239"/>
      <c r="DE69" s="239"/>
      <c r="DF69" s="239"/>
      <c r="DG69" s="239"/>
      <c r="DH69" s="239"/>
      <c r="DI69" s="239"/>
    </row>
    <row r="70" spans="3:114" s="182" customFormat="1" x14ac:dyDescent="0.25">
      <c r="C70" s="164" t="s">
        <v>384</v>
      </c>
      <c r="D70" s="164"/>
      <c r="E70" s="164"/>
      <c r="F70" s="926">
        <v>176.5</v>
      </c>
      <c r="G70" s="927">
        <v>176.5</v>
      </c>
      <c r="H70" s="927">
        <v>176.5</v>
      </c>
      <c r="I70" s="1349">
        <v>176.5</v>
      </c>
      <c r="J70" s="926">
        <v>176.5</v>
      </c>
      <c r="K70" s="927">
        <v>176.5</v>
      </c>
      <c r="L70" s="927">
        <v>176.5</v>
      </c>
      <c r="M70" s="927">
        <v>176.5</v>
      </c>
      <c r="N70" s="1349">
        <v>176.5</v>
      </c>
      <c r="O70" s="1349">
        <v>176.5</v>
      </c>
      <c r="P70" s="928">
        <v>176.5</v>
      </c>
      <c r="Q70" s="927">
        <v>176.5</v>
      </c>
      <c r="R70" s="927">
        <v>176.5</v>
      </c>
      <c r="S70" s="1349">
        <v>176.5</v>
      </c>
      <c r="T70" s="1349">
        <v>176.5</v>
      </c>
      <c r="U70" s="1349">
        <v>176.5</v>
      </c>
      <c r="V70" s="239"/>
      <c r="W70" s="450"/>
      <c r="X70" s="344"/>
      <c r="Y70" s="239"/>
      <c r="Z70" s="239"/>
      <c r="AA70" s="238"/>
      <c r="AB70" s="344"/>
      <c r="AC70" s="239"/>
      <c r="AD70" s="239"/>
      <c r="AE70" s="239"/>
      <c r="AF70" s="239"/>
      <c r="AG70" s="238"/>
      <c r="AH70" s="344"/>
      <c r="AI70" s="239"/>
      <c r="AJ70" s="239"/>
      <c r="AK70" s="239"/>
      <c r="AL70" s="239"/>
      <c r="AM70" s="239"/>
      <c r="AN70" s="239"/>
      <c r="AO70" s="429"/>
      <c r="AP70" s="239"/>
      <c r="AQ70" s="239"/>
      <c r="AR70" s="239"/>
      <c r="AS70" s="238"/>
      <c r="AT70" s="344"/>
      <c r="AU70" s="239"/>
      <c r="AV70" s="239"/>
      <c r="AW70" s="239"/>
      <c r="AX70" s="239"/>
      <c r="AY70" s="238"/>
      <c r="AZ70" s="344"/>
      <c r="BA70" s="239"/>
      <c r="BB70" s="239"/>
      <c r="BC70" s="239"/>
      <c r="BD70" s="239"/>
      <c r="BE70" s="239"/>
      <c r="BF70" s="239"/>
      <c r="BG70" s="429"/>
      <c r="BH70" s="239"/>
      <c r="BI70" s="239"/>
      <c r="BJ70" s="239"/>
      <c r="BK70" s="238"/>
      <c r="BL70" s="344"/>
      <c r="BM70" s="239"/>
      <c r="BN70" s="239"/>
      <c r="BO70" s="239"/>
      <c r="BP70" s="239"/>
      <c r="BQ70" s="238"/>
      <c r="BR70" s="344"/>
      <c r="BS70" s="239"/>
      <c r="BT70" s="239"/>
      <c r="BU70" s="239"/>
      <c r="BV70" s="239"/>
      <c r="BW70" s="239"/>
      <c r="BX70" s="239"/>
      <c r="BY70" s="429"/>
      <c r="BZ70" s="430"/>
      <c r="CA70" s="239"/>
      <c r="CB70" s="239"/>
      <c r="CC70" s="239"/>
      <c r="CD70" s="238"/>
      <c r="CE70" s="344"/>
      <c r="CF70" s="239"/>
      <c r="CG70" s="239"/>
      <c r="CH70" s="239"/>
      <c r="CI70" s="239"/>
      <c r="CJ70" s="238"/>
      <c r="CK70" s="344"/>
      <c r="CL70" s="239"/>
      <c r="CM70" s="239"/>
      <c r="CN70" s="239"/>
      <c r="CO70" s="239"/>
      <c r="CP70" s="239"/>
      <c r="CQ70" s="239"/>
      <c r="CR70" s="429"/>
      <c r="CS70" s="239"/>
      <c r="CT70" s="239"/>
      <c r="CU70" s="239"/>
      <c r="CV70" s="238"/>
      <c r="CW70" s="344"/>
      <c r="CX70" s="239"/>
      <c r="CY70" s="239"/>
      <c r="CZ70" s="239"/>
      <c r="DA70" s="239"/>
      <c r="DB70" s="238"/>
      <c r="DC70" s="344"/>
      <c r="DD70" s="239"/>
      <c r="DE70" s="239"/>
      <c r="DF70" s="239"/>
      <c r="DG70" s="239"/>
      <c r="DH70" s="239"/>
      <c r="DI70" s="239"/>
    </row>
    <row r="71" spans="3:114" s="182" customFormat="1" x14ac:dyDescent="0.25">
      <c r="C71" s="647" t="s">
        <v>367</v>
      </c>
      <c r="D71" s="647"/>
      <c r="E71" s="647"/>
      <c r="F71" s="929">
        <v>404</v>
      </c>
      <c r="G71" s="930">
        <v>404</v>
      </c>
      <c r="H71" s="961">
        <v>404.16</v>
      </c>
      <c r="I71" s="1350">
        <v>404.04</v>
      </c>
      <c r="J71" s="1027">
        <v>418.45</v>
      </c>
      <c r="K71" s="961">
        <v>418.5</v>
      </c>
      <c r="L71" s="961">
        <v>418.5</v>
      </c>
      <c r="M71" s="961">
        <v>418</v>
      </c>
      <c r="N71" s="1349">
        <v>418.72</v>
      </c>
      <c r="O71" s="1350">
        <v>418.46</v>
      </c>
      <c r="P71" s="1027">
        <v>422.08</v>
      </c>
      <c r="Q71" s="961">
        <v>422.17</v>
      </c>
      <c r="R71" s="930">
        <v>422.12</v>
      </c>
      <c r="S71" s="1469">
        <v>422.16</v>
      </c>
      <c r="T71" s="1349">
        <v>422.22</v>
      </c>
      <c r="U71" s="1469">
        <v>422.11</v>
      </c>
      <c r="V71" s="239"/>
      <c r="W71" s="450"/>
      <c r="X71" s="344"/>
      <c r="Y71" s="239"/>
      <c r="Z71" s="239"/>
      <c r="AA71" s="238"/>
      <c r="AB71" s="344"/>
      <c r="AC71" s="239"/>
      <c r="AD71" s="239"/>
      <c r="AE71" s="239"/>
      <c r="AF71" s="239"/>
      <c r="AG71" s="238"/>
      <c r="AH71" s="344"/>
      <c r="AI71" s="239"/>
      <c r="AJ71" s="239"/>
      <c r="AK71" s="239"/>
      <c r="AL71" s="239"/>
      <c r="AM71" s="239"/>
      <c r="AN71" s="239"/>
      <c r="AO71" s="429"/>
      <c r="AP71" s="239"/>
      <c r="AQ71" s="239"/>
      <c r="AR71" s="239"/>
      <c r="AS71" s="238"/>
      <c r="AT71" s="344"/>
      <c r="AU71" s="239"/>
      <c r="AV71" s="239"/>
      <c r="AW71" s="239"/>
      <c r="AX71" s="239"/>
      <c r="AY71" s="238"/>
      <c r="AZ71" s="344"/>
      <c r="BA71" s="239"/>
      <c r="BB71" s="239"/>
      <c r="BC71" s="239"/>
      <c r="BD71" s="239"/>
      <c r="BE71" s="239"/>
      <c r="BF71" s="239"/>
      <c r="BG71" s="429"/>
      <c r="BH71" s="239"/>
      <c r="BI71" s="239"/>
      <c r="BJ71" s="239"/>
      <c r="BK71" s="238"/>
      <c r="BL71" s="344"/>
      <c r="BM71" s="239"/>
      <c r="BN71" s="239"/>
      <c r="BO71" s="239"/>
      <c r="BP71" s="239"/>
      <c r="BQ71" s="238"/>
      <c r="BR71" s="344"/>
      <c r="BS71" s="239"/>
      <c r="BT71" s="239"/>
      <c r="BU71" s="239"/>
      <c r="BV71" s="239"/>
      <c r="BW71" s="239"/>
      <c r="BX71" s="239"/>
      <c r="BY71" s="429"/>
      <c r="BZ71" s="430"/>
      <c r="CA71" s="239"/>
      <c r="CB71" s="239"/>
      <c r="CC71" s="239"/>
      <c r="CD71" s="238"/>
      <c r="CE71" s="344"/>
      <c r="CF71" s="239"/>
      <c r="CG71" s="239"/>
      <c r="CH71" s="239"/>
      <c r="CI71" s="239"/>
      <c r="CJ71" s="238"/>
      <c r="CK71" s="344"/>
      <c r="CL71" s="239"/>
      <c r="CM71" s="239"/>
      <c r="CN71" s="239"/>
      <c r="CO71" s="239"/>
      <c r="CP71" s="239"/>
      <c r="CQ71" s="239"/>
      <c r="CR71" s="429"/>
      <c r="CS71" s="239"/>
      <c r="CT71" s="239"/>
      <c r="CU71" s="239"/>
      <c r="CV71" s="238"/>
      <c r="CW71" s="344"/>
      <c r="CX71" s="239"/>
      <c r="CY71" s="239"/>
      <c r="CZ71" s="239"/>
      <c r="DA71" s="239"/>
      <c r="DB71" s="238"/>
      <c r="DC71" s="344"/>
      <c r="DD71" s="239"/>
      <c r="DE71" s="239"/>
      <c r="DF71" s="239"/>
      <c r="DG71" s="239"/>
      <c r="DH71" s="239"/>
      <c r="DI71" s="239"/>
    </row>
    <row r="72" spans="3:114" s="182" customFormat="1" ht="15.75" thickBot="1" x14ac:dyDescent="0.3">
      <c r="C72" s="164" t="s">
        <v>370</v>
      </c>
      <c r="D72" s="164"/>
      <c r="E72" s="164"/>
      <c r="F72" s="931">
        <v>404</v>
      </c>
      <c r="G72" s="932">
        <v>404</v>
      </c>
      <c r="H72" s="932">
        <v>404</v>
      </c>
      <c r="I72" s="1351">
        <v>404</v>
      </c>
      <c r="J72" s="931">
        <v>416.93333333333339</v>
      </c>
      <c r="K72" s="932">
        <v>416.93333333333339</v>
      </c>
      <c r="L72" s="932">
        <v>417</v>
      </c>
      <c r="M72" s="932">
        <v>418</v>
      </c>
      <c r="N72" s="1430">
        <v>418</v>
      </c>
      <c r="O72" s="1351">
        <v>418</v>
      </c>
      <c r="P72" s="931">
        <v>418</v>
      </c>
      <c r="Q72" s="932">
        <v>418</v>
      </c>
      <c r="R72" s="932">
        <v>418</v>
      </c>
      <c r="S72" s="1430">
        <v>422</v>
      </c>
      <c r="T72" s="1430">
        <v>422</v>
      </c>
      <c r="U72" s="1430">
        <v>422</v>
      </c>
      <c r="V72" s="529"/>
      <c r="W72" s="530"/>
      <c r="X72" s="531"/>
      <c r="Y72" s="529"/>
      <c r="Z72" s="529"/>
      <c r="AA72" s="532"/>
      <c r="AB72" s="531"/>
      <c r="AC72" s="529"/>
      <c r="AD72" s="529"/>
      <c r="AE72" s="529"/>
      <c r="AF72" s="529"/>
      <c r="AG72" s="532"/>
      <c r="AH72" s="531"/>
      <c r="AI72" s="529"/>
      <c r="AJ72" s="529"/>
      <c r="AK72" s="529"/>
      <c r="AL72" s="529"/>
      <c r="AM72" s="529"/>
      <c r="AN72" s="529"/>
      <c r="AO72" s="533"/>
      <c r="AP72" s="529"/>
      <c r="AQ72" s="529"/>
      <c r="AR72" s="529"/>
      <c r="AS72" s="532"/>
      <c r="AT72" s="531"/>
      <c r="AU72" s="529"/>
      <c r="AV72" s="529"/>
      <c r="AW72" s="529"/>
      <c r="AX72" s="529"/>
      <c r="AY72" s="532"/>
      <c r="AZ72" s="531"/>
      <c r="BA72" s="529"/>
      <c r="BB72" s="529"/>
      <c r="BC72" s="529"/>
      <c r="BD72" s="529"/>
      <c r="BE72" s="529"/>
      <c r="BF72" s="529"/>
      <c r="BG72" s="533"/>
      <c r="BH72" s="529"/>
      <c r="BI72" s="529"/>
      <c r="BJ72" s="529"/>
      <c r="BK72" s="532"/>
      <c r="BL72" s="531"/>
      <c r="BM72" s="529"/>
      <c r="BN72" s="529"/>
      <c r="BO72" s="529"/>
      <c r="BP72" s="529"/>
      <c r="BQ72" s="532"/>
      <c r="BR72" s="531"/>
      <c r="BS72" s="529"/>
      <c r="BT72" s="529"/>
      <c r="BU72" s="529"/>
      <c r="BV72" s="529"/>
      <c r="BW72" s="529"/>
      <c r="BX72" s="529"/>
      <c r="BY72" s="533"/>
      <c r="BZ72" s="534"/>
      <c r="CA72" s="529"/>
      <c r="CB72" s="529"/>
      <c r="CC72" s="529"/>
      <c r="CD72" s="532"/>
      <c r="CE72" s="531"/>
      <c r="CF72" s="529"/>
      <c r="CG72" s="529"/>
      <c r="CH72" s="529"/>
      <c r="CI72" s="529"/>
      <c r="CJ72" s="532"/>
      <c r="CK72" s="531"/>
      <c r="CL72" s="529"/>
      <c r="CM72" s="529"/>
      <c r="CN72" s="529"/>
      <c r="CO72" s="529"/>
      <c r="CP72" s="529"/>
      <c r="CQ72" s="529"/>
      <c r="CR72" s="533"/>
      <c r="CS72" s="529"/>
      <c r="CT72" s="529"/>
      <c r="CU72" s="529"/>
      <c r="CV72" s="532"/>
      <c r="CW72" s="531"/>
      <c r="CX72" s="529"/>
      <c r="CY72" s="529"/>
      <c r="CZ72" s="529"/>
      <c r="DA72" s="529"/>
      <c r="DB72" s="532"/>
      <c r="DC72" s="531"/>
      <c r="DD72" s="529"/>
      <c r="DE72" s="529"/>
      <c r="DF72" s="529"/>
      <c r="DG72" s="529"/>
      <c r="DH72" s="529"/>
      <c r="DI72" s="529"/>
    </row>
    <row r="73" spans="3:114" s="548" customFormat="1" ht="16.5" thickTop="1" thickBot="1" x14ac:dyDescent="0.3">
      <c r="C73" s="538"/>
      <c r="D73" s="538"/>
      <c r="E73" s="538"/>
      <c r="F73" s="539"/>
      <c r="G73" s="540"/>
      <c r="H73" s="540"/>
      <c r="I73" s="1352"/>
      <c r="J73" s="541"/>
      <c r="K73" s="540"/>
      <c r="L73" s="540"/>
      <c r="M73" s="540"/>
      <c r="N73" s="1431"/>
      <c r="O73" s="1352"/>
      <c r="P73" s="541"/>
      <c r="Q73" s="540"/>
      <c r="R73" s="540"/>
      <c r="S73" s="1431"/>
      <c r="T73" s="1431"/>
      <c r="U73" s="1431"/>
      <c r="V73" s="542"/>
      <c r="W73" s="543"/>
      <c r="X73" s="544"/>
      <c r="Y73" s="542"/>
      <c r="Z73" s="542"/>
      <c r="AA73" s="545"/>
      <c r="AB73" s="544"/>
      <c r="AC73" s="542"/>
      <c r="AD73" s="542"/>
      <c r="AE73" s="542"/>
      <c r="AF73" s="542"/>
      <c r="AG73" s="545"/>
      <c r="AH73" s="544"/>
      <c r="AI73" s="542"/>
      <c r="AJ73" s="542"/>
      <c r="AK73" s="542"/>
      <c r="AL73" s="542"/>
      <c r="AM73" s="542"/>
      <c r="AN73" s="542"/>
      <c r="AO73" s="546"/>
      <c r="AP73" s="542"/>
      <c r="AQ73" s="542"/>
      <c r="AR73" s="542"/>
      <c r="AS73" s="545"/>
      <c r="AT73" s="544"/>
      <c r="AU73" s="542"/>
      <c r="AV73" s="542"/>
      <c r="AW73" s="542"/>
      <c r="AX73" s="542"/>
      <c r="AY73" s="545"/>
      <c r="AZ73" s="544"/>
      <c r="BA73" s="542"/>
      <c r="BB73" s="542"/>
      <c r="BC73" s="542"/>
      <c r="BD73" s="542"/>
      <c r="BE73" s="542"/>
      <c r="BF73" s="542"/>
      <c r="BG73" s="546"/>
      <c r="BH73" s="542"/>
      <c r="BI73" s="542"/>
      <c r="BJ73" s="542"/>
      <c r="BK73" s="545"/>
      <c r="BL73" s="544"/>
      <c r="BM73" s="542"/>
      <c r="BN73" s="542"/>
      <c r="BO73" s="542"/>
      <c r="BP73" s="542"/>
      <c r="BQ73" s="545"/>
      <c r="BR73" s="544"/>
      <c r="BS73" s="542"/>
      <c r="BT73" s="542"/>
      <c r="BU73" s="542"/>
      <c r="BV73" s="542"/>
      <c r="BW73" s="542"/>
      <c r="BX73" s="542"/>
      <c r="BY73" s="546"/>
      <c r="BZ73" s="547"/>
      <c r="CA73" s="542"/>
      <c r="CB73" s="542"/>
      <c r="CC73" s="542"/>
      <c r="CD73" s="545"/>
      <c r="CE73" s="544"/>
      <c r="CF73" s="542"/>
      <c r="CG73" s="542"/>
      <c r="CH73" s="542"/>
      <c r="CI73" s="542"/>
      <c r="CJ73" s="545"/>
      <c r="CK73" s="544"/>
      <c r="CL73" s="542"/>
      <c r="CM73" s="542"/>
      <c r="CN73" s="542"/>
      <c r="CO73" s="542"/>
      <c r="CP73" s="542"/>
      <c r="CQ73" s="542"/>
      <c r="CR73" s="546"/>
      <c r="CS73" s="542"/>
      <c r="CT73" s="542"/>
      <c r="CU73" s="542"/>
      <c r="CV73" s="545"/>
      <c r="CW73" s="544"/>
      <c r="CX73" s="542"/>
      <c r="CY73" s="542"/>
      <c r="CZ73" s="542"/>
      <c r="DA73" s="542"/>
      <c r="DB73" s="545"/>
      <c r="DC73" s="544"/>
      <c r="DD73" s="542"/>
      <c r="DE73" s="542"/>
      <c r="DF73" s="542"/>
      <c r="DG73" s="542"/>
      <c r="DH73" s="542"/>
      <c r="DI73" s="542"/>
    </row>
    <row r="74" spans="3:114" ht="15.75" thickTop="1" x14ac:dyDescent="0.25">
      <c r="C74" s="1" t="s">
        <v>126</v>
      </c>
      <c r="F74" s="384">
        <f t="shared" ref="F74:U74" si="24">F8*F$59/100</f>
        <v>0</v>
      </c>
      <c r="G74" s="383">
        <f t="shared" si="24"/>
        <v>0</v>
      </c>
      <c r="H74" s="383">
        <f t="shared" si="24"/>
        <v>0</v>
      </c>
      <c r="I74" s="1335">
        <f t="shared" si="24"/>
        <v>0</v>
      </c>
      <c r="J74" s="384">
        <f t="shared" si="24"/>
        <v>0</v>
      </c>
      <c r="K74" s="383">
        <f t="shared" si="24"/>
        <v>0</v>
      </c>
      <c r="L74" s="383">
        <f t="shared" si="24"/>
        <v>0</v>
      </c>
      <c r="M74" s="383">
        <f t="shared" si="24"/>
        <v>0</v>
      </c>
      <c r="N74" s="1416">
        <f t="shared" si="24"/>
        <v>0</v>
      </c>
      <c r="O74" s="1335">
        <f t="shared" si="24"/>
        <v>0</v>
      </c>
      <c r="P74" s="384">
        <f t="shared" si="24"/>
        <v>0</v>
      </c>
      <c r="Q74" s="383">
        <f t="shared" si="24"/>
        <v>0</v>
      </c>
      <c r="R74" s="383">
        <f t="shared" si="24"/>
        <v>0</v>
      </c>
      <c r="S74" s="1416">
        <f t="shared" si="24"/>
        <v>0</v>
      </c>
      <c r="T74" s="1416">
        <f t="shared" si="24"/>
        <v>0</v>
      </c>
      <c r="U74" s="1416">
        <f t="shared" si="24"/>
        <v>0</v>
      </c>
      <c r="V74" s="383"/>
      <c r="W74" s="535"/>
      <c r="X74" s="384">
        <f t="shared" ref="X74:AM74" si="25">X8*X$59/100</f>
        <v>1.087659574468085E-3</v>
      </c>
      <c r="Y74" s="383">
        <f t="shared" si="25"/>
        <v>4.8636E-3</v>
      </c>
      <c r="Z74" s="383">
        <f t="shared" si="25"/>
        <v>1.671615E-3</v>
      </c>
      <c r="AA74" s="232">
        <f t="shared" si="25"/>
        <v>0</v>
      </c>
      <c r="AB74" s="384">
        <f t="shared" si="25"/>
        <v>2.3749999999999999E-3</v>
      </c>
      <c r="AC74" s="383">
        <f t="shared" si="25"/>
        <v>4.6043999999999998E-3</v>
      </c>
      <c r="AD74" s="383">
        <f t="shared" si="25"/>
        <v>7.5970124999999991E-3</v>
      </c>
      <c r="AE74" s="383">
        <f t="shared" si="25"/>
        <v>1.3761666666666666E-3</v>
      </c>
      <c r="AF74" s="383">
        <f t="shared" si="25"/>
        <v>0</v>
      </c>
      <c r="AG74" s="232">
        <f t="shared" si="25"/>
        <v>0</v>
      </c>
      <c r="AH74" s="384">
        <f t="shared" si="25"/>
        <v>0</v>
      </c>
      <c r="AI74" s="383">
        <f t="shared" si="25"/>
        <v>5.4159999999999994E-4</v>
      </c>
      <c r="AJ74" s="383">
        <f t="shared" si="25"/>
        <v>3.0256250000000001E-3</v>
      </c>
      <c r="AK74" s="383">
        <f t="shared" si="25"/>
        <v>0</v>
      </c>
      <c r="AL74" s="383">
        <f t="shared" si="25"/>
        <v>0</v>
      </c>
      <c r="AM74" s="383">
        <f t="shared" si="25"/>
        <v>0</v>
      </c>
      <c r="AN74" s="383"/>
      <c r="AO74" s="536"/>
      <c r="AP74" s="383">
        <f t="shared" ref="AP74:BE74" si="26">AP8*AP$59/100</f>
        <v>0.43940553191489357</v>
      </c>
      <c r="AQ74" s="383">
        <f t="shared" si="26"/>
        <v>0.77139999999999997</v>
      </c>
      <c r="AR74" s="383">
        <f t="shared" si="26"/>
        <v>0.429595</v>
      </c>
      <c r="AS74" s="232">
        <f t="shared" si="26"/>
        <v>0.74975999999999998</v>
      </c>
      <c r="AT74" s="384">
        <f t="shared" si="26"/>
        <v>0.78548000000000007</v>
      </c>
      <c r="AU74" s="383">
        <f t="shared" si="26"/>
        <v>1.0925666666666667</v>
      </c>
      <c r="AV74" s="383">
        <f t="shared" si="26"/>
        <v>0.46480000000000005</v>
      </c>
      <c r="AW74" s="383">
        <f t="shared" si="26"/>
        <v>0.70143</v>
      </c>
      <c r="AX74" s="383">
        <f t="shared" si="26"/>
        <v>0.25209916666666671</v>
      </c>
      <c r="AY74" s="232">
        <f t="shared" si="26"/>
        <v>0.24450500000000003</v>
      </c>
      <c r="AZ74" s="384">
        <f t="shared" si="26"/>
        <v>0.47149666666666668</v>
      </c>
      <c r="BA74" s="383">
        <f t="shared" si="26"/>
        <v>1.178415</v>
      </c>
      <c r="BB74" s="383">
        <f t="shared" si="26"/>
        <v>0.25311</v>
      </c>
      <c r="BC74" s="383">
        <f t="shared" si="26"/>
        <v>0.99098833333333336</v>
      </c>
      <c r="BD74" s="383">
        <f t="shared" si="26"/>
        <v>0.31859411764705881</v>
      </c>
      <c r="BE74" s="383">
        <f t="shared" si="26"/>
        <v>0.25844</v>
      </c>
      <c r="BF74" s="383">
        <f t="shared" ref="BF74" si="27">BF8*BF$59/100</f>
        <v>0</v>
      </c>
      <c r="BG74" s="487"/>
      <c r="BH74" s="383">
        <f t="shared" ref="BH74:BW74" si="28">BH$59*BH8/100</f>
        <v>9.0638297872340429E-2</v>
      </c>
      <c r="BI74" s="383">
        <f t="shared" si="28"/>
        <v>0.53749999999999998</v>
      </c>
      <c r="BJ74" s="383">
        <f t="shared" si="28"/>
        <v>1.7416666666666665</v>
      </c>
      <c r="BK74" s="232">
        <f t="shared" si="28"/>
        <v>0.68791666666666673</v>
      </c>
      <c r="BL74" s="384">
        <f t="shared" si="28"/>
        <v>1.13625</v>
      </c>
      <c r="BM74" s="383">
        <f t="shared" si="28"/>
        <v>0.16666666666666669</v>
      </c>
      <c r="BN74" s="383">
        <f t="shared" si="28"/>
        <v>0.3354166666666667</v>
      </c>
      <c r="BO74" s="383">
        <f t="shared" si="28"/>
        <v>0.28000000000000003</v>
      </c>
      <c r="BP74" s="383">
        <f t="shared" si="28"/>
        <v>0.23916666666666664</v>
      </c>
      <c r="BQ74" s="232">
        <f t="shared" si="28"/>
        <v>0.26250000000000001</v>
      </c>
      <c r="BR74" s="384">
        <f t="shared" si="28"/>
        <v>0.58625000000000005</v>
      </c>
      <c r="BS74" s="383">
        <f t="shared" si="28"/>
        <v>0.3091666666666667</v>
      </c>
      <c r="BT74" s="383">
        <f t="shared" si="28"/>
        <v>0.35133333333333333</v>
      </c>
      <c r="BU74" s="383">
        <f t="shared" si="28"/>
        <v>0.33600000000000002</v>
      </c>
      <c r="BV74" s="383">
        <f t="shared" si="28"/>
        <v>0.32647058823529412</v>
      </c>
      <c r="BW74" s="383">
        <f t="shared" si="28"/>
        <v>0.82733333333333325</v>
      </c>
      <c r="BX74" s="383">
        <f t="shared" ref="BX74" si="29">BX$59*BX8/100</f>
        <v>0</v>
      </c>
      <c r="BY74" s="536"/>
      <c r="BZ74" s="537"/>
      <c r="CA74" s="234"/>
      <c r="CB74" s="234"/>
      <c r="CC74" s="234"/>
      <c r="CD74" s="235"/>
      <c r="CE74" s="352"/>
      <c r="CF74" s="234"/>
      <c r="CG74" s="234"/>
      <c r="CH74" s="234"/>
      <c r="CI74" s="234"/>
      <c r="CJ74" s="235"/>
      <c r="CK74" s="352"/>
      <c r="CL74" s="234"/>
      <c r="CM74" s="234"/>
      <c r="CN74" s="234"/>
      <c r="CO74" s="234"/>
      <c r="CP74" s="234"/>
      <c r="CQ74" s="234"/>
      <c r="CR74" s="486"/>
      <c r="CS74" s="234"/>
      <c r="CT74" s="234"/>
      <c r="CU74" s="234"/>
      <c r="CV74" s="235"/>
      <c r="CW74" s="352"/>
      <c r="CX74" s="234"/>
      <c r="CY74" s="234"/>
      <c r="CZ74" s="234"/>
      <c r="DA74" s="234"/>
      <c r="DB74" s="235"/>
      <c r="DC74" s="352"/>
      <c r="DD74" s="234"/>
      <c r="DE74" s="234"/>
      <c r="DF74" s="234"/>
      <c r="DG74" s="234"/>
      <c r="DH74" s="234"/>
      <c r="DI74" s="234"/>
      <c r="DJ74" s="1" t="s">
        <v>191</v>
      </c>
    </row>
    <row r="75" spans="3:114" x14ac:dyDescent="0.25">
      <c r="C75" s="1" t="s">
        <v>125</v>
      </c>
      <c r="F75" s="322">
        <f t="shared" ref="F75:U75" si="30">F9*F$59/100</f>
        <v>2.3770212765957446E-2</v>
      </c>
      <c r="G75" s="261">
        <f t="shared" si="30"/>
        <v>2.2995000000000002E-2</v>
      </c>
      <c r="H75" s="261">
        <f t="shared" si="30"/>
        <v>2.2603732269503549E-2</v>
      </c>
      <c r="I75" s="1337">
        <f t="shared" si="30"/>
        <v>2.2619784946236558E-2</v>
      </c>
      <c r="J75" s="322">
        <f t="shared" si="30"/>
        <v>0</v>
      </c>
      <c r="K75" s="261">
        <f t="shared" si="30"/>
        <v>0</v>
      </c>
      <c r="L75" s="261">
        <f t="shared" si="30"/>
        <v>0</v>
      </c>
      <c r="M75" s="261">
        <f t="shared" si="30"/>
        <v>0</v>
      </c>
      <c r="N75" s="1418">
        <f t="shared" si="30"/>
        <v>0</v>
      </c>
      <c r="O75" s="1337">
        <f t="shared" si="30"/>
        <v>0</v>
      </c>
      <c r="P75" s="322">
        <f t="shared" si="30"/>
        <v>0</v>
      </c>
      <c r="Q75" s="261">
        <f t="shared" si="30"/>
        <v>0</v>
      </c>
      <c r="R75" s="261">
        <f t="shared" si="30"/>
        <v>0</v>
      </c>
      <c r="S75" s="1418">
        <f t="shared" si="30"/>
        <v>0</v>
      </c>
      <c r="T75" s="1418">
        <f t="shared" si="30"/>
        <v>0</v>
      </c>
      <c r="U75" s="1418">
        <f t="shared" si="30"/>
        <v>0</v>
      </c>
      <c r="V75" s="261"/>
      <c r="W75" s="451"/>
      <c r="X75" s="322">
        <f t="shared" ref="X75:AM75" si="31">X9*X$59/100</f>
        <v>0.31881446808510633</v>
      </c>
      <c r="Y75" s="261">
        <f t="shared" si="31"/>
        <v>2.5408449999999999E-2</v>
      </c>
      <c r="Z75" s="261">
        <f t="shared" si="31"/>
        <v>4.7661750000000001E-3</v>
      </c>
      <c r="AA75" s="310">
        <f t="shared" si="31"/>
        <v>0</v>
      </c>
      <c r="AB75" s="322">
        <f t="shared" si="31"/>
        <v>7.1624999999999996E-3</v>
      </c>
      <c r="AC75" s="261">
        <f t="shared" si="31"/>
        <v>6.3310500000000004E-3</v>
      </c>
      <c r="AD75" s="261">
        <f t="shared" si="31"/>
        <v>6.5336499999999994E-3</v>
      </c>
      <c r="AE75" s="261">
        <f t="shared" si="31"/>
        <v>3.3028000000000003E-3</v>
      </c>
      <c r="AF75" s="261">
        <f t="shared" si="31"/>
        <v>0</v>
      </c>
      <c r="AG75" s="310">
        <f t="shared" si="31"/>
        <v>0</v>
      </c>
      <c r="AH75" s="322">
        <f t="shared" si="31"/>
        <v>0</v>
      </c>
      <c r="AI75" s="261">
        <f t="shared" si="31"/>
        <v>1.5909499999999996E-3</v>
      </c>
      <c r="AJ75" s="261">
        <f t="shared" si="31"/>
        <v>5.7379166666666655E-3</v>
      </c>
      <c r="AK75" s="261">
        <f t="shared" si="31"/>
        <v>0</v>
      </c>
      <c r="AL75" s="261">
        <f t="shared" si="31"/>
        <v>0</v>
      </c>
      <c r="AM75" s="261">
        <f t="shared" si="31"/>
        <v>0</v>
      </c>
      <c r="AN75" s="261"/>
      <c r="AO75" s="433"/>
      <c r="AP75" s="261">
        <f t="shared" ref="AP75:BE75" si="32">AP9*AP$59/100</f>
        <v>1.7944953191489359</v>
      </c>
      <c r="AQ75" s="261">
        <f t="shared" si="32"/>
        <v>1.1658000000000002</v>
      </c>
      <c r="AR75" s="261">
        <f t="shared" si="32"/>
        <v>1.300165</v>
      </c>
      <c r="AS75" s="310">
        <f t="shared" si="32"/>
        <v>1.40296</v>
      </c>
      <c r="AT75" s="322">
        <f t="shared" si="32"/>
        <v>2.2824650000000002</v>
      </c>
      <c r="AU75" s="261">
        <f t="shared" si="32"/>
        <v>2.4021499999999998</v>
      </c>
      <c r="AV75" s="261">
        <f t="shared" si="32"/>
        <v>2.6360800000000002</v>
      </c>
      <c r="AW75" s="261">
        <f t="shared" si="32"/>
        <v>2.1521850000000002</v>
      </c>
      <c r="AX75" s="261">
        <f t="shared" si="32"/>
        <v>2.3565791666666667</v>
      </c>
      <c r="AY75" s="310">
        <f t="shared" si="32"/>
        <v>2.2964899999999999</v>
      </c>
      <c r="AZ75" s="322">
        <f t="shared" si="32"/>
        <v>2.8718433333333331</v>
      </c>
      <c r="BA75" s="261">
        <f t="shared" si="32"/>
        <v>2.6628525000000001</v>
      </c>
      <c r="BB75" s="261">
        <f t="shared" si="32"/>
        <v>2.339645</v>
      </c>
      <c r="BC75" s="261">
        <f t="shared" si="32"/>
        <v>2.9729649999999999</v>
      </c>
      <c r="BD75" s="261">
        <f t="shared" si="32"/>
        <v>2.9481611764705882</v>
      </c>
      <c r="BE75" s="261">
        <f t="shared" si="32"/>
        <v>1.7774342857142857</v>
      </c>
      <c r="BF75" s="261">
        <f t="shared" ref="BF75" si="33">BF9*BF$59/100</f>
        <v>0</v>
      </c>
      <c r="BG75" s="422"/>
      <c r="BH75" s="261">
        <f t="shared" ref="BH75:BW75" si="34">BH$59*BH9/100</f>
        <v>1.3142553191489363</v>
      </c>
      <c r="BI75" s="261">
        <f t="shared" si="34"/>
        <v>1.5766666666666669</v>
      </c>
      <c r="BJ75" s="261">
        <f t="shared" si="34"/>
        <v>4.2166666666666659</v>
      </c>
      <c r="BK75" s="310">
        <f t="shared" si="34"/>
        <v>2.3283333333333336</v>
      </c>
      <c r="BL75" s="322">
        <f t="shared" si="34"/>
        <v>5.9337499999999999</v>
      </c>
      <c r="BM75" s="261">
        <f t="shared" si="34"/>
        <v>1.6</v>
      </c>
      <c r="BN75" s="261">
        <f t="shared" si="34"/>
        <v>2.5395833333333333</v>
      </c>
      <c r="BO75" s="261">
        <f t="shared" si="34"/>
        <v>2.12</v>
      </c>
      <c r="BP75" s="261">
        <f t="shared" si="34"/>
        <v>1.7424999999999999</v>
      </c>
      <c r="BQ75" s="310">
        <f t="shared" si="34"/>
        <v>2.0550000000000002</v>
      </c>
      <c r="BR75" s="322">
        <f t="shared" si="34"/>
        <v>2.5724999999999998</v>
      </c>
      <c r="BS75" s="261">
        <f t="shared" si="34"/>
        <v>2.3496666666666668</v>
      </c>
      <c r="BT75" s="261">
        <f t="shared" si="34"/>
        <v>2.4593333333333338</v>
      </c>
      <c r="BU75" s="261">
        <f t="shared" si="34"/>
        <v>2.5106666666666668</v>
      </c>
      <c r="BV75" s="261">
        <f t="shared" si="34"/>
        <v>2.4970588235294118</v>
      </c>
      <c r="BW75" s="261">
        <f t="shared" si="34"/>
        <v>3.4674999999999998</v>
      </c>
      <c r="BX75" s="261">
        <f t="shared" ref="BX75" si="35">BX$59*BX9/100</f>
        <v>0</v>
      </c>
      <c r="BY75" s="433"/>
      <c r="BZ75" s="434"/>
      <c r="DC75" s="319"/>
      <c r="DD75" s="254"/>
      <c r="DE75" s="254"/>
      <c r="DJ75" s="1" t="s">
        <v>178</v>
      </c>
    </row>
    <row r="76" spans="3:114" x14ac:dyDescent="0.25">
      <c r="C76" s="1" t="s">
        <v>127</v>
      </c>
      <c r="F76" s="322">
        <f t="shared" ref="F76:U76" si="36">F10*F$59/100</f>
        <v>0.89647659574468097</v>
      </c>
      <c r="G76" s="261">
        <f t="shared" si="36"/>
        <v>0.86724000000000001</v>
      </c>
      <c r="H76" s="261">
        <f t="shared" si="36"/>
        <v>0.85248361702127662</v>
      </c>
      <c r="I76" s="1337">
        <f t="shared" si="36"/>
        <v>0.85308903225806443</v>
      </c>
      <c r="J76" s="322">
        <f t="shared" si="36"/>
        <v>4.8286080000000009E-2</v>
      </c>
      <c r="K76" s="261">
        <f t="shared" si="36"/>
        <v>5.4078260869565221E-2</v>
      </c>
      <c r="L76" s="261">
        <f t="shared" si="36"/>
        <v>5.8917391304347824E-2</v>
      </c>
      <c r="M76" s="261">
        <f t="shared" si="36"/>
        <v>5.4678260869565218E-2</v>
      </c>
      <c r="N76" s="1418">
        <f t="shared" si="36"/>
        <v>5.4313043478260867E-2</v>
      </c>
      <c r="O76" s="1337">
        <f t="shared" si="36"/>
        <v>5.5043478260869562E-2</v>
      </c>
      <c r="P76" s="322">
        <f t="shared" si="36"/>
        <v>0</v>
      </c>
      <c r="Q76" s="261">
        <f t="shared" si="36"/>
        <v>0</v>
      </c>
      <c r="R76" s="261">
        <f t="shared" si="36"/>
        <v>0</v>
      </c>
      <c r="S76" s="1418">
        <f t="shared" si="36"/>
        <v>0</v>
      </c>
      <c r="T76" s="1418">
        <f t="shared" si="36"/>
        <v>0</v>
      </c>
      <c r="U76" s="1418">
        <f t="shared" si="36"/>
        <v>0</v>
      </c>
      <c r="V76" s="261"/>
      <c r="W76" s="451"/>
      <c r="X76" s="322">
        <f t="shared" ref="X76:AM76" si="37">X10*X$59/100</f>
        <v>0.10122127659574469</v>
      </c>
      <c r="Y76" s="261">
        <f t="shared" si="37"/>
        <v>1.89333E-2</v>
      </c>
      <c r="Z76" s="261">
        <f t="shared" si="37"/>
        <v>1.329003E-2</v>
      </c>
      <c r="AA76" s="310">
        <f t="shared" si="37"/>
        <v>0</v>
      </c>
      <c r="AB76" s="322">
        <f t="shared" si="37"/>
        <v>1.72625E-2</v>
      </c>
      <c r="AC76" s="261">
        <f t="shared" si="37"/>
        <v>1.9722180000000002E-2</v>
      </c>
      <c r="AD76" s="261">
        <f t="shared" si="37"/>
        <v>2.4468300000000002E-2</v>
      </c>
      <c r="AE76" s="261">
        <f t="shared" si="37"/>
        <v>1.2152149999999999E-2</v>
      </c>
      <c r="AF76" s="261">
        <f t="shared" si="37"/>
        <v>0</v>
      </c>
      <c r="AG76" s="310">
        <f t="shared" si="37"/>
        <v>0</v>
      </c>
      <c r="AH76" s="322">
        <f t="shared" si="37"/>
        <v>0</v>
      </c>
      <c r="AI76" s="261">
        <f t="shared" si="37"/>
        <v>1.1712099999999998E-2</v>
      </c>
      <c r="AJ76" s="261">
        <f t="shared" si="37"/>
        <v>2.2383750000000001E-2</v>
      </c>
      <c r="AK76" s="261">
        <f t="shared" si="37"/>
        <v>0</v>
      </c>
      <c r="AL76" s="261">
        <f t="shared" si="37"/>
        <v>0</v>
      </c>
      <c r="AM76" s="261">
        <f t="shared" si="37"/>
        <v>0</v>
      </c>
      <c r="AN76" s="261"/>
      <c r="AO76" s="433"/>
      <c r="AP76" s="261">
        <f t="shared" ref="AP76:BE76" si="38">AP10*AP$59/100</f>
        <v>7.159544680851063</v>
      </c>
      <c r="AQ76" s="261">
        <f t="shared" si="38"/>
        <v>5.5476999999999999</v>
      </c>
      <c r="AR76" s="261">
        <f t="shared" si="38"/>
        <v>6.1708050000000005</v>
      </c>
      <c r="AS76" s="310">
        <f t="shared" si="38"/>
        <v>5.7225999999999999</v>
      </c>
      <c r="AT76" s="322">
        <f t="shared" si="38"/>
        <v>9.4365199999999998</v>
      </c>
      <c r="AU76" s="261">
        <f t="shared" si="38"/>
        <v>9.9214033333333322</v>
      </c>
      <c r="AV76" s="261">
        <f t="shared" si="38"/>
        <v>11.693039999999998</v>
      </c>
      <c r="AW76" s="261">
        <f t="shared" si="38"/>
        <v>10.5678</v>
      </c>
      <c r="AX76" s="261">
        <f t="shared" si="38"/>
        <v>11.497914166666668</v>
      </c>
      <c r="AY76" s="310">
        <f t="shared" si="38"/>
        <v>10.5833525</v>
      </c>
      <c r="AZ76" s="322">
        <f t="shared" si="38"/>
        <v>11.787416666666667</v>
      </c>
      <c r="BA76" s="261">
        <f t="shared" si="38"/>
        <v>10.674247500000002</v>
      </c>
      <c r="BB76" s="261">
        <f t="shared" si="38"/>
        <v>12.0535525</v>
      </c>
      <c r="BC76" s="261">
        <f t="shared" si="38"/>
        <v>12.70058</v>
      </c>
      <c r="BD76" s="261">
        <f t="shared" si="38"/>
        <v>13.335883529411763</v>
      </c>
      <c r="BE76" s="261">
        <f t="shared" si="38"/>
        <v>8.4625914285714288</v>
      </c>
      <c r="BF76" s="261">
        <f t="shared" ref="BF76" si="39">BF10*BF$59/100</f>
        <v>0</v>
      </c>
      <c r="BG76" s="422"/>
      <c r="BH76" s="261">
        <f t="shared" ref="BH76:BW76" si="40">BH$59*BH10/100</f>
        <v>1.9713829787234045</v>
      </c>
      <c r="BI76" s="261">
        <f t="shared" si="40"/>
        <v>2.8308333333333335</v>
      </c>
      <c r="BJ76" s="261">
        <f t="shared" si="40"/>
        <v>6.6916666666666664</v>
      </c>
      <c r="BK76" s="310">
        <f t="shared" si="40"/>
        <v>3.96875</v>
      </c>
      <c r="BL76" s="322">
        <f t="shared" si="40"/>
        <v>9.9737500000000008</v>
      </c>
      <c r="BM76" s="261">
        <f t="shared" si="40"/>
        <v>3.0333333333333337</v>
      </c>
      <c r="BN76" s="261">
        <f t="shared" si="40"/>
        <v>4.3125</v>
      </c>
      <c r="BO76" s="261">
        <f t="shared" si="40"/>
        <v>3.6</v>
      </c>
      <c r="BP76" s="261">
        <f t="shared" si="40"/>
        <v>3.1433333333333331</v>
      </c>
      <c r="BQ76" s="310">
        <f t="shared" si="40"/>
        <v>3.4049999999999998</v>
      </c>
      <c r="BR76" s="322">
        <f t="shared" si="40"/>
        <v>3.71</v>
      </c>
      <c r="BS76" s="261">
        <f t="shared" si="40"/>
        <v>3.8424999999999998</v>
      </c>
      <c r="BT76" s="261">
        <f t="shared" si="40"/>
        <v>4.5776666666666666</v>
      </c>
      <c r="BU76" s="261">
        <f t="shared" si="40"/>
        <v>4.1626666666666674</v>
      </c>
      <c r="BV76" s="261">
        <f t="shared" si="40"/>
        <v>3.9441176470588242</v>
      </c>
      <c r="BW76" s="261">
        <f t="shared" si="40"/>
        <v>5.1100000000000003</v>
      </c>
      <c r="BX76" s="261">
        <f t="shared" ref="BX76" si="41">BX$59*BX10/100</f>
        <v>0</v>
      </c>
      <c r="BY76" s="433"/>
      <c r="BZ76" s="434"/>
      <c r="DJ76" s="1" t="s">
        <v>179</v>
      </c>
    </row>
    <row r="77" spans="3:114" x14ac:dyDescent="0.25">
      <c r="C77" s="1" t="s">
        <v>128</v>
      </c>
      <c r="F77" s="322">
        <f t="shared" ref="F77:U77" si="42">F11*F$59/100</f>
        <v>3.5349702127659572</v>
      </c>
      <c r="G77" s="261">
        <f t="shared" si="42"/>
        <v>3.4196849999999994</v>
      </c>
      <c r="H77" s="261">
        <f t="shared" si="42"/>
        <v>3.3614978989361703</v>
      </c>
      <c r="I77" s="1337">
        <f t="shared" si="42"/>
        <v>3.3638851612903222</v>
      </c>
      <c r="J77" s="322">
        <f t="shared" si="42"/>
        <v>0.26557344000000005</v>
      </c>
      <c r="K77" s="261">
        <f t="shared" si="42"/>
        <v>0.29743043478260872</v>
      </c>
      <c r="L77" s="261">
        <f t="shared" si="42"/>
        <v>0.32404565217391307</v>
      </c>
      <c r="M77" s="261">
        <f t="shared" si="42"/>
        <v>0.30073043478260875</v>
      </c>
      <c r="N77" s="1418">
        <f t="shared" si="42"/>
        <v>0.29872173913043482</v>
      </c>
      <c r="O77" s="1337">
        <f t="shared" si="42"/>
        <v>0.30273913043478262</v>
      </c>
      <c r="P77" s="322">
        <f t="shared" si="42"/>
        <v>0.40515000000000001</v>
      </c>
      <c r="Q77" s="261">
        <f t="shared" si="42"/>
        <v>0.40714956521739132</v>
      </c>
      <c r="R77" s="261">
        <f t="shared" si="42"/>
        <v>0.42743086956521736</v>
      </c>
      <c r="S77" s="1418">
        <f t="shared" si="42"/>
        <v>0.40848260869565217</v>
      </c>
      <c r="T77" s="1418">
        <f t="shared" si="42"/>
        <v>0.39611624999999995</v>
      </c>
      <c r="U77" s="1418">
        <f t="shared" si="42"/>
        <v>0.40464461538461544</v>
      </c>
      <c r="V77" s="261"/>
      <c r="W77" s="451"/>
      <c r="X77" s="322">
        <f t="shared" ref="X77:AM77" si="43">X11*X$59/100</f>
        <v>1.9754042553191492E-2</v>
      </c>
      <c r="Y77" s="261">
        <f t="shared" si="43"/>
        <v>2.8052549999999999E-2</v>
      </c>
      <c r="Z77" s="261">
        <f t="shared" si="43"/>
        <v>4.2052859999999997E-2</v>
      </c>
      <c r="AA77" s="310">
        <f t="shared" si="43"/>
        <v>0</v>
      </c>
      <c r="AB77" s="322">
        <f t="shared" si="43"/>
        <v>5.7325000000000001E-2</v>
      </c>
      <c r="AC77" s="261">
        <f t="shared" si="43"/>
        <v>5.8795630000000008E-2</v>
      </c>
      <c r="AD77" s="261">
        <f t="shared" si="43"/>
        <v>5.8748037499999996E-2</v>
      </c>
      <c r="AE77" s="261">
        <f t="shared" si="43"/>
        <v>2.7631033333333336E-2</v>
      </c>
      <c r="AF77" s="261">
        <f t="shared" si="43"/>
        <v>0</v>
      </c>
      <c r="AG77" s="310">
        <f t="shared" si="43"/>
        <v>0</v>
      </c>
      <c r="AH77" s="322">
        <f t="shared" si="43"/>
        <v>0</v>
      </c>
      <c r="AI77" s="261">
        <f t="shared" si="43"/>
        <v>5.0684733333333322E-2</v>
      </c>
      <c r="AJ77" s="261">
        <f t="shared" si="43"/>
        <v>5.6096458333333335E-2</v>
      </c>
      <c r="AK77" s="261">
        <f t="shared" si="43"/>
        <v>0</v>
      </c>
      <c r="AL77" s="261">
        <f t="shared" si="43"/>
        <v>0</v>
      </c>
      <c r="AM77" s="261">
        <f t="shared" si="43"/>
        <v>0</v>
      </c>
      <c r="AN77" s="261"/>
      <c r="AO77" s="433"/>
      <c r="AP77" s="261">
        <f t="shared" ref="AP77:BE77" si="44">AP11*AP$59/100</f>
        <v>20.467694042553191</v>
      </c>
      <c r="AQ77" s="261">
        <f t="shared" si="44"/>
        <v>17.893000000000001</v>
      </c>
      <c r="AR77" s="261">
        <f t="shared" si="44"/>
        <v>18.80545</v>
      </c>
      <c r="AS77" s="310">
        <f t="shared" si="44"/>
        <v>18.4742</v>
      </c>
      <c r="AT77" s="322">
        <f t="shared" si="44"/>
        <v>21.674674999999997</v>
      </c>
      <c r="AU77" s="261">
        <f t="shared" si="44"/>
        <v>21.188309999999998</v>
      </c>
      <c r="AV77" s="261">
        <f t="shared" si="44"/>
        <v>24.478360000000002</v>
      </c>
      <c r="AW77" s="261">
        <f t="shared" si="44"/>
        <v>22.237185</v>
      </c>
      <c r="AX77" s="261">
        <f t="shared" si="44"/>
        <v>22.349139166666667</v>
      </c>
      <c r="AY77" s="310">
        <f t="shared" si="44"/>
        <v>21.214677499999997</v>
      </c>
      <c r="AZ77" s="322">
        <f t="shared" si="44"/>
        <v>23.363578333333336</v>
      </c>
      <c r="BA77" s="261">
        <f t="shared" si="44"/>
        <v>22.255905000000002</v>
      </c>
      <c r="BB77" s="261">
        <f t="shared" si="44"/>
        <v>24.744747499999999</v>
      </c>
      <c r="BC77" s="261">
        <f t="shared" si="44"/>
        <v>24.108433333333334</v>
      </c>
      <c r="BD77" s="261">
        <f t="shared" si="44"/>
        <v>25.013523529411763</v>
      </c>
      <c r="BE77" s="261">
        <f t="shared" si="44"/>
        <v>19.136427142857144</v>
      </c>
      <c r="BF77" s="261">
        <f t="shared" ref="BF77" si="45">BF11*BF$59/100</f>
        <v>0</v>
      </c>
      <c r="BG77" s="422"/>
      <c r="BH77" s="261">
        <f t="shared" ref="BH77:BW77" si="46">BH$59*BH11/100</f>
        <v>0.74776595744680863</v>
      </c>
      <c r="BI77" s="261">
        <f t="shared" si="46"/>
        <v>1.6483333333333334</v>
      </c>
      <c r="BJ77" s="261">
        <f t="shared" si="46"/>
        <v>4.4000000000000004</v>
      </c>
      <c r="BK77" s="310">
        <f t="shared" si="46"/>
        <v>2.8045833333333339</v>
      </c>
      <c r="BL77" s="322">
        <f t="shared" si="46"/>
        <v>6.4387499999999998</v>
      </c>
      <c r="BM77" s="261">
        <f t="shared" si="46"/>
        <v>1.5666666666666669</v>
      </c>
      <c r="BN77" s="261">
        <f t="shared" si="46"/>
        <v>2.0604166666666668</v>
      </c>
      <c r="BO77" s="261">
        <f t="shared" si="46"/>
        <v>1.72</v>
      </c>
      <c r="BP77" s="261">
        <f t="shared" si="46"/>
        <v>1.4691666666666665</v>
      </c>
      <c r="BQ77" s="310">
        <f t="shared" si="46"/>
        <v>1.5225</v>
      </c>
      <c r="BR77" s="322">
        <f t="shared" si="46"/>
        <v>1.61</v>
      </c>
      <c r="BS77" s="261">
        <f t="shared" si="46"/>
        <v>1.8373333333333335</v>
      </c>
      <c r="BT77" s="261">
        <f t="shared" si="46"/>
        <v>2.4593333333333338</v>
      </c>
      <c r="BU77" s="261">
        <f t="shared" si="46"/>
        <v>1.96</v>
      </c>
      <c r="BV77" s="261">
        <f t="shared" si="46"/>
        <v>1.7558823529411764</v>
      </c>
      <c r="BW77" s="261">
        <f t="shared" si="46"/>
        <v>2.3725000000000001</v>
      </c>
      <c r="BX77" s="261">
        <f t="shared" ref="BX77" si="47">BX$59*BX11/100</f>
        <v>0</v>
      </c>
      <c r="BY77" s="433"/>
      <c r="BZ77" s="434"/>
      <c r="DC77" s="328"/>
      <c r="DD77" s="263"/>
      <c r="DE77" s="263"/>
      <c r="DJ77" s="1" t="s">
        <v>180</v>
      </c>
    </row>
    <row r="78" spans="3:114" x14ac:dyDescent="0.25">
      <c r="C78" s="1" t="s">
        <v>168</v>
      </c>
      <c r="F78" s="322">
        <f t="shared" ref="F78:U78" si="48">F12*F$59/100</f>
        <v>16.1060170212766</v>
      </c>
      <c r="G78" s="261">
        <f t="shared" si="48"/>
        <v>15.580755000000002</v>
      </c>
      <c r="H78" s="261">
        <f t="shared" si="48"/>
        <v>15.315643164893618</v>
      </c>
      <c r="I78" s="1337">
        <f t="shared" si="48"/>
        <v>15.32652</v>
      </c>
      <c r="J78" s="322">
        <f t="shared" si="48"/>
        <v>0.75970099200000007</v>
      </c>
      <c r="K78" s="261">
        <f t="shared" si="48"/>
        <v>0.85083130434782617</v>
      </c>
      <c r="L78" s="261">
        <f t="shared" si="48"/>
        <v>0.9269669565217391</v>
      </c>
      <c r="M78" s="261">
        <f t="shared" si="48"/>
        <v>0.86027130434782606</v>
      </c>
      <c r="N78" s="1418">
        <f t="shared" si="48"/>
        <v>0.85452521739130427</v>
      </c>
      <c r="O78" s="1337">
        <f t="shared" si="48"/>
        <v>0.86601739130434785</v>
      </c>
      <c r="P78" s="322">
        <f t="shared" si="48"/>
        <v>1.4892500000000002</v>
      </c>
      <c r="Q78" s="261">
        <f t="shared" si="48"/>
        <v>1.4966000000000002</v>
      </c>
      <c r="R78" s="261">
        <f t="shared" si="48"/>
        <v>1.57115</v>
      </c>
      <c r="S78" s="1418">
        <f t="shared" si="48"/>
        <v>1.5015000000000001</v>
      </c>
      <c r="T78" s="1418">
        <f t="shared" si="48"/>
        <v>1.4560437500000001</v>
      </c>
      <c r="U78" s="1418">
        <f t="shared" si="48"/>
        <v>1.4873923076923077</v>
      </c>
      <c r="V78" s="261"/>
      <c r="W78" s="451"/>
      <c r="X78" s="322">
        <f t="shared" ref="X78:AM78" si="49">X12*X$59/100</f>
        <v>5.9300425531914891E-2</v>
      </c>
      <c r="Y78" s="261">
        <f t="shared" si="49"/>
        <v>9.898005E-2</v>
      </c>
      <c r="Z78" s="261">
        <f t="shared" si="49"/>
        <v>0.14585877</v>
      </c>
      <c r="AA78" s="310">
        <f t="shared" si="49"/>
        <v>0</v>
      </c>
      <c r="AB78" s="322">
        <f t="shared" si="49"/>
        <v>0.19083749999999999</v>
      </c>
      <c r="AC78" s="261">
        <f t="shared" si="49"/>
        <v>0.16277833</v>
      </c>
      <c r="AD78" s="261">
        <f t="shared" si="49"/>
        <v>0.13572671249999999</v>
      </c>
      <c r="AE78" s="261">
        <f t="shared" si="49"/>
        <v>6.3411366666666663E-2</v>
      </c>
      <c r="AF78" s="261">
        <f t="shared" si="49"/>
        <v>0</v>
      </c>
      <c r="AG78" s="310">
        <f t="shared" si="49"/>
        <v>0</v>
      </c>
      <c r="AH78" s="322">
        <f t="shared" si="49"/>
        <v>0</v>
      </c>
      <c r="AI78" s="261">
        <f t="shared" si="49"/>
        <v>0.12350736666666665</v>
      </c>
      <c r="AJ78" s="261">
        <f t="shared" si="49"/>
        <v>0.12146562499999998</v>
      </c>
      <c r="AK78" s="261">
        <f t="shared" si="49"/>
        <v>0</v>
      </c>
      <c r="AL78" s="261">
        <f t="shared" si="49"/>
        <v>0</v>
      </c>
      <c r="AM78" s="261">
        <f t="shared" si="49"/>
        <v>0</v>
      </c>
      <c r="AN78" s="261"/>
      <c r="AO78" s="433"/>
      <c r="AP78" s="261">
        <f t="shared" ref="AP78:BE78" si="50">AP12*AP$59/100</f>
        <v>51.683923404255317</v>
      </c>
      <c r="AQ78" s="261">
        <f t="shared" si="50"/>
        <v>46.840800000000002</v>
      </c>
      <c r="AR78" s="261">
        <f t="shared" si="50"/>
        <v>48.401985000000003</v>
      </c>
      <c r="AS78" s="310">
        <f t="shared" si="50"/>
        <v>47.819920000000003</v>
      </c>
      <c r="AT78" s="322">
        <f t="shared" si="50"/>
        <v>35.674779999999998</v>
      </c>
      <c r="AU78" s="261">
        <f t="shared" si="50"/>
        <v>34.914239999999992</v>
      </c>
      <c r="AV78" s="261">
        <f t="shared" si="50"/>
        <v>40.246700000000004</v>
      </c>
      <c r="AW78" s="261">
        <f t="shared" si="50"/>
        <v>37.429169999999999</v>
      </c>
      <c r="AX78" s="261">
        <f t="shared" si="50"/>
        <v>36.815873333333336</v>
      </c>
      <c r="AY78" s="310">
        <f t="shared" si="50"/>
        <v>35.54298</v>
      </c>
      <c r="AZ78" s="322">
        <f t="shared" si="50"/>
        <v>35.209166666666668</v>
      </c>
      <c r="BA78" s="261">
        <f t="shared" si="50"/>
        <v>33.671610000000001</v>
      </c>
      <c r="BB78" s="261">
        <f t="shared" si="50"/>
        <v>39.270990000000005</v>
      </c>
      <c r="BC78" s="261">
        <f t="shared" si="50"/>
        <v>37.302209999999995</v>
      </c>
      <c r="BD78" s="261">
        <f t="shared" si="50"/>
        <v>38.77678941176471</v>
      </c>
      <c r="BE78" s="261">
        <f t="shared" si="50"/>
        <v>29.684998571428572</v>
      </c>
      <c r="BF78" s="261">
        <f t="shared" ref="BF78" si="51">BF12*BF$59/100</f>
        <v>0</v>
      </c>
      <c r="BG78" s="422"/>
      <c r="BH78" s="261">
        <f t="shared" ref="BH78:BW78" si="52">BH$59*BH12/100</f>
        <v>0.40787234042553194</v>
      </c>
      <c r="BI78" s="261">
        <f t="shared" si="52"/>
        <v>0.57333333333333336</v>
      </c>
      <c r="BJ78" s="261">
        <f t="shared" si="52"/>
        <v>1.2833333333333332</v>
      </c>
      <c r="BK78" s="310">
        <f t="shared" si="52"/>
        <v>0.79374999999999996</v>
      </c>
      <c r="BL78" s="322">
        <f t="shared" si="52"/>
        <v>1.7675000000000001</v>
      </c>
      <c r="BM78" s="261">
        <f t="shared" si="52"/>
        <v>0.3</v>
      </c>
      <c r="BN78" s="261">
        <f t="shared" si="52"/>
        <v>0.3354166666666667</v>
      </c>
      <c r="BO78" s="261">
        <f t="shared" si="52"/>
        <v>0.28000000000000003</v>
      </c>
      <c r="BP78" s="261">
        <f t="shared" si="52"/>
        <v>0.23916666666666664</v>
      </c>
      <c r="BQ78" s="310">
        <f t="shared" si="52"/>
        <v>0.255</v>
      </c>
      <c r="BR78" s="322">
        <f t="shared" si="52"/>
        <v>0.27124999999999999</v>
      </c>
      <c r="BS78" s="261">
        <f t="shared" si="52"/>
        <v>0.4946666666666667</v>
      </c>
      <c r="BT78" s="261">
        <f t="shared" si="52"/>
        <v>0.48566666666666669</v>
      </c>
      <c r="BU78" s="261">
        <f t="shared" si="52"/>
        <v>0.36399999999999999</v>
      </c>
      <c r="BV78" s="261">
        <f t="shared" si="52"/>
        <v>0.3</v>
      </c>
      <c r="BW78" s="261">
        <f t="shared" si="52"/>
        <v>0.38933333333333336</v>
      </c>
      <c r="BX78" s="261">
        <f t="shared" ref="BX78" si="53">BX$59*BX12/100</f>
        <v>0</v>
      </c>
      <c r="BY78" s="433"/>
      <c r="BZ78" s="434"/>
      <c r="DC78" s="328"/>
      <c r="DD78" s="263"/>
      <c r="DE78" s="263"/>
      <c r="DJ78" s="1" t="s">
        <v>181</v>
      </c>
    </row>
    <row r="79" spans="3:114" x14ac:dyDescent="0.25">
      <c r="C79" s="1" t="s">
        <v>169</v>
      </c>
      <c r="F79" s="322">
        <f t="shared" ref="F79:U79" si="54">F13*F$59/100</f>
        <v>18.078944680851063</v>
      </c>
      <c r="G79" s="261">
        <f t="shared" si="54"/>
        <v>17.489339999999999</v>
      </c>
      <c r="H79" s="261">
        <f t="shared" si="54"/>
        <v>17.191752943262411</v>
      </c>
      <c r="I79" s="1337">
        <f t="shared" si="54"/>
        <v>17.203962150537635</v>
      </c>
      <c r="J79" s="322">
        <f t="shared" si="54"/>
        <v>5.0555525760000002</v>
      </c>
      <c r="K79" s="261">
        <f t="shared" si="54"/>
        <v>5.661993913043478</v>
      </c>
      <c r="L79" s="261">
        <f t="shared" si="54"/>
        <v>6.1686508695652176</v>
      </c>
      <c r="M79" s="261">
        <f t="shared" si="54"/>
        <v>5.7248139130434792</v>
      </c>
      <c r="N79" s="1418">
        <f t="shared" si="54"/>
        <v>5.6865756521739126</v>
      </c>
      <c r="O79" s="1337">
        <f t="shared" si="54"/>
        <v>5.763052173913044</v>
      </c>
      <c r="P79" s="322">
        <f t="shared" si="54"/>
        <v>9.7698499999999981</v>
      </c>
      <c r="Q79" s="261">
        <f t="shared" si="54"/>
        <v>9.8180678260869563</v>
      </c>
      <c r="R79" s="261">
        <f t="shared" si="54"/>
        <v>10.307134347826086</v>
      </c>
      <c r="S79" s="1418">
        <f t="shared" si="54"/>
        <v>9.8502130434782593</v>
      </c>
      <c r="T79" s="1418">
        <f t="shared" si="54"/>
        <v>9.5520087500000006</v>
      </c>
      <c r="U79" s="1418">
        <f t="shared" si="54"/>
        <v>9.7576630769230768</v>
      </c>
      <c r="V79" s="261"/>
      <c r="W79" s="451"/>
      <c r="X79" s="322">
        <f t="shared" ref="X79:AM79" si="55">X13*X$59/100</f>
        <v>4.2464680851063828E-2</v>
      </c>
      <c r="Y79" s="261">
        <f t="shared" si="55"/>
        <v>8.3414599999999992E-2</v>
      </c>
      <c r="Z79" s="261">
        <f t="shared" si="55"/>
        <v>0.12937747499999999</v>
      </c>
      <c r="AA79" s="310">
        <f t="shared" si="55"/>
        <v>0</v>
      </c>
      <c r="AB79" s="322">
        <f t="shared" si="55"/>
        <v>0.1925375</v>
      </c>
      <c r="AC79" s="261">
        <f t="shared" si="55"/>
        <v>0.14689315</v>
      </c>
      <c r="AD79" s="261">
        <f t="shared" si="55"/>
        <v>0.117320675</v>
      </c>
      <c r="AE79" s="261">
        <f t="shared" si="55"/>
        <v>5.7577616666666651E-2</v>
      </c>
      <c r="AF79" s="261">
        <f t="shared" si="55"/>
        <v>0</v>
      </c>
      <c r="AG79" s="310">
        <f t="shared" si="55"/>
        <v>0</v>
      </c>
      <c r="AH79" s="322">
        <f t="shared" si="55"/>
        <v>0</v>
      </c>
      <c r="AI79" s="261">
        <f t="shared" si="55"/>
        <v>0.11140034999999998</v>
      </c>
      <c r="AJ79" s="261">
        <f t="shared" si="55"/>
        <v>9.9336458333333336E-2</v>
      </c>
      <c r="AK79" s="261">
        <f t="shared" si="55"/>
        <v>0</v>
      </c>
      <c r="AL79" s="261">
        <f t="shared" si="55"/>
        <v>0</v>
      </c>
      <c r="AM79" s="261">
        <f t="shared" si="55"/>
        <v>0</v>
      </c>
      <c r="AN79" s="261"/>
      <c r="AO79" s="433"/>
      <c r="AP79" s="261">
        <f t="shared" ref="AP79:BE79" si="56">AP13*AP$59/100</f>
        <v>41.009134468085101</v>
      </c>
      <c r="AQ79" s="261">
        <f t="shared" si="56"/>
        <v>34.260599999999997</v>
      </c>
      <c r="AR79" s="261">
        <f t="shared" si="56"/>
        <v>35.821394999999995</v>
      </c>
      <c r="AS79" s="310">
        <f t="shared" si="56"/>
        <v>35.448880000000003</v>
      </c>
      <c r="AT79" s="322">
        <f t="shared" si="56"/>
        <v>17.448685000000001</v>
      </c>
      <c r="AU79" s="261">
        <f t="shared" si="56"/>
        <v>18.771193333333329</v>
      </c>
      <c r="AV79" s="261">
        <f t="shared" si="56"/>
        <v>22.41996</v>
      </c>
      <c r="AW79" s="261">
        <f t="shared" si="56"/>
        <v>20.398634999999999</v>
      </c>
      <c r="AX79" s="261">
        <f t="shared" si="56"/>
        <v>20.164801666666666</v>
      </c>
      <c r="AY79" s="310">
        <f t="shared" si="56"/>
        <v>19.846687499999998</v>
      </c>
      <c r="AZ79" s="322">
        <f t="shared" si="56"/>
        <v>18.529206666666667</v>
      </c>
      <c r="BA79" s="261">
        <f t="shared" si="56"/>
        <v>17.597055000000001</v>
      </c>
      <c r="BB79" s="261">
        <f t="shared" si="56"/>
        <v>20.206615000000003</v>
      </c>
      <c r="BC79" s="261">
        <f t="shared" si="56"/>
        <v>19.009515</v>
      </c>
      <c r="BD79" s="261">
        <f t="shared" si="56"/>
        <v>19.65958823529412</v>
      </c>
      <c r="BE79" s="261">
        <f t="shared" si="56"/>
        <v>15.784618571428574</v>
      </c>
      <c r="BF79" s="261">
        <f t="shared" ref="BF79" si="57">BF13*BF$59/100</f>
        <v>0</v>
      </c>
      <c r="BG79" s="422"/>
      <c r="BH79" s="261">
        <f t="shared" ref="BH79:BW79" si="58">BH$59*BH13/100</f>
        <v>0</v>
      </c>
      <c r="BI79" s="261">
        <f t="shared" si="58"/>
        <v>0</v>
      </c>
      <c r="BJ79" s="261">
        <f t="shared" si="58"/>
        <v>0</v>
      </c>
      <c r="BK79" s="310">
        <f t="shared" si="58"/>
        <v>0</v>
      </c>
      <c r="BL79" s="322">
        <f t="shared" si="58"/>
        <v>0</v>
      </c>
      <c r="BM79" s="261">
        <f t="shared" si="58"/>
        <v>0</v>
      </c>
      <c r="BN79" s="261">
        <f t="shared" si="58"/>
        <v>0</v>
      </c>
      <c r="BO79" s="261">
        <f t="shared" si="58"/>
        <v>0</v>
      </c>
      <c r="BP79" s="261">
        <f t="shared" si="58"/>
        <v>0</v>
      </c>
      <c r="BQ79" s="310">
        <f t="shared" si="58"/>
        <v>0</v>
      </c>
      <c r="BR79" s="322">
        <f t="shared" si="58"/>
        <v>0</v>
      </c>
      <c r="BS79" s="261">
        <f t="shared" si="58"/>
        <v>0</v>
      </c>
      <c r="BT79" s="261">
        <f t="shared" si="58"/>
        <v>0</v>
      </c>
      <c r="BU79" s="261">
        <f t="shared" si="58"/>
        <v>0</v>
      </c>
      <c r="BV79" s="261">
        <f t="shared" si="58"/>
        <v>0</v>
      </c>
      <c r="BW79" s="261">
        <f t="shared" si="58"/>
        <v>0</v>
      </c>
      <c r="BX79" s="261">
        <f t="shared" ref="BX79" si="59">BX$59*BX13/100</f>
        <v>0</v>
      </c>
      <c r="BY79" s="433"/>
      <c r="BZ79" s="434"/>
      <c r="DC79" s="328"/>
      <c r="DD79" s="263"/>
      <c r="DE79" s="263"/>
      <c r="DJ79" s="1" t="s">
        <v>182</v>
      </c>
    </row>
    <row r="80" spans="3:114" x14ac:dyDescent="0.25">
      <c r="C80" s="1" t="s">
        <v>397</v>
      </c>
      <c r="F80" s="322">
        <f t="shared" ref="F80:U80" si="60">F14*F$59/100</f>
        <v>300.9342893617021</v>
      </c>
      <c r="G80" s="261">
        <f t="shared" si="60"/>
        <v>291.11998499999999</v>
      </c>
      <c r="H80" s="261">
        <f t="shared" si="60"/>
        <v>286.1664796365248</v>
      </c>
      <c r="I80" s="1337">
        <f t="shared" si="60"/>
        <v>286.36970881720424</v>
      </c>
      <c r="J80" s="322">
        <f t="shared" si="60"/>
        <v>154.82448691200003</v>
      </c>
      <c r="K80" s="261">
        <f t="shared" si="60"/>
        <v>173.39653565217395</v>
      </c>
      <c r="L80" s="261">
        <f t="shared" si="60"/>
        <v>188.91272347826089</v>
      </c>
      <c r="M80" s="261">
        <f t="shared" si="60"/>
        <v>175.32037565217394</v>
      </c>
      <c r="N80" s="1418">
        <f t="shared" si="60"/>
        <v>174.14934260869566</v>
      </c>
      <c r="O80" s="1337">
        <f t="shared" si="60"/>
        <v>176.49140869565218</v>
      </c>
      <c r="P80" s="322">
        <f t="shared" si="60"/>
        <v>173.33574999999996</v>
      </c>
      <c r="Q80" s="261">
        <f t="shared" si="60"/>
        <v>174.19122608695653</v>
      </c>
      <c r="R80" s="261">
        <f t="shared" si="60"/>
        <v>182.86819782608694</v>
      </c>
      <c r="S80" s="1418">
        <f t="shared" si="60"/>
        <v>174.76154347826088</v>
      </c>
      <c r="T80" s="1418">
        <f t="shared" si="60"/>
        <v>169.47083124999997</v>
      </c>
      <c r="U80" s="1418">
        <f t="shared" si="60"/>
        <v>173.11953076923078</v>
      </c>
      <c r="V80" s="261"/>
      <c r="W80" s="451"/>
      <c r="X80" s="322">
        <f t="shared" ref="X80:AM80" si="61">X14*X$59/100</f>
        <v>0.22331489361702128</v>
      </c>
      <c r="Y80" s="261">
        <f t="shared" si="61"/>
        <v>0.70534744999999999</v>
      </c>
      <c r="Z80" s="261">
        <f t="shared" si="61"/>
        <v>1.044483075</v>
      </c>
      <c r="AA80" s="310">
        <f t="shared" si="61"/>
        <v>0</v>
      </c>
      <c r="AB80" s="322">
        <f t="shared" si="61"/>
        <v>0.78249999999999997</v>
      </c>
      <c r="AC80" s="261">
        <f t="shared" si="61"/>
        <v>0.87987526000000005</v>
      </c>
      <c r="AD80" s="261">
        <f t="shared" si="61"/>
        <v>0.74585561249999999</v>
      </c>
      <c r="AE80" s="261">
        <f t="shared" si="61"/>
        <v>0.43288219999999994</v>
      </c>
      <c r="AF80" s="261">
        <f t="shared" si="61"/>
        <v>0</v>
      </c>
      <c r="AG80" s="310">
        <f t="shared" si="61"/>
        <v>0</v>
      </c>
      <c r="AH80" s="322">
        <f t="shared" si="61"/>
        <v>0</v>
      </c>
      <c r="AI80" s="261">
        <f t="shared" si="61"/>
        <v>0.82889623333333329</v>
      </c>
      <c r="AJ80" s="261">
        <f t="shared" si="61"/>
        <v>0.67112083333333328</v>
      </c>
      <c r="AK80" s="261">
        <f t="shared" si="61"/>
        <v>0.6974999999999999</v>
      </c>
      <c r="AL80" s="261">
        <f t="shared" si="61"/>
        <v>0</v>
      </c>
      <c r="AM80" s="261">
        <f t="shared" si="61"/>
        <v>0</v>
      </c>
      <c r="AN80" s="261"/>
      <c r="AO80" s="433"/>
      <c r="AP80" s="261">
        <f t="shared" ref="AP80:BE80" si="62">AP14*AP$59/100</f>
        <v>184.7223982978723</v>
      </c>
      <c r="AQ80" s="261">
        <f t="shared" si="62"/>
        <v>183.52070000000001</v>
      </c>
      <c r="AR80" s="261">
        <f t="shared" si="62"/>
        <v>173.570605</v>
      </c>
      <c r="AS80" s="310">
        <f t="shared" si="62"/>
        <v>174.38168000000002</v>
      </c>
      <c r="AT80" s="322">
        <f t="shared" si="62"/>
        <v>47.197394999999986</v>
      </c>
      <c r="AU80" s="261">
        <f t="shared" si="62"/>
        <v>61.376803333333328</v>
      </c>
      <c r="AV80" s="261">
        <f t="shared" si="62"/>
        <v>64.061059999999983</v>
      </c>
      <c r="AW80" s="261">
        <f t="shared" si="62"/>
        <v>61.013594999999995</v>
      </c>
      <c r="AX80" s="261">
        <f t="shared" si="62"/>
        <v>63.14692666666668</v>
      </c>
      <c r="AY80" s="310">
        <f t="shared" si="62"/>
        <v>65.021307499999992</v>
      </c>
      <c r="AZ80" s="322">
        <f t="shared" si="62"/>
        <v>60.850625000000001</v>
      </c>
      <c r="BA80" s="261">
        <f t="shared" si="62"/>
        <v>64.209914999999995</v>
      </c>
      <c r="BB80" s="261">
        <f t="shared" si="62"/>
        <v>63.381340000000002</v>
      </c>
      <c r="BC80" s="261">
        <f t="shared" si="62"/>
        <v>56.081975</v>
      </c>
      <c r="BD80" s="261">
        <f t="shared" si="62"/>
        <v>55.35922470588234</v>
      </c>
      <c r="BE80" s="261">
        <f t="shared" si="62"/>
        <v>56.752632857142856</v>
      </c>
      <c r="BF80" s="261">
        <f t="shared" ref="BF80" si="63">BF14*BF$59/100</f>
        <v>0</v>
      </c>
      <c r="BG80" s="422"/>
      <c r="BH80" s="261">
        <f t="shared" ref="BH80:BW80" si="64">BH$59*BH14/100</f>
        <v>0</v>
      </c>
      <c r="BI80" s="261">
        <f t="shared" si="64"/>
        <v>0</v>
      </c>
      <c r="BJ80" s="261">
        <f t="shared" si="64"/>
        <v>0</v>
      </c>
      <c r="BK80" s="310">
        <f t="shared" si="64"/>
        <v>0</v>
      </c>
      <c r="BL80" s="322">
        <f t="shared" si="64"/>
        <v>0</v>
      </c>
      <c r="BM80" s="261">
        <f t="shared" si="64"/>
        <v>0</v>
      </c>
      <c r="BN80" s="261">
        <f t="shared" si="64"/>
        <v>0</v>
      </c>
      <c r="BO80" s="261">
        <f t="shared" si="64"/>
        <v>0</v>
      </c>
      <c r="BP80" s="261">
        <f t="shared" si="64"/>
        <v>0</v>
      </c>
      <c r="BQ80" s="310">
        <f t="shared" si="64"/>
        <v>0</v>
      </c>
      <c r="BR80" s="322">
        <f t="shared" si="64"/>
        <v>0</v>
      </c>
      <c r="BS80" s="261">
        <f t="shared" si="64"/>
        <v>0</v>
      </c>
      <c r="BT80" s="261">
        <f t="shared" si="64"/>
        <v>0</v>
      </c>
      <c r="BU80" s="261">
        <f t="shared" si="64"/>
        <v>0</v>
      </c>
      <c r="BV80" s="261">
        <f t="shared" si="64"/>
        <v>0</v>
      </c>
      <c r="BW80" s="261">
        <f t="shared" si="64"/>
        <v>0</v>
      </c>
      <c r="BX80" s="261">
        <f t="shared" ref="BX80" si="65">BX$59*BX14/100</f>
        <v>0</v>
      </c>
      <c r="BY80" s="433"/>
      <c r="BZ80" s="434"/>
      <c r="DC80" s="328"/>
      <c r="DD80" s="263"/>
      <c r="DE80" s="263"/>
      <c r="DJ80" s="1" t="s">
        <v>348</v>
      </c>
    </row>
    <row r="81" spans="3:113" ht="15.75" thickBot="1" x14ac:dyDescent="0.3">
      <c r="C81" s="1" t="s">
        <v>167</v>
      </c>
      <c r="F81" s="549">
        <f t="shared" ref="F81" si="66">SUM(F74:F80)</f>
        <v>339.57446808510633</v>
      </c>
      <c r="G81" s="550">
        <f t="shared" ref="G81:O81" si="67">SUM(G74:G80)</f>
        <v>328.5</v>
      </c>
      <c r="H81" s="550">
        <f t="shared" si="67"/>
        <v>322.91046099290776</v>
      </c>
      <c r="I81" s="1353">
        <f t="shared" si="67"/>
        <v>323.13978494623649</v>
      </c>
      <c r="J81" s="549">
        <f t="shared" si="67"/>
        <v>160.95360000000002</v>
      </c>
      <c r="K81" s="550">
        <f t="shared" si="67"/>
        <v>180.26086956521743</v>
      </c>
      <c r="L81" s="550">
        <f t="shared" si="67"/>
        <v>196.39130434782609</v>
      </c>
      <c r="M81" s="550">
        <f t="shared" si="67"/>
        <v>182.2608695652174</v>
      </c>
      <c r="N81" s="1432">
        <f t="shared" si="67"/>
        <v>181.04347826086956</v>
      </c>
      <c r="O81" s="1353">
        <f t="shared" si="67"/>
        <v>183.47826086956522</v>
      </c>
      <c r="P81" s="549">
        <f t="shared" ref="P81:U81" si="68">SUM(P74:P80)</f>
        <v>184.99999999999997</v>
      </c>
      <c r="Q81" s="550">
        <f t="shared" si="68"/>
        <v>185.91304347826087</v>
      </c>
      <c r="R81" s="550">
        <f t="shared" si="68"/>
        <v>195.17391304347825</v>
      </c>
      <c r="S81" s="1432">
        <f t="shared" si="68"/>
        <v>186.52173913043478</v>
      </c>
      <c r="T81" s="1432">
        <f t="shared" si="68"/>
        <v>180.87499999999997</v>
      </c>
      <c r="U81" s="1432">
        <f t="shared" si="68"/>
        <v>184.76923076923077</v>
      </c>
      <c r="V81" s="550"/>
      <c r="W81" s="552"/>
      <c r="X81" s="549">
        <f t="shared" ref="X81:BE81" si="69">SUM(X74:X80)</f>
        <v>0.76595744680851063</v>
      </c>
      <c r="Y81" s="550">
        <f t="shared" si="69"/>
        <v>0.96499999999999997</v>
      </c>
      <c r="Z81" s="550">
        <f t="shared" si="69"/>
        <v>1.3815</v>
      </c>
      <c r="AA81" s="551">
        <f t="shared" si="69"/>
        <v>0</v>
      </c>
      <c r="AB81" s="549">
        <f t="shared" si="69"/>
        <v>1.25</v>
      </c>
      <c r="AC81" s="550">
        <f t="shared" si="69"/>
        <v>1.2789999999999999</v>
      </c>
      <c r="AD81" s="550">
        <f t="shared" si="69"/>
        <v>1.0962499999999999</v>
      </c>
      <c r="AE81" s="550">
        <f t="shared" si="69"/>
        <v>0.59833333333333327</v>
      </c>
      <c r="AF81" s="550">
        <f t="shared" si="69"/>
        <v>0</v>
      </c>
      <c r="AG81" s="551">
        <f t="shared" si="69"/>
        <v>0</v>
      </c>
      <c r="AH81" s="549">
        <f t="shared" si="69"/>
        <v>0</v>
      </c>
      <c r="AI81" s="550">
        <f t="shared" si="69"/>
        <v>1.1283333333333332</v>
      </c>
      <c r="AJ81" s="550">
        <f t="shared" si="69"/>
        <v>0.97916666666666652</v>
      </c>
      <c r="AK81" s="550">
        <f t="shared" si="69"/>
        <v>0.6974999999999999</v>
      </c>
      <c r="AL81" s="550">
        <f t="shared" si="69"/>
        <v>0</v>
      </c>
      <c r="AM81" s="550">
        <f t="shared" ref="AM81" si="70">SUM(AM74:AM80)</f>
        <v>0</v>
      </c>
      <c r="AN81" s="550"/>
      <c r="AO81" s="553"/>
      <c r="AP81" s="550">
        <f t="shared" si="69"/>
        <v>307.27659574468078</v>
      </c>
      <c r="AQ81" s="550">
        <f t="shared" si="69"/>
        <v>290</v>
      </c>
      <c r="AR81" s="550">
        <f t="shared" si="69"/>
        <v>284.5</v>
      </c>
      <c r="AS81" s="551">
        <f t="shared" si="69"/>
        <v>284</v>
      </c>
      <c r="AT81" s="549">
        <f t="shared" si="69"/>
        <v>134.49999999999997</v>
      </c>
      <c r="AU81" s="550">
        <f t="shared" si="69"/>
        <v>149.66666666666663</v>
      </c>
      <c r="AV81" s="550">
        <f t="shared" si="69"/>
        <v>166</v>
      </c>
      <c r="AW81" s="550">
        <f t="shared" si="69"/>
        <v>154.5</v>
      </c>
      <c r="AX81" s="550">
        <f t="shared" si="69"/>
        <v>156.58333333333334</v>
      </c>
      <c r="AY81" s="551">
        <f t="shared" si="69"/>
        <v>154.75</v>
      </c>
      <c r="AZ81" s="549">
        <f t="shared" si="69"/>
        <v>153.08333333333334</v>
      </c>
      <c r="BA81" s="550">
        <f t="shared" si="69"/>
        <v>152.25</v>
      </c>
      <c r="BB81" s="550">
        <f t="shared" si="69"/>
        <v>162.25</v>
      </c>
      <c r="BC81" s="550">
        <f t="shared" si="69"/>
        <v>153.16666666666666</v>
      </c>
      <c r="BD81" s="550">
        <f t="shared" si="69"/>
        <v>155.41176470588235</v>
      </c>
      <c r="BE81" s="550">
        <f t="shared" si="69"/>
        <v>131.85714285714286</v>
      </c>
      <c r="BF81" s="550">
        <f t="shared" ref="BF81" si="71">SUM(BF74:BF80)</f>
        <v>0</v>
      </c>
      <c r="BG81" s="554"/>
      <c r="BH81" s="550">
        <f t="shared" ref="BH81" si="72">SUM(BH74:BH80)</f>
        <v>4.5319148936170208</v>
      </c>
      <c r="BI81" s="550">
        <f t="shared" ref="BI81:BN81" si="73">SUM(BI74:BI80)</f>
        <v>7.166666666666667</v>
      </c>
      <c r="BJ81" s="550">
        <f t="shared" si="73"/>
        <v>18.333333333333329</v>
      </c>
      <c r="BK81" s="551">
        <f t="shared" si="73"/>
        <v>10.583333333333334</v>
      </c>
      <c r="BL81" s="549">
        <f t="shared" si="73"/>
        <v>25.25</v>
      </c>
      <c r="BM81" s="550">
        <f t="shared" si="73"/>
        <v>6.666666666666667</v>
      </c>
      <c r="BN81" s="550">
        <f t="shared" si="73"/>
        <v>9.5833333333333339</v>
      </c>
      <c r="BO81" s="550">
        <f t="shared" ref="BO81:BW81" si="74">SUM(BO74:BO80)</f>
        <v>8</v>
      </c>
      <c r="BP81" s="550">
        <f t="shared" si="74"/>
        <v>6.833333333333333</v>
      </c>
      <c r="BQ81" s="551">
        <f t="shared" si="74"/>
        <v>7.5</v>
      </c>
      <c r="BR81" s="549">
        <f t="shared" si="74"/>
        <v>8.75</v>
      </c>
      <c r="BS81" s="550">
        <f t="shared" si="74"/>
        <v>8.8333333333333339</v>
      </c>
      <c r="BT81" s="550">
        <f t="shared" si="74"/>
        <v>10.333333333333334</v>
      </c>
      <c r="BU81" s="550">
        <f t="shared" si="74"/>
        <v>9.3333333333333357</v>
      </c>
      <c r="BV81" s="550">
        <f t="shared" si="74"/>
        <v>8.8235294117647065</v>
      </c>
      <c r="BW81" s="550">
        <f t="shared" si="74"/>
        <v>12.166666666666666</v>
      </c>
      <c r="BX81" s="550">
        <f t="shared" ref="BX81" si="75">SUM(BX74:BX80)</f>
        <v>0</v>
      </c>
      <c r="BY81" s="463"/>
      <c r="BZ81" s="464"/>
      <c r="CA81" s="228"/>
      <c r="CB81" s="228"/>
      <c r="CC81" s="228"/>
      <c r="CD81" s="229"/>
      <c r="CE81" s="353"/>
      <c r="CF81" s="228"/>
      <c r="CG81" s="228"/>
      <c r="CH81" s="228"/>
      <c r="CI81" s="228"/>
      <c r="CJ81" s="229"/>
      <c r="CK81" s="353"/>
      <c r="CL81" s="228"/>
      <c r="CM81" s="228"/>
      <c r="CN81" s="228"/>
      <c r="CO81" s="228"/>
      <c r="CP81" s="228"/>
      <c r="CQ81" s="228"/>
      <c r="CR81" s="463"/>
      <c r="CS81" s="228"/>
      <c r="CT81" s="228"/>
      <c r="CU81" s="228"/>
      <c r="CV81" s="229"/>
      <c r="CW81" s="353"/>
      <c r="CX81" s="228"/>
      <c r="CY81" s="228"/>
      <c r="CZ81" s="228"/>
      <c r="DA81" s="228"/>
      <c r="DB81" s="229"/>
      <c r="DC81" s="574"/>
      <c r="DD81" s="555"/>
      <c r="DE81" s="555"/>
      <c r="DF81" s="228"/>
      <c r="DG81" s="228"/>
      <c r="DH81" s="228"/>
      <c r="DI81" s="228"/>
    </row>
    <row r="82" spans="3:113" s="1302" customFormat="1" ht="16.5" thickTop="1" thickBot="1" x14ac:dyDescent="0.3">
      <c r="C82" s="1294"/>
      <c r="D82" s="1294"/>
      <c r="E82" s="1294"/>
      <c r="F82" s="1295"/>
      <c r="G82" s="1292"/>
      <c r="H82" s="1292"/>
      <c r="I82" s="1354"/>
      <c r="J82" s="1295"/>
      <c r="K82" s="1292"/>
      <c r="L82" s="1292"/>
      <c r="M82" s="1292"/>
      <c r="N82" s="1433"/>
      <c r="O82" s="1434"/>
      <c r="P82" s="1295"/>
      <c r="Q82" s="1292"/>
      <c r="R82" s="1292"/>
      <c r="S82" s="1433"/>
      <c r="T82" s="1433"/>
      <c r="U82" s="1433"/>
      <c r="V82" s="1292"/>
      <c r="W82" s="1297"/>
      <c r="X82" s="1295"/>
      <c r="Y82" s="1292"/>
      <c r="Z82" s="1292"/>
      <c r="AA82" s="1296"/>
      <c r="AB82" s="1295"/>
      <c r="AC82" s="1292"/>
      <c r="AD82" s="1292"/>
      <c r="AE82" s="1292"/>
      <c r="AF82" s="1292"/>
      <c r="AG82" s="1296"/>
      <c r="AH82" s="1295"/>
      <c r="AI82" s="1292"/>
      <c r="AJ82" s="1292"/>
      <c r="AK82" s="1292"/>
      <c r="AL82" s="1292"/>
      <c r="AM82" s="1292"/>
      <c r="AN82" s="1292"/>
      <c r="AO82" s="1298"/>
      <c r="AP82" s="1292"/>
      <c r="AQ82" s="1292"/>
      <c r="AR82" s="1292"/>
      <c r="AS82" s="1296"/>
      <c r="AT82" s="1295"/>
      <c r="AU82" s="1292"/>
      <c r="AV82" s="1292"/>
      <c r="AW82" s="1292"/>
      <c r="AX82" s="1292"/>
      <c r="AY82" s="1296"/>
      <c r="AZ82" s="1295"/>
      <c r="BA82" s="1292"/>
      <c r="BB82" s="1292"/>
      <c r="BC82" s="1292"/>
      <c r="BD82" s="1292"/>
      <c r="BE82" s="1292"/>
      <c r="BF82" s="1292"/>
      <c r="BG82" s="1298"/>
      <c r="BH82" s="1292"/>
      <c r="BI82" s="1292"/>
      <c r="BJ82" s="1292"/>
      <c r="BK82" s="1296"/>
      <c r="BL82" s="1295"/>
      <c r="BM82" s="1292"/>
      <c r="BN82" s="1292"/>
      <c r="BO82" s="1292"/>
      <c r="BP82" s="1292"/>
      <c r="BQ82" s="1296"/>
      <c r="BR82" s="1295"/>
      <c r="BS82" s="1292"/>
      <c r="BT82" s="1292"/>
      <c r="BU82" s="1292"/>
      <c r="BV82" s="1292"/>
      <c r="BW82" s="1292"/>
      <c r="BX82" s="1292"/>
      <c r="BY82" s="1298"/>
      <c r="BZ82" s="1299"/>
      <c r="CA82" s="1292"/>
      <c r="CB82" s="1292"/>
      <c r="CC82" s="1292"/>
      <c r="CD82" s="1296"/>
      <c r="CE82" s="1295"/>
      <c r="CF82" s="1292"/>
      <c r="CG82" s="1292"/>
      <c r="CH82" s="1292"/>
      <c r="CI82" s="1292"/>
      <c r="CJ82" s="1296"/>
      <c r="CK82" s="1295"/>
      <c r="CL82" s="1292"/>
      <c r="CM82" s="1292"/>
      <c r="CN82" s="1292"/>
      <c r="CO82" s="1292"/>
      <c r="CP82" s="1292"/>
      <c r="CQ82" s="1292"/>
      <c r="CR82" s="1298"/>
      <c r="CS82" s="1292"/>
      <c r="CT82" s="1292"/>
      <c r="CU82" s="1292"/>
      <c r="CV82" s="1296"/>
      <c r="CW82" s="1295"/>
      <c r="CX82" s="1292"/>
      <c r="CY82" s="1292"/>
      <c r="CZ82" s="1292"/>
      <c r="DA82" s="1292"/>
      <c r="DB82" s="1296"/>
      <c r="DC82" s="1300"/>
      <c r="DD82" s="1301"/>
      <c r="DE82" s="1301"/>
      <c r="DF82" s="1292"/>
      <c r="DG82" s="1292"/>
      <c r="DH82" s="1292"/>
      <c r="DI82" s="1292"/>
    </row>
    <row r="83" spans="3:113" x14ac:dyDescent="0.25">
      <c r="C83" s="1" t="s">
        <v>426</v>
      </c>
      <c r="F83" s="1289">
        <f>F$18*F$55*10^-6</f>
        <v>1.3479051063829788E-2</v>
      </c>
      <c r="G83" s="1288">
        <f t="shared" ref="G83:I83" si="76">G$18*G$55*10^-6</f>
        <v>1.2879369999999999E-2</v>
      </c>
      <c r="H83" s="1287">
        <f t="shared" si="76"/>
        <v>1.2498167499999999E-2</v>
      </c>
      <c r="I83" s="1355">
        <f t="shared" si="76"/>
        <v>1.2698397419354837E-2</v>
      </c>
      <c r="J83" s="1290"/>
      <c r="K83" s="703"/>
      <c r="L83" s="703"/>
      <c r="M83" s="703"/>
      <c r="N83" s="1435"/>
      <c r="O83" s="1436"/>
      <c r="P83" s="704"/>
      <c r="Q83" s="703"/>
      <c r="R83" s="703"/>
      <c r="S83" s="1435"/>
      <c r="T83" s="1435"/>
      <c r="U83" s="1435"/>
      <c r="V83" s="234"/>
      <c r="W83" s="468"/>
      <c r="X83" s="352"/>
      <c r="Y83" s="234"/>
      <c r="Z83" s="234"/>
      <c r="AA83" s="235"/>
      <c r="AB83" s="352"/>
      <c r="AC83" s="234"/>
      <c r="AD83" s="234"/>
      <c r="AE83" s="234"/>
      <c r="AF83" s="234"/>
      <c r="AG83" s="235"/>
      <c r="AH83" s="352"/>
      <c r="AI83" s="234"/>
      <c r="AJ83" s="234"/>
      <c r="AK83" s="234"/>
      <c r="AL83" s="234"/>
      <c r="AM83" s="234"/>
      <c r="AN83" s="234"/>
      <c r="AO83" s="486"/>
      <c r="AP83" s="234"/>
      <c r="AQ83" s="234"/>
      <c r="AR83" s="234"/>
      <c r="AS83" s="235"/>
      <c r="AT83" s="352"/>
      <c r="AU83" s="234"/>
      <c r="AV83" s="234"/>
      <c r="AW83" s="234"/>
      <c r="AX83" s="234"/>
      <c r="AY83" s="235"/>
      <c r="AZ83" s="352"/>
      <c r="BA83" s="234"/>
      <c r="BB83" s="234"/>
      <c r="BC83" s="234"/>
      <c r="BD83" s="234"/>
      <c r="BE83" s="234"/>
      <c r="BF83" s="234"/>
      <c r="BG83" s="486"/>
      <c r="BH83" s="234"/>
      <c r="BI83" s="234"/>
      <c r="BJ83" s="234"/>
      <c r="BK83" s="235"/>
      <c r="BL83" s="352"/>
      <c r="BM83" s="234"/>
      <c r="BN83" s="234"/>
      <c r="BO83" s="234"/>
      <c r="BP83" s="234"/>
      <c r="BQ83" s="235"/>
      <c r="BR83" s="352"/>
      <c r="BS83" s="234"/>
      <c r="BT83" s="234"/>
      <c r="BU83" s="234"/>
      <c r="BV83" s="234"/>
      <c r="BW83" s="234"/>
      <c r="BX83" s="234"/>
      <c r="BY83" s="486"/>
      <c r="BZ83" s="488"/>
      <c r="CA83" s="234"/>
      <c r="CB83" s="234"/>
      <c r="CC83" s="234"/>
      <c r="CD83" s="235"/>
      <c r="CE83" s="352"/>
      <c r="CF83" s="234"/>
      <c r="CG83" s="234"/>
      <c r="CH83" s="234"/>
      <c r="CI83" s="234"/>
      <c r="CJ83" s="235"/>
      <c r="CK83" s="352"/>
      <c r="CL83" s="234"/>
      <c r="CM83" s="234"/>
      <c r="CN83" s="234"/>
      <c r="CO83" s="234"/>
      <c r="CP83" s="234"/>
      <c r="CQ83" s="234"/>
      <c r="CR83" s="486"/>
      <c r="CS83" s="234"/>
      <c r="CT83" s="234"/>
      <c r="CU83" s="234"/>
      <c r="CV83" s="235"/>
      <c r="CW83" s="352"/>
      <c r="CX83" s="234"/>
      <c r="CY83" s="234"/>
      <c r="CZ83" s="234"/>
      <c r="DA83" s="234"/>
      <c r="DB83" s="235"/>
      <c r="DC83" s="559"/>
      <c r="DD83" s="556"/>
      <c r="DE83" s="556"/>
      <c r="DF83" s="234"/>
      <c r="DG83" s="234"/>
      <c r="DH83" s="234"/>
      <c r="DI83" s="234"/>
    </row>
    <row r="84" spans="3:113" x14ac:dyDescent="0.25">
      <c r="C84" s="1" t="s">
        <v>425</v>
      </c>
      <c r="F84" s="1280">
        <f>F$57*F$18*10^-6</f>
        <v>6.0600638297872338E-3</v>
      </c>
      <c r="G84" s="234">
        <f t="shared" ref="G84:I84" si="77">G$57*G$18*10^-6</f>
        <v>6.02252E-3</v>
      </c>
      <c r="H84" s="234">
        <f t="shared" si="77"/>
        <v>6.0821004255319144E-3</v>
      </c>
      <c r="I84" s="1356">
        <f t="shared" si="77"/>
        <v>5.8950658064516126E-3</v>
      </c>
      <c r="J84" s="1293"/>
      <c r="K84" s="701"/>
      <c r="L84" s="701"/>
      <c r="M84" s="701"/>
      <c r="N84" s="1437"/>
      <c r="O84" s="1438"/>
      <c r="P84" s="700"/>
      <c r="Q84" s="701"/>
      <c r="R84" s="701"/>
      <c r="S84" s="1437"/>
      <c r="T84" s="1437"/>
      <c r="U84" s="1437"/>
      <c r="DC84" s="328"/>
      <c r="DD84" s="263"/>
      <c r="DE84" s="263"/>
    </row>
    <row r="85" spans="3:113" x14ac:dyDescent="0.25">
      <c r="C85" s="1315" t="s">
        <v>129</v>
      </c>
      <c r="D85" s="1315"/>
      <c r="E85" s="1315"/>
      <c r="F85" s="1316">
        <f>F$59*F$18*(10^-6)</f>
        <v>1.953911489361702E-2</v>
      </c>
      <c r="G85" s="1317">
        <f t="shared" ref="G85:V85" si="78">G$59*G$18*(10^-6)</f>
        <v>1.8901889999999998E-2</v>
      </c>
      <c r="H85" s="1317">
        <f t="shared" si="78"/>
        <v>1.8580267925531916E-2</v>
      </c>
      <c r="I85" s="1330">
        <f>I$59*I$18*(10^-6)</f>
        <v>1.8593463225806451E-2</v>
      </c>
      <c r="J85" s="1316">
        <f>J$59*J$18*(10^-6)</f>
        <v>1.8245700096000003E-2</v>
      </c>
      <c r="K85" s="1317">
        <f t="shared" si="78"/>
        <v>2.0434372173913043E-2</v>
      </c>
      <c r="L85" s="1317">
        <f t="shared" si="78"/>
        <v>2.2262918260869565E-2</v>
      </c>
      <c r="M85" s="1317">
        <f t="shared" si="78"/>
        <v>2.0661092173913046E-2</v>
      </c>
      <c r="N85" s="1407">
        <f t="shared" si="78"/>
        <v>2.052308869565217E-2</v>
      </c>
      <c r="O85" s="1330">
        <f t="shared" si="78"/>
        <v>2.0799095652173912E-2</v>
      </c>
      <c r="P85" s="1316">
        <f t="shared" si="78"/>
        <v>3.1690500000000003E-2</v>
      </c>
      <c r="Q85" s="1317">
        <f t="shared" si="78"/>
        <v>3.184690434782609E-2</v>
      </c>
      <c r="R85" s="1317">
        <f t="shared" si="78"/>
        <v>3.3433291304347822E-2</v>
      </c>
      <c r="S85" s="1407">
        <f t="shared" si="78"/>
        <v>3.195117391304348E-2</v>
      </c>
      <c r="T85" s="1407">
        <f t="shared" si="78"/>
        <v>3.0983887499999998E-2</v>
      </c>
      <c r="U85" s="1407">
        <f t="shared" si="78"/>
        <v>3.1650969230769231E-2</v>
      </c>
      <c r="V85" s="1317">
        <f t="shared" si="78"/>
        <v>0</v>
      </c>
      <c r="W85" s="1318"/>
      <c r="X85" s="1316">
        <f>X$59*X$18*(10^-6)</f>
        <v>2.0657106382978722E-4</v>
      </c>
      <c r="Y85" s="1317">
        <f t="shared" ref="Y85:AN85" si="79">Y$59*Y$18*(10^-6)</f>
        <v>1.8207427E-3</v>
      </c>
      <c r="Z85" s="1317">
        <f t="shared" si="79"/>
        <v>1.2159962999999999E-4</v>
      </c>
      <c r="AA85" s="1318">
        <f t="shared" si="79"/>
        <v>0</v>
      </c>
      <c r="AB85" s="1316">
        <f t="shared" si="79"/>
        <v>9.4712499999999991E-5</v>
      </c>
      <c r="AC85" s="1317">
        <f t="shared" si="79"/>
        <v>1.9365339000000002E-4</v>
      </c>
      <c r="AD85" s="1317">
        <f t="shared" si="79"/>
        <v>1.5051512500000001E-4</v>
      </c>
      <c r="AE85" s="1317">
        <f t="shared" si="79"/>
        <v>7.1871799999999992E-5</v>
      </c>
      <c r="AF85" s="1317">
        <f t="shared" si="79"/>
        <v>0</v>
      </c>
      <c r="AG85" s="1318">
        <f t="shared" si="79"/>
        <v>0</v>
      </c>
      <c r="AH85" s="1316">
        <f t="shared" si="79"/>
        <v>0</v>
      </c>
      <c r="AI85" s="1317">
        <f t="shared" si="79"/>
        <v>2.0428474999999996E-4</v>
      </c>
      <c r="AJ85" s="1317">
        <f t="shared" si="79"/>
        <v>2.2664770833333333E-4</v>
      </c>
      <c r="AK85" s="1317">
        <f t="shared" si="79"/>
        <v>1.5112034999999996E-4</v>
      </c>
      <c r="AL85" s="1317">
        <f t="shared" si="79"/>
        <v>0</v>
      </c>
      <c r="AM85" s="1317">
        <f t="shared" si="79"/>
        <v>0</v>
      </c>
      <c r="AN85" s="1317">
        <f t="shared" si="79"/>
        <v>0</v>
      </c>
      <c r="AP85" s="1317">
        <f t="shared" ref="AP85:BF85" si="80">AP$59*AP$18*(10^-6)</f>
        <v>7.134962553191489E-3</v>
      </c>
      <c r="AQ85" s="1317">
        <f t="shared" si="80"/>
        <v>6.2523999999999991E-3</v>
      </c>
      <c r="AR85" s="1317">
        <f t="shared" si="80"/>
        <v>5.926134999999999E-3</v>
      </c>
      <c r="AS85" s="1318">
        <f t="shared" si="80"/>
        <v>5.8049599999999996E-3</v>
      </c>
      <c r="AT85" s="1316">
        <f t="shared" si="80"/>
        <v>2.1452749999999999E-3</v>
      </c>
      <c r="AU85" s="1317">
        <f t="shared" si="80"/>
        <v>2.9843533333333335E-3</v>
      </c>
      <c r="AV85" s="1317">
        <f t="shared" si="80"/>
        <v>3.7914400000000001E-3</v>
      </c>
      <c r="AW85" s="1317">
        <f t="shared" si="80"/>
        <v>3.3588299999999997E-3</v>
      </c>
      <c r="AX85" s="1317">
        <f t="shared" si="80"/>
        <v>3.9349391666666667E-3</v>
      </c>
      <c r="AY85" s="1318">
        <f t="shared" si="80"/>
        <v>3.8114924999999998E-3</v>
      </c>
      <c r="AZ85" s="1316">
        <f t="shared" si="80"/>
        <v>3.7536033333333335E-3</v>
      </c>
      <c r="BA85" s="1317">
        <f t="shared" si="80"/>
        <v>4.6953899999999998E-3</v>
      </c>
      <c r="BB85" s="1317">
        <f t="shared" si="80"/>
        <v>6.7041699999999997E-3</v>
      </c>
      <c r="BC85" s="1317">
        <f t="shared" si="80"/>
        <v>5.3332633333333327E-3</v>
      </c>
      <c r="BD85" s="1317">
        <f t="shared" si="80"/>
        <v>7.4255741176470587E-3</v>
      </c>
      <c r="BE85" s="1317">
        <f t="shared" si="80"/>
        <v>5.6672199999999989E-3</v>
      </c>
      <c r="BF85" s="1317">
        <f t="shared" si="80"/>
        <v>0</v>
      </c>
      <c r="DG85" s="252"/>
    </row>
    <row r="86" spans="3:113" x14ac:dyDescent="0.25">
      <c r="C86" s="1" t="s">
        <v>420</v>
      </c>
      <c r="F86" s="1280">
        <f>F$55*F$20*10^-6</f>
        <v>4.5508780851063829E-2</v>
      </c>
      <c r="G86" s="241">
        <f t="shared" ref="G86:I86" si="81">G$55*G$20*10^-6</f>
        <v>4.348410166666667E-2</v>
      </c>
      <c r="H86" s="241">
        <f t="shared" si="81"/>
        <v>4.2197062916666667E-2</v>
      </c>
      <c r="I86" s="1330">
        <f t="shared" si="81"/>
        <v>4.2873091182795697E-2</v>
      </c>
      <c r="J86" s="700"/>
      <c r="K86" s="701"/>
      <c r="L86" s="701"/>
      <c r="M86" s="701"/>
      <c r="N86" s="1437"/>
      <c r="O86" s="1438"/>
      <c r="P86" s="700"/>
      <c r="Q86" s="701"/>
      <c r="R86" s="701"/>
      <c r="S86" s="1437"/>
      <c r="T86" s="1437"/>
      <c r="U86" s="1437"/>
      <c r="V86" s="701"/>
      <c r="W86" s="452"/>
      <c r="X86" s="327"/>
      <c r="Y86" s="278"/>
      <c r="Z86" s="278"/>
      <c r="AA86" s="312"/>
      <c r="AB86" s="327"/>
      <c r="AC86" s="278"/>
      <c r="AD86" s="278"/>
      <c r="AE86" s="278"/>
      <c r="AF86" s="278"/>
      <c r="AG86" s="312"/>
      <c r="AH86" s="327"/>
      <c r="AI86" s="278"/>
      <c r="AJ86" s="278"/>
      <c r="AK86" s="278"/>
      <c r="AL86" s="278"/>
      <c r="AM86" s="278"/>
      <c r="AN86" s="278"/>
      <c r="AO86" s="435"/>
      <c r="AT86" s="700"/>
      <c r="AU86" s="701"/>
      <c r="AV86" s="701"/>
      <c r="AW86" s="701"/>
      <c r="AX86" s="701"/>
      <c r="AY86" s="702"/>
      <c r="AZ86" s="700"/>
      <c r="BA86" s="701"/>
      <c r="BB86" s="701"/>
      <c r="BC86" s="701"/>
      <c r="BD86" s="701"/>
      <c r="BE86" s="701"/>
      <c r="BF86" s="278"/>
      <c r="BG86" s="435"/>
      <c r="BH86" s="278"/>
      <c r="BI86" s="278"/>
      <c r="BJ86" s="278"/>
      <c r="BK86" s="312"/>
      <c r="BL86" s="327"/>
      <c r="BM86" s="278"/>
      <c r="BN86" s="278"/>
      <c r="BO86" s="278"/>
      <c r="BP86" s="278"/>
      <c r="BQ86" s="312"/>
      <c r="BR86" s="327"/>
      <c r="BS86" s="278"/>
      <c r="BT86" s="278"/>
      <c r="BU86" s="278"/>
      <c r="BV86" s="278"/>
      <c r="BW86" s="278"/>
      <c r="DG86" s="252"/>
    </row>
    <row r="87" spans="3:113" x14ac:dyDescent="0.25">
      <c r="C87" s="1" t="s">
        <v>421</v>
      </c>
      <c r="F87" s="1280">
        <f>F$57*F$20*10^-6</f>
        <v>2.0460351063829787E-2</v>
      </c>
      <c r="G87" s="241">
        <f t="shared" ref="G87:I87" si="82">G$57*G$20*10^-6</f>
        <v>2.0333593333333334E-2</v>
      </c>
      <c r="H87" s="241">
        <f t="shared" si="82"/>
        <v>2.0534752340425531E-2</v>
      </c>
      <c r="I87" s="1330">
        <f t="shared" si="82"/>
        <v>1.990327483870968E-2</v>
      </c>
      <c r="J87" s="700"/>
      <c r="K87" s="701"/>
      <c r="L87" s="701"/>
      <c r="M87" s="701"/>
      <c r="N87" s="1437"/>
      <c r="O87" s="1438"/>
      <c r="P87" s="700"/>
      <c r="Q87" s="701"/>
      <c r="R87" s="701"/>
      <c r="S87" s="1437"/>
      <c r="T87" s="1437"/>
      <c r="U87" s="1437"/>
      <c r="V87" s="701"/>
      <c r="W87" s="452"/>
      <c r="X87" s="327"/>
      <c r="Y87" s="278"/>
      <c r="Z87" s="278"/>
      <c r="AA87" s="312"/>
      <c r="AB87" s="327"/>
      <c r="AC87" s="278"/>
      <c r="AD87" s="278"/>
      <c r="AE87" s="278"/>
      <c r="AF87" s="278"/>
      <c r="AG87" s="312"/>
      <c r="AH87" s="327"/>
      <c r="AI87" s="278"/>
      <c r="AJ87" s="278"/>
      <c r="AK87" s="278"/>
      <c r="AL87" s="278"/>
      <c r="AM87" s="278"/>
      <c r="AN87" s="278"/>
      <c r="AO87" s="435"/>
      <c r="AT87" s="700"/>
      <c r="AU87" s="701"/>
      <c r="AV87" s="701"/>
      <c r="AW87" s="701"/>
      <c r="AX87" s="701"/>
      <c r="AY87" s="702"/>
      <c r="AZ87" s="700"/>
      <c r="BA87" s="701"/>
      <c r="BB87" s="701"/>
      <c r="BC87" s="701"/>
      <c r="BD87" s="701"/>
      <c r="BE87" s="701"/>
      <c r="BF87" s="278"/>
      <c r="BG87" s="435"/>
      <c r="BH87" s="278"/>
      <c r="BI87" s="278"/>
      <c r="BJ87" s="278"/>
      <c r="BK87" s="312"/>
      <c r="BL87" s="327"/>
      <c r="BM87" s="278"/>
      <c r="BN87" s="278"/>
      <c r="BO87" s="278"/>
      <c r="BP87" s="278"/>
      <c r="BQ87" s="312"/>
      <c r="BR87" s="327"/>
      <c r="BS87" s="278"/>
      <c r="BT87" s="278"/>
      <c r="BU87" s="278"/>
      <c r="BV87" s="278"/>
      <c r="BW87" s="278"/>
      <c r="DG87" s="252"/>
    </row>
    <row r="88" spans="3:113" x14ac:dyDescent="0.25">
      <c r="C88" s="637" t="s">
        <v>130</v>
      </c>
      <c r="D88" s="637"/>
      <c r="E88" s="637"/>
      <c r="F88" s="658">
        <f t="shared" ref="F88:V88" si="83">F$59*F$20*(10^-6)</f>
        <v>6.5969131914893619E-2</v>
      </c>
      <c r="G88" s="711">
        <f t="shared" si="83"/>
        <v>6.3817695000000008E-2</v>
      </c>
      <c r="H88" s="711">
        <f t="shared" si="83"/>
        <v>6.2731815257092205E-2</v>
      </c>
      <c r="I88" s="1330">
        <f t="shared" si="83"/>
        <v>6.2776366021505367E-2</v>
      </c>
      <c r="J88" s="658">
        <f t="shared" si="83"/>
        <v>4.6026291456000006E-2</v>
      </c>
      <c r="K88" s="711">
        <f t="shared" si="83"/>
        <v>5.1547398260869563E-2</v>
      </c>
      <c r="L88" s="711">
        <f t="shared" si="83"/>
        <v>5.6160057391304342E-2</v>
      </c>
      <c r="M88" s="711">
        <f t="shared" si="83"/>
        <v>5.211931826086956E-2</v>
      </c>
      <c r="N88" s="1407">
        <f t="shared" si="83"/>
        <v>5.1771193043478256E-2</v>
      </c>
      <c r="O88" s="1330">
        <f t="shared" si="83"/>
        <v>5.2467443478260864E-2</v>
      </c>
      <c r="P88" s="658">
        <f t="shared" si="83"/>
        <v>8.9058999999999999E-2</v>
      </c>
      <c r="Q88" s="711">
        <f t="shared" si="83"/>
        <v>8.9498539130434776E-2</v>
      </c>
      <c r="R88" s="711">
        <f t="shared" si="83"/>
        <v>9.395672173913043E-2</v>
      </c>
      <c r="S88" s="1407">
        <f t="shared" si="83"/>
        <v>8.9791565217391289E-2</v>
      </c>
      <c r="T88" s="1407">
        <f t="shared" si="83"/>
        <v>8.707322499999999E-2</v>
      </c>
      <c r="U88" s="1407">
        <f t="shared" si="83"/>
        <v>8.894790769230769E-2</v>
      </c>
      <c r="V88" s="711">
        <f t="shared" si="83"/>
        <v>0</v>
      </c>
      <c r="X88" s="658">
        <f t="shared" ref="X88:AN88" si="84">X$59*X$20*(10^-6)</f>
        <v>7.5416170212765955E-4</v>
      </c>
      <c r="Y88" s="711">
        <f t="shared" si="84"/>
        <v>5.0540523999999991E-3</v>
      </c>
      <c r="Z88" s="711">
        <f t="shared" si="84"/>
        <v>3.17952225E-4</v>
      </c>
      <c r="AA88" s="714">
        <f t="shared" si="84"/>
        <v>0</v>
      </c>
      <c r="AB88" s="658">
        <f t="shared" si="84"/>
        <v>2.33475E-4</v>
      </c>
      <c r="AC88" s="711">
        <f t="shared" si="84"/>
        <v>4.8947330000000003E-4</v>
      </c>
      <c r="AD88" s="711">
        <f t="shared" si="84"/>
        <v>3.5465879999999999E-4</v>
      </c>
      <c r="AE88" s="711">
        <f t="shared" si="84"/>
        <v>1.7333118333333331E-4</v>
      </c>
      <c r="AF88" s="711">
        <f t="shared" si="84"/>
        <v>0</v>
      </c>
      <c r="AG88" s="714">
        <f t="shared" si="84"/>
        <v>0</v>
      </c>
      <c r="AH88" s="658">
        <f t="shared" si="84"/>
        <v>0</v>
      </c>
      <c r="AI88" s="711">
        <f t="shared" si="84"/>
        <v>4.8883913333333323E-4</v>
      </c>
      <c r="AJ88" s="711">
        <f t="shared" si="84"/>
        <v>5.5425729166666657E-4</v>
      </c>
      <c r="AK88" s="711">
        <f t="shared" si="84"/>
        <v>3.8950492499999987E-4</v>
      </c>
      <c r="AL88" s="711">
        <f t="shared" si="84"/>
        <v>0</v>
      </c>
      <c r="AM88" s="711">
        <f t="shared" si="84"/>
        <v>0</v>
      </c>
      <c r="AN88" s="711">
        <f t="shared" si="84"/>
        <v>0</v>
      </c>
      <c r="AP88" s="711">
        <f t="shared" ref="AP88:BF88" si="85">AP$59*AP$20*(10^-6)</f>
        <v>1.1615055319148934E-2</v>
      </c>
      <c r="AQ88" s="711">
        <f t="shared" si="85"/>
        <v>1.03733E-2</v>
      </c>
      <c r="AR88" s="711">
        <f t="shared" si="85"/>
        <v>1.0241999999999999E-2</v>
      </c>
      <c r="AS88" s="714">
        <f t="shared" si="85"/>
        <v>9.9683999999999988E-3</v>
      </c>
      <c r="AT88" s="658">
        <f t="shared" si="85"/>
        <v>1.6395549999999998E-3</v>
      </c>
      <c r="AU88" s="711">
        <f t="shared" si="85"/>
        <v>2.5263733333333329E-3</v>
      </c>
      <c r="AV88" s="711">
        <f t="shared" si="85"/>
        <v>3.6254399999999997E-3</v>
      </c>
      <c r="AW88" s="711">
        <f t="shared" si="85"/>
        <v>3.0251099999999997E-3</v>
      </c>
      <c r="AX88" s="711">
        <f t="shared" si="85"/>
        <v>3.8394233333333334E-3</v>
      </c>
      <c r="AY88" s="714">
        <f t="shared" si="85"/>
        <v>3.9012474999999998E-3</v>
      </c>
      <c r="AZ88" s="658">
        <f t="shared" si="85"/>
        <v>3.4106966666666671E-3</v>
      </c>
      <c r="BA88" s="711">
        <f t="shared" si="85"/>
        <v>4.8598200000000008E-3</v>
      </c>
      <c r="BB88" s="711">
        <f t="shared" si="85"/>
        <v>8.1384599999999984E-3</v>
      </c>
      <c r="BC88" s="711">
        <f t="shared" si="85"/>
        <v>5.5798616666666665E-3</v>
      </c>
      <c r="BD88" s="711">
        <f t="shared" si="85"/>
        <v>9.809590588235292E-3</v>
      </c>
      <c r="BE88" s="711">
        <f t="shared" si="85"/>
        <v>7.358947142857143E-3</v>
      </c>
      <c r="BF88" s="711">
        <f t="shared" si="85"/>
        <v>0</v>
      </c>
      <c r="DG88" s="252"/>
    </row>
    <row r="89" spans="3:113" x14ac:dyDescent="0.25">
      <c r="C89" s="1" t="s">
        <v>131</v>
      </c>
      <c r="F89" s="1280">
        <f t="shared" ref="F89:V89" si="86">F$59*F$22*(10^-6)</f>
        <v>5.5961872340425534E-3</v>
      </c>
      <c r="G89" s="241">
        <f t="shared" si="86"/>
        <v>5.4136799999999997E-3</v>
      </c>
      <c r="H89" s="241">
        <f t="shared" si="86"/>
        <v>5.3215643971631201E-3</v>
      </c>
      <c r="I89" s="1330">
        <f t="shared" si="86"/>
        <v>5.3253436559139783E-3</v>
      </c>
      <c r="J89" s="700">
        <f t="shared" si="86"/>
        <v>1.3289938752E-2</v>
      </c>
      <c r="K89" s="701">
        <f t="shared" si="86"/>
        <v>1.4884139999999999E-2</v>
      </c>
      <c r="L89" s="701">
        <f t="shared" si="86"/>
        <v>1.6216029999999999E-2</v>
      </c>
      <c r="M89" s="701">
        <f t="shared" si="86"/>
        <v>1.504928E-2</v>
      </c>
      <c r="N89" s="1437">
        <f t="shared" si="86"/>
        <v>1.4948759999999998E-2</v>
      </c>
      <c r="O89" s="1438">
        <f t="shared" si="86"/>
        <v>1.5149799999999998E-2</v>
      </c>
      <c r="P89" s="700">
        <f t="shared" si="86"/>
        <v>1.2746500000000001E-2</v>
      </c>
      <c r="Q89" s="701">
        <f t="shared" si="86"/>
        <v>1.2809408695652174E-2</v>
      </c>
      <c r="R89" s="701">
        <f t="shared" si="86"/>
        <v>1.3447482608695651E-2</v>
      </c>
      <c r="S89" s="1437">
        <f t="shared" si="86"/>
        <v>1.2851347826086957E-2</v>
      </c>
      <c r="T89" s="1437">
        <f t="shared" si="86"/>
        <v>1.24622875E-2</v>
      </c>
      <c r="U89" s="1437">
        <f t="shared" si="86"/>
        <v>1.2730600000000002E-2</v>
      </c>
      <c r="V89" s="701">
        <f t="shared" si="86"/>
        <v>0</v>
      </c>
      <c r="W89" s="452"/>
      <c r="X89" s="700">
        <f t="shared" ref="X89:AN89" si="87">X$59*X$22*(10^-6)</f>
        <v>2.3589957446808511E-4</v>
      </c>
      <c r="Y89" s="701">
        <f t="shared" si="87"/>
        <v>2.7238958499999997E-3</v>
      </c>
      <c r="Z89" s="701">
        <f t="shared" si="87"/>
        <v>1.4776523999999997E-4</v>
      </c>
      <c r="AA89" s="702">
        <f t="shared" si="87"/>
        <v>0</v>
      </c>
      <c r="AB89" s="700">
        <f t="shared" si="87"/>
        <v>1.1162499999999999E-4</v>
      </c>
      <c r="AC89" s="701">
        <f t="shared" si="87"/>
        <v>2.8841450000000003E-4</v>
      </c>
      <c r="AD89" s="701">
        <f t="shared" si="87"/>
        <v>1.8875232499999999E-4</v>
      </c>
      <c r="AE89" s="701">
        <f t="shared" si="87"/>
        <v>8.6913899999999981E-5</v>
      </c>
      <c r="AF89" s="701">
        <f t="shared" si="87"/>
        <v>0</v>
      </c>
      <c r="AG89" s="702">
        <f t="shared" si="87"/>
        <v>0</v>
      </c>
      <c r="AH89" s="700">
        <f t="shared" si="87"/>
        <v>0</v>
      </c>
      <c r="AI89" s="701">
        <f t="shared" si="87"/>
        <v>2.6296936666666664E-4</v>
      </c>
      <c r="AJ89" s="701">
        <f t="shared" si="87"/>
        <v>3.0518666666666663E-4</v>
      </c>
      <c r="AK89" s="701">
        <f t="shared" si="87"/>
        <v>1.8090359999999999E-4</v>
      </c>
      <c r="AL89" s="701">
        <f t="shared" si="87"/>
        <v>0</v>
      </c>
      <c r="AM89" s="701">
        <f t="shared" si="87"/>
        <v>0</v>
      </c>
      <c r="AN89" s="701">
        <f t="shared" si="87"/>
        <v>0</v>
      </c>
      <c r="AO89" s="435"/>
      <c r="AP89" s="241">
        <f t="shared" ref="AP89:BF89" si="88">AP$59*AP$22*(10^-6)</f>
        <v>4.2281259574468086E-3</v>
      </c>
      <c r="AQ89" s="241">
        <f t="shared" si="88"/>
        <v>3.5988999999999999E-3</v>
      </c>
      <c r="AR89" s="241">
        <f t="shared" si="88"/>
        <v>3.007165E-3</v>
      </c>
      <c r="AS89" s="240">
        <f t="shared" si="88"/>
        <v>2.1271599999999999E-3</v>
      </c>
      <c r="AT89" s="700">
        <f t="shared" si="88"/>
        <v>3.5898050000000002E-3</v>
      </c>
      <c r="AU89" s="701">
        <f t="shared" si="88"/>
        <v>1.1060366666666667E-3</v>
      </c>
      <c r="AV89" s="701">
        <f t="shared" si="88"/>
        <v>4.9799999999999996E-4</v>
      </c>
      <c r="AW89" s="701">
        <f t="shared" si="88"/>
        <v>3.8006999999999998E-4</v>
      </c>
      <c r="AX89" s="701">
        <f t="shared" si="88"/>
        <v>8.7373499999999994E-4</v>
      </c>
      <c r="AY89" s="702">
        <f t="shared" si="88"/>
        <v>4.5341750000000002E-4</v>
      </c>
      <c r="AZ89" s="700">
        <f t="shared" si="88"/>
        <v>4.9905166666666667E-4</v>
      </c>
      <c r="BA89" s="701">
        <f t="shared" si="88"/>
        <v>1.1099024999999998E-3</v>
      </c>
      <c r="BB89" s="701">
        <f t="shared" si="88"/>
        <v>3.4689049999999996E-3</v>
      </c>
      <c r="BC89" s="701">
        <f t="shared" si="88"/>
        <v>5.222983333333333E-4</v>
      </c>
      <c r="BD89" s="701">
        <f t="shared" si="88"/>
        <v>4.7105305882352939E-3</v>
      </c>
      <c r="BE89" s="701">
        <f t="shared" si="88"/>
        <v>1.3779071428571428E-3</v>
      </c>
      <c r="BF89" s="701">
        <f t="shared" si="88"/>
        <v>0</v>
      </c>
      <c r="BG89" s="435"/>
      <c r="BH89" s="278"/>
      <c r="BI89" s="278"/>
      <c r="BJ89" s="278"/>
      <c r="BK89" s="312"/>
      <c r="BL89" s="327"/>
      <c r="BM89" s="278"/>
      <c r="BN89" s="278"/>
      <c r="BO89" s="278"/>
      <c r="BP89" s="278"/>
      <c r="BQ89" s="312"/>
      <c r="BR89" s="327"/>
      <c r="BS89" s="278"/>
      <c r="BT89" s="278"/>
      <c r="BU89" s="278"/>
      <c r="BV89" s="278"/>
      <c r="BW89" s="278"/>
    </row>
    <row r="90" spans="3:113" ht="15.75" thickBot="1" x14ac:dyDescent="0.3">
      <c r="C90" s="1" t="s">
        <v>391</v>
      </c>
      <c r="F90" s="1282">
        <f>F$85+F$88</f>
        <v>8.5508246808510643E-2</v>
      </c>
      <c r="G90" s="579">
        <f t="shared" ref="G90:V90" si="89">G$85+G$88</f>
        <v>8.2719585000000012E-2</v>
      </c>
      <c r="H90" s="579">
        <f t="shared" si="89"/>
        <v>8.1312083182624117E-2</v>
      </c>
      <c r="I90" s="1357">
        <f t="shared" si="89"/>
        <v>8.1369829247311815E-2</v>
      </c>
      <c r="J90" s="740">
        <f t="shared" si="89"/>
        <v>6.4271991552000002E-2</v>
      </c>
      <c r="K90" s="1284">
        <f t="shared" si="89"/>
        <v>7.1981770434782599E-2</v>
      </c>
      <c r="L90" s="1284">
        <f t="shared" si="89"/>
        <v>7.8422975652173904E-2</v>
      </c>
      <c r="M90" s="1284">
        <f t="shared" si="89"/>
        <v>7.2780410434782603E-2</v>
      </c>
      <c r="N90" s="1439">
        <f t="shared" si="89"/>
        <v>7.2294281739130425E-2</v>
      </c>
      <c r="O90" s="1357">
        <f t="shared" si="89"/>
        <v>7.326653913043478E-2</v>
      </c>
      <c r="P90" s="740">
        <f t="shared" si="89"/>
        <v>0.12074950000000001</v>
      </c>
      <c r="Q90" s="579">
        <f t="shared" si="89"/>
        <v>0.12134544347826087</v>
      </c>
      <c r="R90" s="579">
        <f t="shared" si="89"/>
        <v>0.12739001304347825</v>
      </c>
      <c r="S90" s="1470">
        <f t="shared" si="89"/>
        <v>0.12174273913043476</v>
      </c>
      <c r="T90" s="1470">
        <f t="shared" si="89"/>
        <v>0.11805711249999999</v>
      </c>
      <c r="U90" s="1357">
        <f t="shared" si="89"/>
        <v>0.12059887692307691</v>
      </c>
      <c r="V90" s="1283">
        <f t="shared" si="89"/>
        <v>0</v>
      </c>
      <c r="W90" s="1285"/>
      <c r="X90" s="738">
        <f t="shared" ref="X90:BE90" si="90">SUM(X85:X89)</f>
        <v>1.1966323404255319E-3</v>
      </c>
      <c r="Y90" s="578">
        <f t="shared" si="90"/>
        <v>9.5986909499999988E-3</v>
      </c>
      <c r="Z90" s="578">
        <f t="shared" si="90"/>
        <v>5.8731709500000001E-4</v>
      </c>
      <c r="AA90" s="724">
        <f t="shared" si="90"/>
        <v>0</v>
      </c>
      <c r="AB90" s="738">
        <f t="shared" si="90"/>
        <v>4.3981249999999999E-4</v>
      </c>
      <c r="AC90" s="578">
        <f t="shared" si="90"/>
        <v>9.7154119000000014E-4</v>
      </c>
      <c r="AD90" s="578">
        <f t="shared" si="90"/>
        <v>6.9392624999999996E-4</v>
      </c>
      <c r="AE90" s="578">
        <f t="shared" si="90"/>
        <v>3.3211688333333327E-4</v>
      </c>
      <c r="AF90" s="578">
        <f t="shared" si="90"/>
        <v>0</v>
      </c>
      <c r="AG90" s="724">
        <f t="shared" si="90"/>
        <v>0</v>
      </c>
      <c r="AH90" s="738">
        <f t="shared" si="90"/>
        <v>0</v>
      </c>
      <c r="AI90" s="578">
        <f t="shared" si="90"/>
        <v>9.5609324999999974E-4</v>
      </c>
      <c r="AJ90" s="578">
        <f t="shared" si="90"/>
        <v>1.0860916666666665E-3</v>
      </c>
      <c r="AK90" s="578">
        <f t="shared" si="90"/>
        <v>7.215288749999999E-4</v>
      </c>
      <c r="AL90" s="578">
        <f t="shared" si="90"/>
        <v>0</v>
      </c>
      <c r="AM90" s="578">
        <f t="shared" ref="AM90:AN90" si="91">SUM(AM85:AM89)</f>
        <v>0</v>
      </c>
      <c r="AN90" s="578">
        <f t="shared" si="91"/>
        <v>0</v>
      </c>
      <c r="AO90" s="1286"/>
      <c r="AP90" s="578">
        <f t="shared" si="90"/>
        <v>2.2978143829787231E-2</v>
      </c>
      <c r="AQ90" s="578">
        <f t="shared" si="90"/>
        <v>2.0224599999999999E-2</v>
      </c>
      <c r="AR90" s="578">
        <f t="shared" si="90"/>
        <v>1.9175299999999999E-2</v>
      </c>
      <c r="AS90" s="724">
        <f t="shared" si="90"/>
        <v>1.790052E-2</v>
      </c>
      <c r="AT90" s="738">
        <f t="shared" si="90"/>
        <v>7.3746349999999992E-3</v>
      </c>
      <c r="AU90" s="578">
        <f t="shared" si="90"/>
        <v>6.6167633333333335E-3</v>
      </c>
      <c r="AV90" s="578">
        <f t="shared" si="90"/>
        <v>7.9148799999999991E-3</v>
      </c>
      <c r="AW90" s="578">
        <f t="shared" si="90"/>
        <v>6.7640099999999991E-3</v>
      </c>
      <c r="AX90" s="578">
        <f t="shared" si="90"/>
        <v>8.6480975000000002E-3</v>
      </c>
      <c r="AY90" s="724">
        <f t="shared" si="90"/>
        <v>8.1661575E-3</v>
      </c>
      <c r="AZ90" s="738">
        <f t="shared" si="90"/>
        <v>7.6633516666666669E-3</v>
      </c>
      <c r="BA90" s="578">
        <f t="shared" si="90"/>
        <v>1.0665112500000001E-2</v>
      </c>
      <c r="BB90" s="578">
        <f t="shared" si="90"/>
        <v>1.8311534999999997E-2</v>
      </c>
      <c r="BC90" s="578">
        <f t="shared" si="90"/>
        <v>1.1435423333333333E-2</v>
      </c>
      <c r="BD90" s="578">
        <f t="shared" si="90"/>
        <v>2.1945695294117645E-2</v>
      </c>
      <c r="BE90" s="578">
        <f t="shared" si="90"/>
        <v>1.4404074285714283E-2</v>
      </c>
      <c r="BF90" s="578">
        <f t="shared" ref="BF90" si="92">SUM(BF85:BF89)</f>
        <v>0</v>
      </c>
      <c r="BG90" s="558"/>
      <c r="BH90" s="557"/>
      <c r="BI90" s="557"/>
      <c r="BJ90" s="557"/>
      <c r="BK90" s="794"/>
      <c r="BL90" s="799"/>
      <c r="BM90" s="557"/>
      <c r="BN90" s="557"/>
      <c r="BO90" s="557"/>
      <c r="BP90" s="557"/>
      <c r="BQ90" s="794"/>
      <c r="BR90" s="799"/>
      <c r="BS90" s="557"/>
      <c r="BT90" s="557"/>
      <c r="BU90" s="557"/>
      <c r="BV90" s="557"/>
      <c r="BW90" s="557"/>
      <c r="BX90" s="228"/>
      <c r="BY90" s="463"/>
      <c r="BZ90" s="464"/>
      <c r="CA90" s="228"/>
      <c r="CB90" s="228"/>
      <c r="CC90" s="228"/>
      <c r="CD90" s="229"/>
      <c r="CE90" s="353"/>
      <c r="CF90" s="228"/>
      <c r="CG90" s="228"/>
      <c r="CH90" s="228"/>
      <c r="CI90" s="228"/>
      <c r="CJ90" s="229"/>
      <c r="CK90" s="353"/>
      <c r="CL90" s="228"/>
      <c r="CM90" s="228"/>
      <c r="CN90" s="228"/>
      <c r="CO90" s="228"/>
      <c r="CP90" s="228"/>
      <c r="CQ90" s="228"/>
      <c r="CR90" s="463"/>
      <c r="CS90" s="228"/>
      <c r="CT90" s="228"/>
      <c r="CU90" s="228"/>
      <c r="CV90" s="229"/>
      <c r="CW90" s="353"/>
      <c r="CX90" s="228"/>
      <c r="CY90" s="228"/>
      <c r="CZ90" s="228"/>
      <c r="DA90" s="228"/>
      <c r="DB90" s="229"/>
      <c r="DC90" s="353"/>
      <c r="DD90" s="228"/>
      <c r="DE90" s="228"/>
      <c r="DF90" s="228"/>
      <c r="DG90" s="228"/>
      <c r="DH90" s="228"/>
      <c r="DI90" s="228"/>
    </row>
    <row r="91" spans="3:113" s="360" customFormat="1" ht="16.5" thickTop="1" thickBot="1" x14ac:dyDescent="0.3">
      <c r="C91" s="374"/>
      <c r="D91" s="374"/>
      <c r="E91" s="374"/>
      <c r="F91" s="378"/>
      <c r="G91" s="377"/>
      <c r="H91" s="377"/>
      <c r="I91" s="1333"/>
      <c r="J91" s="378"/>
      <c r="K91" s="377"/>
      <c r="L91" s="377"/>
      <c r="M91" s="377"/>
      <c r="N91" s="1411"/>
      <c r="O91" s="1333"/>
      <c r="P91" s="378"/>
      <c r="Q91" s="377"/>
      <c r="R91" s="377"/>
      <c r="S91" s="1411"/>
      <c r="T91" s="1411"/>
      <c r="U91" s="1411"/>
      <c r="V91" s="377"/>
      <c r="W91" s="489"/>
      <c r="X91" s="378"/>
      <c r="Y91" s="377"/>
      <c r="Z91" s="377"/>
      <c r="AA91" s="359"/>
      <c r="AB91" s="378"/>
      <c r="AC91" s="377"/>
      <c r="AD91" s="377"/>
      <c r="AE91" s="377"/>
      <c r="AF91" s="377"/>
      <c r="AG91" s="359"/>
      <c r="AH91" s="378"/>
      <c r="AI91" s="377"/>
      <c r="AJ91" s="377"/>
      <c r="AK91" s="377"/>
      <c r="AL91" s="377"/>
      <c r="AM91" s="377"/>
      <c r="AN91" s="377"/>
      <c r="AO91" s="490"/>
      <c r="AP91" s="377"/>
      <c r="AQ91" s="377"/>
      <c r="AR91" s="377"/>
      <c r="AS91" s="359"/>
      <c r="AT91" s="378"/>
      <c r="AU91" s="377"/>
      <c r="AV91" s="377"/>
      <c r="AW91" s="377"/>
      <c r="AX91" s="377"/>
      <c r="AY91" s="359"/>
      <c r="AZ91" s="378"/>
      <c r="BA91" s="377"/>
      <c r="BB91" s="377"/>
      <c r="BC91" s="377"/>
      <c r="BD91" s="377"/>
      <c r="BE91" s="377"/>
      <c r="BF91" s="377"/>
      <c r="BG91" s="490"/>
      <c r="BH91" s="377"/>
      <c r="BI91" s="377"/>
      <c r="BJ91" s="377"/>
      <c r="BK91" s="359"/>
      <c r="BL91" s="378"/>
      <c r="BM91" s="377"/>
      <c r="BN91" s="377"/>
      <c r="BO91" s="377"/>
      <c r="BP91" s="377"/>
      <c r="BQ91" s="359"/>
      <c r="BR91" s="378"/>
      <c r="BS91" s="377"/>
      <c r="BT91" s="377"/>
      <c r="BU91" s="377"/>
      <c r="BV91" s="377"/>
      <c r="BW91" s="377"/>
      <c r="BX91" s="377"/>
      <c r="BY91" s="490"/>
      <c r="BZ91" s="492"/>
      <c r="CA91" s="377"/>
      <c r="CB91" s="377"/>
      <c r="CC91" s="377"/>
      <c r="CD91" s="359"/>
      <c r="CE91" s="378"/>
      <c r="CF91" s="377"/>
      <c r="CG91" s="377"/>
      <c r="CH91" s="377"/>
      <c r="CI91" s="377"/>
      <c r="CJ91" s="359"/>
      <c r="CK91" s="378"/>
      <c r="CL91" s="377"/>
      <c r="CM91" s="377"/>
      <c r="CN91" s="377"/>
      <c r="CO91" s="377"/>
      <c r="CP91" s="377"/>
      <c r="CQ91" s="377"/>
      <c r="CR91" s="490"/>
      <c r="CS91" s="377"/>
      <c r="CT91" s="377"/>
      <c r="CU91" s="377"/>
      <c r="CV91" s="359"/>
      <c r="CW91" s="378"/>
      <c r="CX91" s="377"/>
      <c r="CY91" s="377"/>
      <c r="CZ91" s="377"/>
      <c r="DA91" s="377"/>
      <c r="DB91" s="359"/>
      <c r="DC91" s="378"/>
      <c r="DD91" s="377"/>
      <c r="DE91" s="377"/>
      <c r="DF91" s="377"/>
      <c r="DG91" s="377"/>
      <c r="DH91" s="377"/>
      <c r="DI91" s="377"/>
    </row>
    <row r="92" spans="3:113" ht="15.75" thickTop="1" x14ac:dyDescent="0.25">
      <c r="C92" s="1" t="s">
        <v>170</v>
      </c>
      <c r="F92" s="559">
        <f t="shared" ref="F92:V92" si="93">F$59*F$26/100</f>
        <v>20.326927659574466</v>
      </c>
      <c r="G92" s="556">
        <f t="shared" si="93"/>
        <v>19.664009999999998</v>
      </c>
      <c r="H92" s="556">
        <f t="shared" si="93"/>
        <v>19.32942019503546</v>
      </c>
      <c r="I92" s="1358">
        <f t="shared" si="93"/>
        <v>19.343147526881719</v>
      </c>
      <c r="J92" s="559">
        <f t="shared" si="93"/>
        <v>9.1582598400000013</v>
      </c>
      <c r="K92" s="556">
        <f t="shared" si="93"/>
        <v>10.256843478260871</v>
      </c>
      <c r="L92" s="556">
        <f t="shared" si="93"/>
        <v>11.174665217391304</v>
      </c>
      <c r="M92" s="556">
        <f t="shared" si="93"/>
        <v>10.370643478260872</v>
      </c>
      <c r="N92" s="1440">
        <f t="shared" si="93"/>
        <v>10.301373913043479</v>
      </c>
      <c r="O92" s="1358">
        <f t="shared" si="93"/>
        <v>10.439913043478262</v>
      </c>
      <c r="P92" s="559">
        <f t="shared" si="93"/>
        <v>9.7088000000000001</v>
      </c>
      <c r="Q92" s="556">
        <f t="shared" si="93"/>
        <v>9.756716521739131</v>
      </c>
      <c r="R92" s="556">
        <f t="shared" si="93"/>
        <v>10.242726956521739</v>
      </c>
      <c r="S92" s="1440">
        <f t="shared" si="93"/>
        <v>9.7886608695652182</v>
      </c>
      <c r="T92" s="1440">
        <f t="shared" si="93"/>
        <v>9.4923200000000012</v>
      </c>
      <c r="U92" s="1440">
        <f t="shared" si="93"/>
        <v>9.6966892307692323</v>
      </c>
      <c r="V92" s="556">
        <f t="shared" si="93"/>
        <v>0</v>
      </c>
      <c r="W92" s="561"/>
      <c r="X92" s="559">
        <f t="shared" ref="X92:AM92" si="94">X$59*X$26/100</f>
        <v>2.137021276595745E-2</v>
      </c>
      <c r="Y92" s="556">
        <f t="shared" si="94"/>
        <v>4.1784499999999995E-2</v>
      </c>
      <c r="Z92" s="556">
        <f t="shared" si="94"/>
        <v>6.0233399999999999E-2</v>
      </c>
      <c r="AA92" s="560">
        <f t="shared" si="94"/>
        <v>0</v>
      </c>
      <c r="AB92" s="559">
        <f t="shared" si="94"/>
        <v>5.4749999999999993E-2</v>
      </c>
      <c r="AC92" s="556">
        <f t="shared" si="94"/>
        <v>4.7911340000000004E-2</v>
      </c>
      <c r="AD92" s="556">
        <f t="shared" si="94"/>
        <v>4.1438249999999996E-2</v>
      </c>
      <c r="AE92" s="556">
        <f t="shared" si="94"/>
        <v>2.3376883333333331E-2</v>
      </c>
      <c r="AF92" s="556">
        <f t="shared" si="94"/>
        <v>0</v>
      </c>
      <c r="AG92" s="560">
        <f t="shared" si="94"/>
        <v>0</v>
      </c>
      <c r="AH92" s="559">
        <f t="shared" si="94"/>
        <v>0</v>
      </c>
      <c r="AI92" s="556">
        <f t="shared" si="94"/>
        <v>4.4343499999999994E-2</v>
      </c>
      <c r="AJ92" s="556">
        <f t="shared" si="94"/>
        <v>3.4319791666666662E-2</v>
      </c>
      <c r="AK92" s="556">
        <f t="shared" si="94"/>
        <v>2.3366249999999998E-2</v>
      </c>
      <c r="AL92" s="556">
        <f t="shared" si="94"/>
        <v>0</v>
      </c>
      <c r="AM92" s="556">
        <f t="shared" si="94"/>
        <v>0</v>
      </c>
      <c r="AN92" s="556"/>
      <c r="AO92" s="562"/>
      <c r="AP92" s="556">
        <f t="shared" ref="AP92:BF92" si="95">AP$59*AP$26/100</f>
        <v>7.1902723404255315</v>
      </c>
      <c r="AQ92" s="556">
        <f t="shared" si="95"/>
        <v>6.5829999999999993</v>
      </c>
      <c r="AR92" s="556">
        <f t="shared" si="95"/>
        <v>6.6402299999999999</v>
      </c>
      <c r="AS92" s="560">
        <f t="shared" si="95"/>
        <v>6.7194400000000005</v>
      </c>
      <c r="AT92" s="559">
        <f t="shared" si="95"/>
        <v>1.3584499999999999</v>
      </c>
      <c r="AU92" s="556">
        <f t="shared" si="95"/>
        <v>1.7840266666666664</v>
      </c>
      <c r="AV92" s="556">
        <f t="shared" si="95"/>
        <v>2.407</v>
      </c>
      <c r="AW92" s="556">
        <f t="shared" si="95"/>
        <v>2.18154</v>
      </c>
      <c r="AX92" s="556">
        <f t="shared" si="95"/>
        <v>2.27359</v>
      </c>
      <c r="AY92" s="560">
        <f t="shared" si="95"/>
        <v>2.3816025000000001</v>
      </c>
      <c r="AZ92" s="559">
        <f t="shared" si="95"/>
        <v>2.2089925000000004</v>
      </c>
      <c r="BA92" s="556">
        <f t="shared" si="95"/>
        <v>1.8878999999999999</v>
      </c>
      <c r="BB92" s="556">
        <f t="shared" si="95"/>
        <v>2.0897800000000002</v>
      </c>
      <c r="BC92" s="556">
        <f t="shared" si="95"/>
        <v>1.937558333333333</v>
      </c>
      <c r="BD92" s="556">
        <f t="shared" si="95"/>
        <v>2.0234611764705885</v>
      </c>
      <c r="BE92" s="556">
        <f t="shared" si="95"/>
        <v>1.7972128571428572</v>
      </c>
      <c r="BF92" s="556">
        <f t="shared" si="95"/>
        <v>0</v>
      </c>
      <c r="BG92" s="562"/>
      <c r="BH92" s="556">
        <f t="shared" ref="BH92:BX92" si="96">BH$59*BH$26/100</f>
        <v>4.6225531914893623E-3</v>
      </c>
      <c r="BI92" s="556">
        <f t="shared" si="96"/>
        <v>9.7466666666666674E-3</v>
      </c>
      <c r="BJ92" s="556">
        <f t="shared" si="96"/>
        <v>2.6161666666666666E-2</v>
      </c>
      <c r="BK92" s="560">
        <f t="shared" si="96"/>
        <v>1.6215783333333334E-2</v>
      </c>
      <c r="BL92" s="559">
        <f t="shared" si="96"/>
        <v>3.6738750000000001E-2</v>
      </c>
      <c r="BM92" s="556">
        <f t="shared" si="96"/>
        <v>4.8399999999999997E-3</v>
      </c>
      <c r="BN92" s="556">
        <f t="shared" si="96"/>
        <v>8.6345833333333327E-3</v>
      </c>
      <c r="BO92" s="556">
        <f t="shared" si="96"/>
        <v>6.0080000000000003E-3</v>
      </c>
      <c r="BP92" s="556">
        <f t="shared" si="96"/>
        <v>5.6921666666666657E-3</v>
      </c>
      <c r="BQ92" s="560">
        <f t="shared" si="96"/>
        <v>5.9092500000000004E-3</v>
      </c>
      <c r="BR92" s="559">
        <f t="shared" si="96"/>
        <v>7.2712499999999991E-3</v>
      </c>
      <c r="BS92" s="556">
        <f t="shared" si="96"/>
        <v>7.7645000000000006E-3</v>
      </c>
      <c r="BT92" s="556">
        <f t="shared" si="96"/>
        <v>9.9933666666666681E-3</v>
      </c>
      <c r="BU92" s="556">
        <f t="shared" si="96"/>
        <v>8.3066666666666671E-3</v>
      </c>
      <c r="BV92" s="556">
        <f t="shared" si="96"/>
        <v>7.7020588235294125E-3</v>
      </c>
      <c r="BW92" s="556">
        <f t="shared" si="96"/>
        <v>9.5995000000000004E-3</v>
      </c>
      <c r="BX92" s="556">
        <f t="shared" si="96"/>
        <v>0</v>
      </c>
      <c r="BY92" s="563"/>
      <c r="BZ92" s="564"/>
      <c r="CA92" s="234"/>
      <c r="CB92" s="234"/>
      <c r="CC92" s="234"/>
      <c r="CD92" s="235"/>
      <c r="CE92" s="352"/>
      <c r="CF92" s="234"/>
      <c r="CG92" s="234"/>
      <c r="CH92" s="234"/>
      <c r="CI92" s="234"/>
      <c r="CJ92" s="235"/>
      <c r="CK92" s="352"/>
      <c r="CL92" s="234"/>
      <c r="CM92" s="234"/>
      <c r="CN92" s="234"/>
      <c r="CO92" s="234"/>
      <c r="CP92" s="234"/>
      <c r="CQ92" s="234"/>
      <c r="CR92" s="486"/>
      <c r="CS92" s="234"/>
      <c r="CT92" s="234"/>
      <c r="CU92" s="234"/>
      <c r="CV92" s="235"/>
      <c r="CW92" s="352"/>
      <c r="CX92" s="234"/>
      <c r="CY92" s="234"/>
      <c r="CZ92" s="234"/>
      <c r="DA92" s="234"/>
      <c r="DB92" s="235"/>
      <c r="DC92" s="352"/>
      <c r="DD92" s="234"/>
      <c r="DE92" s="234"/>
      <c r="DF92" s="234"/>
      <c r="DG92" s="234"/>
      <c r="DH92" s="234"/>
      <c r="DI92" s="234"/>
    </row>
    <row r="93" spans="3:113" x14ac:dyDescent="0.25">
      <c r="C93" s="1" t="s">
        <v>171</v>
      </c>
      <c r="F93" s="328">
        <f t="shared" ref="F93:V93" si="97">F$59*F$24/100</f>
        <v>1.9019565957446809</v>
      </c>
      <c r="G93" s="263">
        <f t="shared" si="97"/>
        <v>1.8399285000000001</v>
      </c>
      <c r="H93" s="263">
        <f t="shared" si="97"/>
        <v>1.8086214920212769</v>
      </c>
      <c r="I93" s="1359">
        <f t="shared" si="97"/>
        <v>1.8099059354838709</v>
      </c>
      <c r="J93" s="328">
        <f t="shared" si="97"/>
        <v>1.1875156608000002</v>
      </c>
      <c r="K93" s="263">
        <f t="shared" si="97"/>
        <v>1.329964695652174</v>
      </c>
      <c r="L93" s="263">
        <f t="shared" si="97"/>
        <v>1.4489750434782609</v>
      </c>
      <c r="M93" s="263">
        <f t="shared" si="97"/>
        <v>1.344720695652174</v>
      </c>
      <c r="N93" s="1441">
        <f t="shared" si="97"/>
        <v>1.3357387826086957</v>
      </c>
      <c r="O93" s="1359">
        <f t="shared" si="97"/>
        <v>1.3537026086956521</v>
      </c>
      <c r="P93" s="328">
        <f t="shared" si="97"/>
        <v>1.4547437999999999</v>
      </c>
      <c r="Q93" s="263">
        <f t="shared" si="97"/>
        <v>1.4619234991304346</v>
      </c>
      <c r="R93" s="263">
        <f t="shared" si="97"/>
        <v>1.5347461617391303</v>
      </c>
      <c r="S93" s="1441">
        <f t="shared" si="97"/>
        <v>1.4667099652173912</v>
      </c>
      <c r="T93" s="1441">
        <f t="shared" si="97"/>
        <v>1.4223069449999999</v>
      </c>
      <c r="U93" s="1441">
        <f t="shared" si="97"/>
        <v>1.4529291507692306</v>
      </c>
      <c r="V93" s="263">
        <f t="shared" si="97"/>
        <v>0</v>
      </c>
      <c r="W93" s="453"/>
      <c r="X93" s="328">
        <f t="shared" ref="X93:AM93" si="98">X$59*X$24/100</f>
        <v>1.5280851063829786E-3</v>
      </c>
      <c r="Y93" s="263">
        <f t="shared" si="98"/>
        <v>0</v>
      </c>
      <c r="Z93" s="263">
        <f t="shared" si="98"/>
        <v>5.9356009349999994E-3</v>
      </c>
      <c r="AA93" s="242">
        <f t="shared" si="98"/>
        <v>0</v>
      </c>
      <c r="AB93" s="328">
        <f t="shared" si="98"/>
        <v>4.84375E-3</v>
      </c>
      <c r="AC93" s="263">
        <f t="shared" si="98"/>
        <v>5.6736184199999993E-3</v>
      </c>
      <c r="AD93" s="263">
        <f t="shared" si="98"/>
        <v>7.2341537499999997E-3</v>
      </c>
      <c r="AE93" s="263">
        <f t="shared" si="98"/>
        <v>3.7460273833333328E-3</v>
      </c>
      <c r="AF93" s="263">
        <f t="shared" si="98"/>
        <v>0</v>
      </c>
      <c r="AG93" s="242">
        <f t="shared" si="98"/>
        <v>0</v>
      </c>
      <c r="AH93" s="328">
        <f t="shared" si="98"/>
        <v>0</v>
      </c>
      <c r="AI93" s="263">
        <f t="shared" si="98"/>
        <v>7.5225983333333324E-3</v>
      </c>
      <c r="AJ93" s="263">
        <f t="shared" si="98"/>
        <v>7.1723958333333336E-3</v>
      </c>
      <c r="AK93" s="263">
        <f t="shared" si="98"/>
        <v>5.2584524999999991E-3</v>
      </c>
      <c r="AL93" s="263">
        <f t="shared" si="98"/>
        <v>0</v>
      </c>
      <c r="AM93" s="263">
        <f t="shared" si="98"/>
        <v>0</v>
      </c>
      <c r="AN93" s="263"/>
      <c r="AO93" s="436"/>
      <c r="AP93" s="263">
        <f t="shared" ref="AP93:BF93" si="99">AP$59*AP$24/100</f>
        <v>1.1633491914893617</v>
      </c>
      <c r="AQ93" s="263">
        <f t="shared" si="99"/>
        <v>1.11273</v>
      </c>
      <c r="AR93" s="263">
        <f t="shared" si="99"/>
        <v>1.0071299999999999</v>
      </c>
      <c r="AS93" s="242">
        <f t="shared" si="99"/>
        <v>1.083744</v>
      </c>
      <c r="AT93" s="328">
        <f t="shared" si="99"/>
        <v>0.41420889000000005</v>
      </c>
      <c r="AU93" s="263">
        <f t="shared" si="99"/>
        <v>0.77093299999999998</v>
      </c>
      <c r="AV93" s="263">
        <f t="shared" si="99"/>
        <v>0.90851799999999994</v>
      </c>
      <c r="AW93" s="263">
        <f t="shared" si="99"/>
        <v>0.82778473500000005</v>
      </c>
      <c r="AX93" s="263">
        <f t="shared" si="99"/>
        <v>0.90139544583333331</v>
      </c>
      <c r="AY93" s="242">
        <f t="shared" si="99"/>
        <v>0.86860710750000014</v>
      </c>
      <c r="AZ93" s="328">
        <f t="shared" si="99"/>
        <v>0.87333123166666671</v>
      </c>
      <c r="BA93" s="263">
        <f t="shared" si="99"/>
        <v>0.93435825000000006</v>
      </c>
      <c r="BB93" s="263">
        <f t="shared" si="99"/>
        <v>1.07880025</v>
      </c>
      <c r="BC93" s="263">
        <f t="shared" si="99"/>
        <v>0.99194103</v>
      </c>
      <c r="BD93" s="263">
        <f t="shared" si="99"/>
        <v>1.0001663988235294</v>
      </c>
      <c r="BE93" s="263">
        <f t="shared" si="99"/>
        <v>0.85786257142857136</v>
      </c>
      <c r="BF93" s="263">
        <f t="shared" si="99"/>
        <v>0</v>
      </c>
      <c r="BG93" s="436"/>
      <c r="BH93" s="263">
        <f t="shared" ref="BH93:BX93" si="100">BH$59*BH$24/100</f>
        <v>1.2145531914893619E-3</v>
      </c>
      <c r="BI93" s="263">
        <f t="shared" si="100"/>
        <v>3.7030166666666676E-3</v>
      </c>
      <c r="BJ93" s="263">
        <f t="shared" si="100"/>
        <v>9.9421666666666651E-3</v>
      </c>
      <c r="BK93" s="242">
        <f t="shared" si="100"/>
        <v>8.1290583333333347E-3</v>
      </c>
      <c r="BL93" s="328">
        <f t="shared" si="100"/>
        <v>1.8100209999999999E-2</v>
      </c>
      <c r="BM93" s="263">
        <f t="shared" si="100"/>
        <v>5.3533333333333332E-3</v>
      </c>
      <c r="BN93" s="263">
        <f t="shared" si="100"/>
        <v>8.7898333333333353E-3</v>
      </c>
      <c r="BO93" s="263">
        <f t="shared" si="100"/>
        <v>7.6160000000000004E-3</v>
      </c>
      <c r="BP93" s="263">
        <f t="shared" si="100"/>
        <v>6.6834783333333337E-3</v>
      </c>
      <c r="BQ93" s="242">
        <f t="shared" si="100"/>
        <v>7.3085249999999997E-3</v>
      </c>
      <c r="BR93" s="328">
        <f t="shared" si="100"/>
        <v>8.0101874999999999E-3</v>
      </c>
      <c r="BS93" s="263">
        <f t="shared" si="100"/>
        <v>8.9393333333333339E-3</v>
      </c>
      <c r="BT93" s="263">
        <f t="shared" si="100"/>
        <v>9.8714333333333321E-3</v>
      </c>
      <c r="BU93" s="263">
        <f t="shared" si="100"/>
        <v>8.6004800000000006E-3</v>
      </c>
      <c r="BV93" s="263">
        <f t="shared" si="100"/>
        <v>7.6605000000000015E-3</v>
      </c>
      <c r="BW93" s="263">
        <f t="shared" si="100"/>
        <v>9.4607999999999984E-3</v>
      </c>
      <c r="BX93" s="263">
        <f t="shared" si="100"/>
        <v>0</v>
      </c>
      <c r="BY93" s="437"/>
      <c r="BZ93" s="280"/>
    </row>
    <row r="94" spans="3:113" x14ac:dyDescent="0.25">
      <c r="C94" s="1" t="s">
        <v>389</v>
      </c>
      <c r="F94" s="329">
        <f t="shared" ref="F94" si="101">SUM(F92:F93)</f>
        <v>22.228884255319148</v>
      </c>
      <c r="G94" s="281">
        <f t="shared" ref="G94:BS94" si="102">SUM(G92:G93)</f>
        <v>21.503938499999997</v>
      </c>
      <c r="H94" s="281">
        <f t="shared" si="102"/>
        <v>21.138041687056738</v>
      </c>
      <c r="I94" s="1360">
        <f t="shared" si="102"/>
        <v>21.153053462365591</v>
      </c>
      <c r="J94" s="329">
        <f t="shared" si="102"/>
        <v>10.345775500800002</v>
      </c>
      <c r="K94" s="281">
        <f t="shared" si="102"/>
        <v>11.586808173913045</v>
      </c>
      <c r="L94" s="281">
        <f t="shared" si="102"/>
        <v>12.623640260869564</v>
      </c>
      <c r="M94" s="281">
        <f t="shared" si="102"/>
        <v>11.715364173913047</v>
      </c>
      <c r="N94" s="1442">
        <f t="shared" si="102"/>
        <v>11.637112695652174</v>
      </c>
      <c r="O94" s="1360">
        <f t="shared" si="102"/>
        <v>11.793615652173914</v>
      </c>
      <c r="P94" s="329">
        <f t="shared" si="102"/>
        <v>11.163543799999999</v>
      </c>
      <c r="Q94" s="281">
        <f t="shared" si="102"/>
        <v>11.218640020869566</v>
      </c>
      <c r="R94" s="281">
        <f t="shared" si="102"/>
        <v>11.77747311826087</v>
      </c>
      <c r="S94" s="1442">
        <f t="shared" si="102"/>
        <v>11.25537083478261</v>
      </c>
      <c r="T94" s="1442">
        <f t="shared" si="102"/>
        <v>10.914626945000002</v>
      </c>
      <c r="U94" s="1442">
        <f t="shared" si="102"/>
        <v>11.149618381538463</v>
      </c>
      <c r="V94" s="281">
        <f t="shared" ref="V94" si="103">SUM(V92:V93)</f>
        <v>0</v>
      </c>
      <c r="W94" s="454"/>
      <c r="X94" s="329">
        <f t="shared" si="102"/>
        <v>2.2898297872340427E-2</v>
      </c>
      <c r="Y94" s="281">
        <f t="shared" si="102"/>
        <v>4.1784499999999995E-2</v>
      </c>
      <c r="Z94" s="281">
        <f t="shared" si="102"/>
        <v>6.6169000935E-2</v>
      </c>
      <c r="AA94" s="313">
        <f t="shared" si="102"/>
        <v>0</v>
      </c>
      <c r="AB94" s="329">
        <f t="shared" si="102"/>
        <v>5.9593749999999994E-2</v>
      </c>
      <c r="AC94" s="281">
        <f t="shared" si="102"/>
        <v>5.3584958420000002E-2</v>
      </c>
      <c r="AD94" s="281">
        <f t="shared" si="102"/>
        <v>4.8672403749999996E-2</v>
      </c>
      <c r="AE94" s="281">
        <f t="shared" si="102"/>
        <v>2.7122910716666664E-2</v>
      </c>
      <c r="AF94" s="281">
        <f t="shared" si="102"/>
        <v>0</v>
      </c>
      <c r="AG94" s="313">
        <f t="shared" si="102"/>
        <v>0</v>
      </c>
      <c r="AH94" s="329">
        <f t="shared" si="102"/>
        <v>0</v>
      </c>
      <c r="AI94" s="281">
        <f t="shared" si="102"/>
        <v>5.1866098333333326E-2</v>
      </c>
      <c r="AJ94" s="281">
        <f t="shared" si="102"/>
        <v>4.1492187499999993E-2</v>
      </c>
      <c r="AK94" s="281">
        <f t="shared" si="102"/>
        <v>2.8624702499999998E-2</v>
      </c>
      <c r="AL94" s="281">
        <f t="shared" si="102"/>
        <v>0</v>
      </c>
      <c r="AM94" s="281">
        <f t="shared" ref="AM94" si="104">SUM(AM92:AM93)</f>
        <v>0</v>
      </c>
      <c r="AN94" s="281"/>
      <c r="AO94" s="438"/>
      <c r="AP94" s="281">
        <f t="shared" si="102"/>
        <v>8.353621531914893</v>
      </c>
      <c r="AQ94" s="281">
        <f t="shared" si="102"/>
        <v>7.6957299999999993</v>
      </c>
      <c r="AR94" s="281">
        <f t="shared" si="102"/>
        <v>7.6473599999999999</v>
      </c>
      <c r="AS94" s="313">
        <f t="shared" si="102"/>
        <v>7.8031840000000008</v>
      </c>
      <c r="AT94" s="329">
        <f t="shared" si="102"/>
        <v>1.77265889</v>
      </c>
      <c r="AU94" s="281">
        <f t="shared" si="102"/>
        <v>2.5549596666666665</v>
      </c>
      <c r="AV94" s="281">
        <f t="shared" si="102"/>
        <v>3.315518</v>
      </c>
      <c r="AW94" s="281">
        <f t="shared" si="102"/>
        <v>3.0093247349999999</v>
      </c>
      <c r="AX94" s="281">
        <f t="shared" si="102"/>
        <v>3.1749854458333333</v>
      </c>
      <c r="AY94" s="313">
        <f t="shared" si="102"/>
        <v>3.2502096075000004</v>
      </c>
      <c r="AZ94" s="329">
        <f t="shared" si="102"/>
        <v>3.082323731666667</v>
      </c>
      <c r="BA94" s="281">
        <f t="shared" si="102"/>
        <v>2.82225825</v>
      </c>
      <c r="BB94" s="281">
        <f t="shared" si="102"/>
        <v>3.1685802500000002</v>
      </c>
      <c r="BC94" s="281">
        <f t="shared" si="102"/>
        <v>2.9294993633333331</v>
      </c>
      <c r="BD94" s="281">
        <f t="shared" si="102"/>
        <v>3.023627575294118</v>
      </c>
      <c r="BE94" s="281">
        <f t="shared" si="102"/>
        <v>2.6550754285714286</v>
      </c>
      <c r="BF94" s="281">
        <f t="shared" ref="BF94" si="105">SUM(BF92:BF93)</f>
        <v>0</v>
      </c>
      <c r="BG94" s="438"/>
      <c r="BH94" s="281">
        <f t="shared" si="102"/>
        <v>5.8371063829787241E-3</v>
      </c>
      <c r="BI94" s="281">
        <f t="shared" si="102"/>
        <v>1.3449683333333335E-2</v>
      </c>
      <c r="BJ94" s="281">
        <f t="shared" si="102"/>
        <v>3.6103833333333335E-2</v>
      </c>
      <c r="BK94" s="313">
        <f t="shared" si="102"/>
        <v>2.4344841666666669E-2</v>
      </c>
      <c r="BL94" s="329">
        <f t="shared" si="102"/>
        <v>5.4838959999999999E-2</v>
      </c>
      <c r="BM94" s="281">
        <f t="shared" si="102"/>
        <v>1.0193333333333332E-2</v>
      </c>
      <c r="BN94" s="281">
        <f t="shared" si="102"/>
        <v>1.7424416666666668E-2</v>
      </c>
      <c r="BO94" s="281">
        <f t="shared" si="102"/>
        <v>1.3624000000000001E-2</v>
      </c>
      <c r="BP94" s="281">
        <f t="shared" si="102"/>
        <v>1.2375644999999999E-2</v>
      </c>
      <c r="BQ94" s="313">
        <f t="shared" si="102"/>
        <v>1.3217775000000001E-2</v>
      </c>
      <c r="BR94" s="329">
        <f t="shared" si="102"/>
        <v>1.5281437499999998E-2</v>
      </c>
      <c r="BS94" s="281">
        <f t="shared" si="102"/>
        <v>1.6703833333333334E-2</v>
      </c>
      <c r="BT94" s="281">
        <f t="shared" ref="BT94:BW94" si="106">SUM(BT92:BT93)</f>
        <v>1.9864800000000002E-2</v>
      </c>
      <c r="BU94" s="281">
        <f t="shared" si="106"/>
        <v>1.6907146666666668E-2</v>
      </c>
      <c r="BV94" s="281">
        <f t="shared" si="106"/>
        <v>1.5362558823529413E-2</v>
      </c>
      <c r="BW94" s="281">
        <f t="shared" si="106"/>
        <v>1.9060299999999999E-2</v>
      </c>
      <c r="BX94" s="281">
        <f t="shared" ref="BX94" si="107">SUM(BX92:BX93)</f>
        <v>0</v>
      </c>
      <c r="BY94" s="437"/>
      <c r="BZ94" s="280"/>
    </row>
    <row r="95" spans="3:113" ht="15.75" thickBot="1" x14ac:dyDescent="0.3">
      <c r="F95" s="353"/>
      <c r="G95" s="228"/>
      <c r="H95" s="228"/>
      <c r="I95" s="1361"/>
      <c r="J95" s="353"/>
      <c r="K95" s="228"/>
      <c r="L95" s="228"/>
      <c r="M95" s="228"/>
      <c r="N95" s="1443"/>
      <c r="O95" s="1361"/>
      <c r="P95" s="353"/>
      <c r="Q95" s="228"/>
      <c r="R95" s="228"/>
      <c r="S95" s="1443"/>
      <c r="T95" s="1443"/>
      <c r="U95" s="1443"/>
      <c r="V95" s="228"/>
      <c r="W95" s="476"/>
      <c r="X95" s="353"/>
      <c r="Y95" s="228"/>
      <c r="Z95" s="228"/>
      <c r="AA95" s="229"/>
      <c r="AB95" s="353"/>
      <c r="AC95" s="228"/>
      <c r="AD95" s="228"/>
      <c r="AE95" s="228"/>
      <c r="AF95" s="228"/>
      <c r="AG95" s="229"/>
      <c r="AH95" s="353"/>
      <c r="AI95" s="228"/>
      <c r="AJ95" s="228"/>
      <c r="AK95" s="228"/>
      <c r="AL95" s="228"/>
      <c r="AM95" s="228"/>
      <c r="AN95" s="228"/>
      <c r="AO95" s="463"/>
      <c r="AP95" s="228"/>
      <c r="AQ95" s="228"/>
      <c r="AR95" s="228"/>
      <c r="AS95" s="229"/>
      <c r="AT95" s="353"/>
      <c r="AU95" s="228"/>
      <c r="AV95" s="228"/>
      <c r="AW95" s="228"/>
      <c r="AX95" s="228"/>
      <c r="AY95" s="229"/>
      <c r="AZ95" s="353"/>
      <c r="BA95" s="228"/>
      <c r="BB95" s="228"/>
      <c r="BC95" s="228"/>
      <c r="BD95" s="228"/>
      <c r="BE95" s="228"/>
      <c r="BF95" s="228"/>
      <c r="BG95" s="463"/>
      <c r="BH95" s="228"/>
      <c r="BI95" s="228"/>
      <c r="BJ95" s="228"/>
      <c r="BK95" s="229"/>
      <c r="BL95" s="353"/>
      <c r="BM95" s="228"/>
      <c r="BN95" s="228"/>
      <c r="BO95" s="228"/>
      <c r="BP95" s="228"/>
      <c r="BQ95" s="229"/>
      <c r="BR95" s="353"/>
      <c r="BS95" s="228"/>
      <c r="BT95" s="228"/>
      <c r="BU95" s="228"/>
      <c r="BV95" s="228"/>
      <c r="BW95" s="228"/>
      <c r="BX95" s="228"/>
      <c r="BY95" s="463"/>
      <c r="BZ95" s="464"/>
      <c r="CA95" s="228"/>
      <c r="CB95" s="228"/>
      <c r="CC95" s="228"/>
      <c r="CD95" s="229"/>
      <c r="CE95" s="353"/>
      <c r="CF95" s="228"/>
      <c r="CG95" s="228"/>
      <c r="CH95" s="228"/>
      <c r="CI95" s="228"/>
      <c r="CJ95" s="229"/>
      <c r="CK95" s="353"/>
      <c r="CL95" s="228"/>
      <c r="CM95" s="228"/>
      <c r="CN95" s="228"/>
      <c r="CO95" s="228"/>
      <c r="CP95" s="228"/>
      <c r="CQ95" s="228"/>
      <c r="CR95" s="463"/>
      <c r="CS95" s="228"/>
      <c r="CT95" s="228"/>
      <c r="CU95" s="228"/>
      <c r="CV95" s="229"/>
      <c r="CW95" s="353"/>
      <c r="CX95" s="228"/>
      <c r="CY95" s="228"/>
      <c r="CZ95" s="228"/>
      <c r="DA95" s="228"/>
      <c r="DB95" s="229"/>
      <c r="DC95" s="353"/>
      <c r="DD95" s="228"/>
      <c r="DE95" s="228"/>
      <c r="DF95" s="228"/>
      <c r="DG95" s="228"/>
      <c r="DH95" s="228"/>
      <c r="DI95" s="228"/>
    </row>
    <row r="96" spans="3:113" s="528" customFormat="1" ht="15.75" thickTop="1" x14ac:dyDescent="0.25">
      <c r="C96" s="524" t="s">
        <v>132</v>
      </c>
      <c r="D96" s="524"/>
      <c r="E96" s="524"/>
      <c r="F96" s="565">
        <f t="shared" ref="F96:V96" si="108">F$59*F$28/100</f>
        <v>77.898382978723419</v>
      </c>
      <c r="G96" s="527">
        <f>G$59*G$28/100</f>
        <v>75.357900000000015</v>
      </c>
      <c r="H96" s="511">
        <f t="shared" si="108"/>
        <v>74.07565975177306</v>
      </c>
      <c r="I96" s="1362">
        <f t="shared" si="108"/>
        <v>74.128266666666661</v>
      </c>
      <c r="J96" s="565">
        <f t="shared" si="108"/>
        <v>53.468785920000009</v>
      </c>
      <c r="K96" s="527">
        <f t="shared" si="108"/>
        <v>59.882660869565214</v>
      </c>
      <c r="L96" s="527">
        <f t="shared" si="108"/>
        <v>65.241191304347822</v>
      </c>
      <c r="M96" s="527">
        <f t="shared" si="108"/>
        <v>60.547060869565222</v>
      </c>
      <c r="N96" s="1444">
        <f t="shared" si="108"/>
        <v>60.142643478260872</v>
      </c>
      <c r="O96" s="1362">
        <f t="shared" si="108"/>
        <v>60.951478260869564</v>
      </c>
      <c r="P96" s="565">
        <f t="shared" si="108"/>
        <v>74.518000000000001</v>
      </c>
      <c r="Q96" s="527">
        <f t="shared" si="108"/>
        <v>74.885773913043479</v>
      </c>
      <c r="R96" s="527">
        <f t="shared" si="108"/>
        <v>78.616052173913033</v>
      </c>
      <c r="S96" s="1444">
        <f t="shared" si="108"/>
        <v>75.130956521739137</v>
      </c>
      <c r="T96" s="1444">
        <f t="shared" si="108"/>
        <v>72.856450000000009</v>
      </c>
      <c r="U96" s="1444">
        <f t="shared" si="108"/>
        <v>74.425046153846154</v>
      </c>
      <c r="V96" s="527">
        <f t="shared" si="108"/>
        <v>0</v>
      </c>
      <c r="W96" s="567"/>
      <c r="X96" s="565">
        <f t="shared" ref="X96:AM96" si="109">X$59*X$28/100</f>
        <v>6.1506382978723399E-2</v>
      </c>
      <c r="Y96" s="527">
        <f t="shared" si="109"/>
        <v>0</v>
      </c>
      <c r="Z96" s="527">
        <f t="shared" si="109"/>
        <v>0.18125279999999996</v>
      </c>
      <c r="AA96" s="566">
        <f t="shared" si="109"/>
        <v>0</v>
      </c>
      <c r="AB96" s="565">
        <f t="shared" si="109"/>
        <v>0.21162500000000001</v>
      </c>
      <c r="AC96" s="527">
        <f t="shared" si="109"/>
        <v>0.24032410000000001</v>
      </c>
      <c r="AD96" s="527">
        <f t="shared" si="109"/>
        <v>0.24227125000000002</v>
      </c>
      <c r="AE96" s="527">
        <f t="shared" si="109"/>
        <v>0.13133416666666664</v>
      </c>
      <c r="AF96" s="527">
        <f t="shared" si="109"/>
        <v>0</v>
      </c>
      <c r="AG96" s="566">
        <f t="shared" si="109"/>
        <v>0</v>
      </c>
      <c r="AH96" s="565">
        <f t="shared" si="109"/>
        <v>0</v>
      </c>
      <c r="AI96" s="527">
        <f t="shared" si="109"/>
        <v>0.2272463333333333</v>
      </c>
      <c r="AJ96" s="527">
        <f t="shared" si="109"/>
        <v>0.19886874999999996</v>
      </c>
      <c r="AK96" s="527">
        <f t="shared" si="109"/>
        <v>0.15365925</v>
      </c>
      <c r="AL96" s="527">
        <f t="shared" si="109"/>
        <v>0</v>
      </c>
      <c r="AM96" s="527">
        <f t="shared" si="109"/>
        <v>0</v>
      </c>
      <c r="AN96" s="527"/>
      <c r="AO96" s="568"/>
      <c r="AP96" s="527">
        <f t="shared" ref="AP96:BF96" si="110">AP$59*AP$28/100</f>
        <v>32.786412765957444</v>
      </c>
      <c r="AQ96" s="527">
        <f t="shared" si="110"/>
        <v>28.796999999999997</v>
      </c>
      <c r="AR96" s="527">
        <f t="shared" si="110"/>
        <v>31.579499999999999</v>
      </c>
      <c r="AS96" s="566">
        <f t="shared" si="110"/>
        <v>28.854400000000002</v>
      </c>
      <c r="AT96" s="565">
        <f t="shared" si="110"/>
        <v>8.07</v>
      </c>
      <c r="AU96" s="527">
        <f t="shared" si="110"/>
        <v>15.74493333333333</v>
      </c>
      <c r="AV96" s="527">
        <f t="shared" si="110"/>
        <v>18.890800000000002</v>
      </c>
      <c r="AW96" s="527">
        <f t="shared" si="110"/>
        <v>17.597550000000002</v>
      </c>
      <c r="AX96" s="527">
        <f t="shared" si="110"/>
        <v>18.210641666666671</v>
      </c>
      <c r="AY96" s="566">
        <f t="shared" si="110"/>
        <v>20.813874999999999</v>
      </c>
      <c r="AZ96" s="565">
        <f t="shared" si="110"/>
        <v>18.461850000000002</v>
      </c>
      <c r="BA96" s="527">
        <f t="shared" si="110"/>
        <v>17.950274999999998</v>
      </c>
      <c r="BB96" s="527">
        <f t="shared" si="110"/>
        <v>19.875624999999999</v>
      </c>
      <c r="BC96" s="527">
        <f t="shared" si="110"/>
        <v>18.686333333333334</v>
      </c>
      <c r="BD96" s="527">
        <f t="shared" si="110"/>
        <v>19.737294117647057</v>
      </c>
      <c r="BE96" s="527">
        <f t="shared" si="110"/>
        <v>17.919385714285717</v>
      </c>
      <c r="BF96" s="527">
        <f t="shared" si="110"/>
        <v>0</v>
      </c>
      <c r="BG96" s="484"/>
      <c r="BH96" s="527"/>
      <c r="BI96" s="527"/>
      <c r="BJ96" s="527"/>
      <c r="BK96" s="566"/>
      <c r="BL96" s="565"/>
      <c r="BM96" s="527"/>
      <c r="BN96" s="527"/>
      <c r="BO96" s="527"/>
      <c r="BP96" s="527"/>
      <c r="BQ96" s="566"/>
      <c r="BR96" s="565"/>
      <c r="BS96" s="527"/>
      <c r="BT96" s="527"/>
      <c r="BU96" s="527"/>
      <c r="BV96" s="527"/>
      <c r="BW96" s="527"/>
      <c r="BX96" s="527"/>
      <c r="BY96" s="482"/>
      <c r="BZ96" s="485"/>
      <c r="CA96" s="466"/>
      <c r="CB96" s="466"/>
      <c r="CC96" s="466"/>
      <c r="CD96" s="519"/>
      <c r="CE96" s="481"/>
      <c r="CF96" s="466"/>
      <c r="CG96" s="466"/>
      <c r="CH96" s="466"/>
      <c r="CI96" s="466"/>
      <c r="CJ96" s="519"/>
      <c r="CK96" s="481"/>
      <c r="CL96" s="466"/>
      <c r="CM96" s="466"/>
      <c r="CN96" s="466"/>
      <c r="CO96" s="466"/>
      <c r="CP96" s="466"/>
      <c r="CQ96" s="466"/>
      <c r="CR96" s="482"/>
      <c r="CS96" s="466"/>
      <c r="CT96" s="466"/>
      <c r="CU96" s="466"/>
      <c r="CV96" s="519"/>
      <c r="CW96" s="481"/>
      <c r="CX96" s="466"/>
      <c r="CY96" s="466"/>
      <c r="CZ96" s="466"/>
      <c r="DA96" s="466"/>
      <c r="DB96" s="519"/>
      <c r="DC96" s="481"/>
      <c r="DD96" s="466"/>
      <c r="DE96" s="466"/>
      <c r="DF96" s="466"/>
      <c r="DG96" s="466"/>
      <c r="DH96" s="466"/>
      <c r="DI96" s="466"/>
    </row>
    <row r="97" spans="3:114" s="506" customFormat="1" ht="15.75" thickBot="1" x14ac:dyDescent="0.3">
      <c r="C97" s="499" t="s">
        <v>133</v>
      </c>
      <c r="D97" s="499"/>
      <c r="E97" s="499"/>
      <c r="F97" s="569">
        <f t="shared" ref="F97:V97" si="111">F$59*F$30/100</f>
        <v>41.496000000000002</v>
      </c>
      <c r="G97" s="570">
        <f t="shared" si="111"/>
        <v>40.142700000000005</v>
      </c>
      <c r="H97" s="521">
        <f t="shared" si="111"/>
        <v>39.459658333333337</v>
      </c>
      <c r="I97" s="1363">
        <f t="shared" si="111"/>
        <v>39.48768172043011</v>
      </c>
      <c r="J97" s="569">
        <f t="shared" si="111"/>
        <v>33.639302399999998</v>
      </c>
      <c r="K97" s="570">
        <f t="shared" si="111"/>
        <v>37.674521739130434</v>
      </c>
      <c r="L97" s="570">
        <f t="shared" si="111"/>
        <v>41.045782608695653</v>
      </c>
      <c r="M97" s="570">
        <f t="shared" si="111"/>
        <v>38.092521739130433</v>
      </c>
      <c r="N97" s="1445">
        <f t="shared" si="111"/>
        <v>37.838086956521735</v>
      </c>
      <c r="O97" s="1363">
        <f t="shared" si="111"/>
        <v>38.346956521739131</v>
      </c>
      <c r="P97" s="569">
        <f t="shared" si="111"/>
        <v>40.700000000000003</v>
      </c>
      <c r="Q97" s="570">
        <f t="shared" si="111"/>
        <v>40.900869565217391</v>
      </c>
      <c r="R97" s="570">
        <f t="shared" si="111"/>
        <v>42.938260869565219</v>
      </c>
      <c r="S97" s="1445">
        <f t="shared" si="111"/>
        <v>41.03478260869565</v>
      </c>
      <c r="T97" s="1445">
        <f t="shared" si="111"/>
        <v>39.792499999999997</v>
      </c>
      <c r="U97" s="1445">
        <f t="shared" si="111"/>
        <v>40.649230769230769</v>
      </c>
      <c r="V97" s="570">
        <f t="shared" si="111"/>
        <v>0</v>
      </c>
      <c r="W97" s="572"/>
      <c r="X97" s="569">
        <f t="shared" ref="X97:AM97" si="112">X$59*X$30/100</f>
        <v>3.7531914893617027E-2</v>
      </c>
      <c r="Y97" s="570">
        <f t="shared" si="112"/>
        <v>8.781499999999999E-2</v>
      </c>
      <c r="Z97" s="570">
        <f t="shared" si="112"/>
        <v>0.12709799999999999</v>
      </c>
      <c r="AA97" s="571">
        <f t="shared" si="112"/>
        <v>0</v>
      </c>
      <c r="AB97" s="569">
        <f t="shared" si="112"/>
        <v>0.11749999999999999</v>
      </c>
      <c r="AC97" s="570">
        <f t="shared" si="112"/>
        <v>0.14324799999999999</v>
      </c>
      <c r="AD97" s="570">
        <f t="shared" si="112"/>
        <v>0.153475</v>
      </c>
      <c r="AE97" s="570">
        <f t="shared" si="112"/>
        <v>8.616E-2</v>
      </c>
      <c r="AF97" s="570">
        <f t="shared" si="112"/>
        <v>0</v>
      </c>
      <c r="AG97" s="571">
        <f t="shared" si="112"/>
        <v>0</v>
      </c>
      <c r="AH97" s="569">
        <f t="shared" si="112"/>
        <v>0</v>
      </c>
      <c r="AI97" s="570">
        <f t="shared" si="112"/>
        <v>0.16473666666666664</v>
      </c>
      <c r="AJ97" s="570">
        <f t="shared" si="112"/>
        <v>0.12562708333333333</v>
      </c>
      <c r="AK97" s="570">
        <f t="shared" si="112"/>
        <v>0.10043999999999999</v>
      </c>
      <c r="AL97" s="570">
        <f t="shared" si="112"/>
        <v>0</v>
      </c>
      <c r="AM97" s="570">
        <f t="shared" si="112"/>
        <v>0</v>
      </c>
      <c r="AN97" s="570"/>
      <c r="AO97" s="573"/>
      <c r="AP97" s="570">
        <f t="shared" ref="AP97:BF97" si="113">AP$59*AP$30/100</f>
        <v>14.134723404255316</v>
      </c>
      <c r="AQ97" s="570">
        <f t="shared" si="113"/>
        <v>12.47</v>
      </c>
      <c r="AR97" s="570">
        <f t="shared" si="113"/>
        <v>12.518000000000002</v>
      </c>
      <c r="AS97" s="571">
        <f t="shared" si="113"/>
        <v>12.78</v>
      </c>
      <c r="AT97" s="569">
        <f t="shared" si="113"/>
        <v>4.0350000000000001</v>
      </c>
      <c r="AU97" s="570">
        <f t="shared" si="113"/>
        <v>8.5310000000000006</v>
      </c>
      <c r="AV97" s="570">
        <f t="shared" si="113"/>
        <v>10.125999999999999</v>
      </c>
      <c r="AW97" s="570">
        <f t="shared" si="113"/>
        <v>9.5790000000000006</v>
      </c>
      <c r="AX97" s="570">
        <f t="shared" si="113"/>
        <v>9.5515833333333333</v>
      </c>
      <c r="AY97" s="571">
        <f t="shared" si="113"/>
        <v>9.9968500000000002</v>
      </c>
      <c r="AZ97" s="569">
        <f t="shared" si="113"/>
        <v>10.256583333333335</v>
      </c>
      <c r="BA97" s="570">
        <f t="shared" si="113"/>
        <v>9.1349999999999998</v>
      </c>
      <c r="BB97" s="570">
        <f t="shared" si="113"/>
        <v>10.870750000000001</v>
      </c>
      <c r="BC97" s="570">
        <f t="shared" si="113"/>
        <v>9.0368333333333322</v>
      </c>
      <c r="BD97" s="570">
        <f t="shared" si="113"/>
        <v>10.101764705882353</v>
      </c>
      <c r="BE97" s="570">
        <f t="shared" si="113"/>
        <v>9.0981428571428573</v>
      </c>
      <c r="BF97" s="570">
        <f t="shared" si="113"/>
        <v>0</v>
      </c>
      <c r="BG97" s="507"/>
      <c r="BH97" s="570"/>
      <c r="BI97" s="570"/>
      <c r="BJ97" s="570"/>
      <c r="BK97" s="571"/>
      <c r="BL97" s="569"/>
      <c r="BM97" s="570"/>
      <c r="BN97" s="570"/>
      <c r="BO97" s="570"/>
      <c r="BP97" s="570"/>
      <c r="BQ97" s="571"/>
      <c r="BR97" s="569"/>
      <c r="BS97" s="570"/>
      <c r="BT97" s="570"/>
      <c r="BU97" s="570"/>
      <c r="BV97" s="570"/>
      <c r="BW97" s="570"/>
      <c r="BX97" s="570"/>
      <c r="BY97" s="504"/>
      <c r="BZ97" s="505"/>
      <c r="CA97" s="501"/>
      <c r="CB97" s="501"/>
      <c r="CC97" s="501"/>
      <c r="CD97" s="502"/>
      <c r="CE97" s="500"/>
      <c r="CF97" s="501"/>
      <c r="CG97" s="501"/>
      <c r="CH97" s="501"/>
      <c r="CI97" s="501"/>
      <c r="CJ97" s="502"/>
      <c r="CK97" s="500"/>
      <c r="CL97" s="501"/>
      <c r="CM97" s="501"/>
      <c r="CN97" s="501"/>
      <c r="CO97" s="501"/>
      <c r="CP97" s="501"/>
      <c r="CQ97" s="501"/>
      <c r="CR97" s="504"/>
      <c r="CS97" s="501"/>
      <c r="CT97" s="501"/>
      <c r="CU97" s="501"/>
      <c r="CV97" s="502"/>
      <c r="CW97" s="500"/>
      <c r="CX97" s="501"/>
      <c r="CY97" s="501"/>
      <c r="CZ97" s="501"/>
      <c r="DA97" s="501"/>
      <c r="DB97" s="502"/>
      <c r="DC97" s="500"/>
      <c r="DD97" s="501"/>
      <c r="DE97" s="501"/>
      <c r="DF97" s="501"/>
      <c r="DG97" s="501"/>
      <c r="DH97" s="501"/>
      <c r="DI97" s="501"/>
    </row>
    <row r="98" spans="3:114" ht="15.75" thickTop="1" x14ac:dyDescent="0.25">
      <c r="F98" s="350"/>
      <c r="G98" s="351"/>
      <c r="H98" s="383"/>
      <c r="I98" s="1329"/>
      <c r="J98" s="350"/>
      <c r="K98" s="351"/>
      <c r="L98" s="351"/>
      <c r="M98" s="351"/>
      <c r="N98" s="1412"/>
      <c r="O98" s="1329"/>
      <c r="P98" s="350"/>
      <c r="Q98" s="351"/>
      <c r="R98" s="351"/>
      <c r="S98" s="1412"/>
      <c r="T98" s="1412"/>
      <c r="U98" s="1412"/>
      <c r="V98" s="351"/>
      <c r="W98" s="498"/>
      <c r="X98" s="350"/>
      <c r="Y98" s="351"/>
      <c r="Z98" s="351"/>
      <c r="AA98" s="231"/>
      <c r="AB98" s="350"/>
      <c r="AC98" s="351"/>
      <c r="AD98" s="351"/>
      <c r="AE98" s="351"/>
      <c r="AF98" s="351"/>
      <c r="AG98" s="231"/>
      <c r="AH98" s="350"/>
      <c r="AI98" s="351"/>
      <c r="AJ98" s="351"/>
      <c r="AK98" s="351"/>
      <c r="AL98" s="351"/>
      <c r="AM98" s="351"/>
      <c r="AN98" s="351"/>
      <c r="AO98" s="487"/>
      <c r="AP98" s="351"/>
      <c r="AQ98" s="351"/>
      <c r="AR98" s="351"/>
      <c r="AS98" s="231"/>
      <c r="AT98" s="350"/>
      <c r="AU98" s="351"/>
      <c r="AV98" s="351"/>
      <c r="AW98" s="351"/>
      <c r="AX98" s="351"/>
      <c r="AY98" s="231"/>
      <c r="AZ98" s="350"/>
      <c r="BA98" s="351"/>
      <c r="BB98" s="351"/>
      <c r="BC98" s="351"/>
      <c r="BD98" s="351"/>
      <c r="BE98" s="351"/>
      <c r="BF98" s="351"/>
      <c r="BG98" s="487"/>
      <c r="BH98" s="351"/>
      <c r="BI98" s="351"/>
      <c r="BJ98" s="351"/>
      <c r="BK98" s="231"/>
      <c r="BL98" s="350"/>
      <c r="BM98" s="351"/>
      <c r="BN98" s="351"/>
      <c r="BO98" s="351"/>
      <c r="BP98" s="351"/>
      <c r="BQ98" s="231"/>
      <c r="BR98" s="350"/>
      <c r="BS98" s="351"/>
      <c r="BT98" s="351"/>
      <c r="BU98" s="351"/>
      <c r="BV98" s="351"/>
      <c r="BW98" s="351"/>
      <c r="BX98" s="351"/>
      <c r="BY98" s="486"/>
      <c r="BZ98" s="488"/>
      <c r="CA98" s="234"/>
      <c r="CB98" s="234"/>
      <c r="CC98" s="234"/>
      <c r="CD98" s="235"/>
      <c r="CE98" s="352"/>
      <c r="CF98" s="234"/>
      <c r="CG98" s="234"/>
      <c r="CH98" s="234"/>
      <c r="CI98" s="234"/>
      <c r="CJ98" s="235"/>
      <c r="CK98" s="352"/>
      <c r="CL98" s="234"/>
      <c r="CM98" s="234"/>
      <c r="CN98" s="234"/>
      <c r="CO98" s="234"/>
      <c r="CP98" s="234"/>
      <c r="CQ98" s="234"/>
      <c r="CR98" s="486"/>
      <c r="CS98" s="234"/>
      <c r="CT98" s="234"/>
      <c r="CU98" s="234"/>
      <c r="CV98" s="235"/>
      <c r="CW98" s="352"/>
      <c r="CX98" s="234"/>
      <c r="CY98" s="234"/>
      <c r="CZ98" s="234"/>
      <c r="DA98" s="234"/>
      <c r="DB98" s="235"/>
      <c r="DC98" s="352"/>
      <c r="DD98" s="234"/>
      <c r="DE98" s="234"/>
      <c r="DF98" s="234"/>
      <c r="DG98" s="234"/>
      <c r="DH98" s="234"/>
      <c r="DI98" s="234"/>
    </row>
    <row r="99" spans="3:114" x14ac:dyDescent="0.25">
      <c r="C99" s="1" t="s">
        <v>134</v>
      </c>
      <c r="F99" s="328">
        <f t="shared" ref="F99:V99" si="114">F$59*F$33/100</f>
        <v>87.134808510638308</v>
      </c>
      <c r="G99" s="263">
        <f t="shared" si="114"/>
        <v>84.293099999999995</v>
      </c>
      <c r="H99" s="261">
        <f t="shared" si="114"/>
        <v>82.858824290780134</v>
      </c>
      <c r="I99" s="1359">
        <f t="shared" si="114"/>
        <v>82.917668817204301</v>
      </c>
      <c r="J99" s="328">
        <f t="shared" si="114"/>
        <v>50.845242240000005</v>
      </c>
      <c r="K99" s="263">
        <f t="shared" si="114"/>
        <v>56.944408695652186</v>
      </c>
      <c r="L99" s="263">
        <f t="shared" si="114"/>
        <v>62.040013043478268</v>
      </c>
      <c r="M99" s="263">
        <f t="shared" si="114"/>
        <v>57.576208695652177</v>
      </c>
      <c r="N99" s="1441">
        <f t="shared" si="114"/>
        <v>57.191634782608702</v>
      </c>
      <c r="O99" s="1359">
        <f t="shared" si="114"/>
        <v>57.960782608695652</v>
      </c>
      <c r="P99" s="328">
        <f t="shared" si="114"/>
        <v>59.329499999999996</v>
      </c>
      <c r="Q99" s="263">
        <f t="shared" si="114"/>
        <v>59.622313043478265</v>
      </c>
      <c r="R99" s="263">
        <f t="shared" si="114"/>
        <v>62.592273913043471</v>
      </c>
      <c r="S99" s="1441">
        <f t="shared" si="114"/>
        <v>59.817521739130434</v>
      </c>
      <c r="T99" s="1441">
        <f t="shared" si="114"/>
        <v>58.006612500000003</v>
      </c>
      <c r="U99" s="1441">
        <f t="shared" si="114"/>
        <v>59.255492307692315</v>
      </c>
      <c r="V99" s="263">
        <f t="shared" si="114"/>
        <v>0</v>
      </c>
      <c r="W99" s="453"/>
      <c r="X99" s="328">
        <f t="shared" ref="X99:AL99" si="115">X$59*X$33/100</f>
        <v>8.9617021276595737E-2</v>
      </c>
      <c r="Y99" s="263">
        <f t="shared" si="115"/>
        <v>0.213121215</v>
      </c>
      <c r="Z99" s="263">
        <f t="shared" si="115"/>
        <v>0.29716065000000003</v>
      </c>
      <c r="AA99" s="242">
        <f t="shared" si="115"/>
        <v>0</v>
      </c>
      <c r="AB99" s="328">
        <f t="shared" si="115"/>
        <v>0.26374999999999998</v>
      </c>
      <c r="AC99" s="263">
        <f t="shared" si="115"/>
        <v>0.28649599999999997</v>
      </c>
      <c r="AD99" s="263">
        <f t="shared" si="115"/>
        <v>0.26967750000000001</v>
      </c>
      <c r="AE99" s="263">
        <f t="shared" si="115"/>
        <v>0.14844649999999998</v>
      </c>
      <c r="AF99" s="263">
        <f t="shared" si="115"/>
        <v>0</v>
      </c>
      <c r="AG99" s="242">
        <f t="shared" si="115"/>
        <v>0</v>
      </c>
      <c r="AH99" s="328">
        <f t="shared" si="115"/>
        <v>0</v>
      </c>
      <c r="AI99" s="263">
        <f t="shared" si="115"/>
        <v>0.29359233333333329</v>
      </c>
      <c r="AJ99" s="263">
        <f t="shared" si="115"/>
        <v>0.24009166666666665</v>
      </c>
      <c r="AK99" s="263">
        <f t="shared" si="115"/>
        <v>0</v>
      </c>
      <c r="AL99" s="263">
        <f t="shared" si="115"/>
        <v>0</v>
      </c>
      <c r="AM99" s="263"/>
      <c r="AN99" s="263"/>
      <c r="AO99" s="436"/>
      <c r="AP99" s="263">
        <f t="shared" ref="AP99:BF99" si="116">AP$59*AP$33/100</f>
        <v>45.476936170212767</v>
      </c>
      <c r="AQ99" s="263">
        <f t="shared" si="116"/>
        <v>42.253</v>
      </c>
      <c r="AR99" s="263">
        <f t="shared" si="116"/>
        <v>41.394750000000002</v>
      </c>
      <c r="AS99" s="242">
        <f t="shared" si="116"/>
        <v>41.748000000000005</v>
      </c>
      <c r="AT99" s="328">
        <f t="shared" si="116"/>
        <v>12.925449999999998</v>
      </c>
      <c r="AU99" s="263">
        <f t="shared" si="116"/>
        <v>20.504333333333328</v>
      </c>
      <c r="AV99" s="263">
        <f t="shared" si="116"/>
        <v>23.571999999999999</v>
      </c>
      <c r="AW99" s="263">
        <f t="shared" si="116"/>
        <v>21.63</v>
      </c>
      <c r="AX99" s="263">
        <f t="shared" si="116"/>
        <v>21.859033333333336</v>
      </c>
      <c r="AY99" s="242">
        <f t="shared" si="116"/>
        <v>22.903000000000002</v>
      </c>
      <c r="AZ99" s="328">
        <f t="shared" si="116"/>
        <v>21.385741666666668</v>
      </c>
      <c r="BA99" s="263">
        <f t="shared" si="116"/>
        <v>20.462399999999999</v>
      </c>
      <c r="BB99" s="263">
        <f t="shared" si="116"/>
        <v>23.039499999999997</v>
      </c>
      <c r="BC99" s="263">
        <f t="shared" si="116"/>
        <v>20.677499999999998</v>
      </c>
      <c r="BD99" s="263">
        <f t="shared" si="116"/>
        <v>21.866435294117647</v>
      </c>
      <c r="BE99" s="263">
        <f t="shared" si="116"/>
        <v>19.119285714285716</v>
      </c>
      <c r="BF99" s="263">
        <f t="shared" si="116"/>
        <v>0</v>
      </c>
      <c r="BG99" s="436"/>
      <c r="BH99" s="263"/>
      <c r="BI99" s="263"/>
      <c r="BJ99" s="263"/>
      <c r="BK99" s="242"/>
      <c r="BL99" s="328"/>
      <c r="BM99" s="263"/>
      <c r="BN99" s="263"/>
      <c r="BO99" s="263"/>
      <c r="BP99" s="263"/>
      <c r="BQ99" s="242"/>
      <c r="BR99" s="328"/>
      <c r="BS99" s="263"/>
      <c r="BT99" s="263"/>
      <c r="BU99" s="263"/>
      <c r="BV99" s="263"/>
      <c r="BW99" s="263"/>
      <c r="BX99" s="263"/>
    </row>
    <row r="100" spans="3:114" ht="15.75" thickBot="1" x14ac:dyDescent="0.3">
      <c r="F100" s="353"/>
      <c r="G100" s="228"/>
      <c r="H100" s="515"/>
      <c r="I100" s="1361"/>
      <c r="J100" s="353"/>
      <c r="K100" s="228"/>
      <c r="L100" s="228"/>
      <c r="M100" s="228"/>
      <c r="N100" s="1443"/>
      <c r="O100" s="1361"/>
      <c r="P100" s="353"/>
      <c r="Q100" s="228"/>
      <c r="R100" s="228"/>
      <c r="S100" s="1443"/>
      <c r="T100" s="1443"/>
      <c r="U100" s="1443"/>
      <c r="V100" s="228"/>
      <c r="W100" s="476"/>
      <c r="X100" s="353"/>
      <c r="Y100" s="228"/>
      <c r="Z100" s="228"/>
      <c r="AA100" s="229"/>
      <c r="AB100" s="353"/>
      <c r="AC100" s="228"/>
      <c r="AD100" s="228"/>
      <c r="AE100" s="228"/>
      <c r="AF100" s="228"/>
      <c r="AG100" s="229"/>
      <c r="AH100" s="353"/>
      <c r="AI100" s="228"/>
      <c r="AJ100" s="228"/>
      <c r="AK100" s="228"/>
      <c r="AL100" s="228"/>
      <c r="AM100" s="228"/>
      <c r="AN100" s="228"/>
      <c r="AO100" s="463"/>
      <c r="AP100" s="228"/>
      <c r="AQ100" s="228"/>
      <c r="AR100" s="228"/>
      <c r="AS100" s="229"/>
      <c r="AT100" s="353"/>
      <c r="AU100" s="228"/>
      <c r="AV100" s="228"/>
      <c r="AW100" s="228"/>
      <c r="AX100" s="228"/>
      <c r="AY100" s="229"/>
      <c r="AZ100" s="353"/>
      <c r="BA100" s="228"/>
      <c r="BB100" s="228"/>
      <c r="BC100" s="228"/>
      <c r="BD100" s="228"/>
      <c r="BE100" s="228"/>
      <c r="BF100" s="228"/>
      <c r="BG100" s="463"/>
      <c r="BH100" s="228"/>
      <c r="BI100" s="228"/>
      <c r="BJ100" s="228"/>
      <c r="BK100" s="229"/>
      <c r="BL100" s="353"/>
      <c r="BM100" s="228"/>
      <c r="BN100" s="228"/>
      <c r="BO100" s="228"/>
      <c r="BP100" s="228"/>
      <c r="BQ100" s="229"/>
      <c r="BR100" s="353"/>
      <c r="BS100" s="228"/>
      <c r="BT100" s="228"/>
      <c r="BU100" s="228"/>
      <c r="BV100" s="228"/>
      <c r="BW100" s="228"/>
      <c r="BX100" s="228"/>
      <c r="BY100" s="463"/>
      <c r="BZ100" s="464"/>
      <c r="CA100" s="228"/>
      <c r="CB100" s="228"/>
      <c r="CC100" s="228"/>
      <c r="CD100" s="229"/>
      <c r="CE100" s="353"/>
      <c r="CF100" s="228"/>
      <c r="CG100" s="228"/>
      <c r="CH100" s="228"/>
      <c r="CI100" s="228"/>
      <c r="CJ100" s="229"/>
      <c r="CK100" s="353"/>
      <c r="CL100" s="228"/>
      <c r="CM100" s="228"/>
      <c r="CN100" s="228"/>
      <c r="CO100" s="228"/>
      <c r="CP100" s="228"/>
      <c r="CQ100" s="228"/>
      <c r="CR100" s="463"/>
      <c r="CS100" s="228"/>
      <c r="CT100" s="228"/>
      <c r="CU100" s="228"/>
      <c r="CV100" s="229"/>
      <c r="CW100" s="353"/>
      <c r="CX100" s="228"/>
      <c r="CY100" s="228"/>
      <c r="CZ100" s="228"/>
      <c r="DA100" s="228"/>
      <c r="DB100" s="229"/>
      <c r="DC100" s="353"/>
      <c r="DD100" s="228"/>
      <c r="DE100" s="228"/>
      <c r="DF100" s="228"/>
      <c r="DG100" s="228"/>
      <c r="DH100" s="228"/>
      <c r="DI100" s="228"/>
    </row>
    <row r="101" spans="3:114" s="528" customFormat="1" ht="18.75" thickTop="1" x14ac:dyDescent="0.35">
      <c r="C101" s="524" t="s">
        <v>147</v>
      </c>
      <c r="D101" s="524"/>
      <c r="E101" s="524"/>
      <c r="F101" s="565">
        <f t="shared" ref="F101:V101" si="117">F$59*F$41/100</f>
        <v>284.47996737076039</v>
      </c>
      <c r="G101" s="527">
        <f t="shared" si="117"/>
        <v>275.20228422436435</v>
      </c>
      <c r="H101" s="705">
        <f t="shared" si="117"/>
        <v>270.51962394274199</v>
      </c>
      <c r="I101" s="1362">
        <f t="shared" si="117"/>
        <v>270.71174106841448</v>
      </c>
      <c r="J101" s="565">
        <f t="shared" si="117"/>
        <v>135.06836292330706</v>
      </c>
      <c r="K101" s="527">
        <f t="shared" si="117"/>
        <v>151.27055593230406</v>
      </c>
      <c r="L101" s="527">
        <f t="shared" si="117"/>
        <v>164.80682613271046</v>
      </c>
      <c r="M101" s="527">
        <f t="shared" si="117"/>
        <v>152.94890749354045</v>
      </c>
      <c r="N101" s="1444">
        <f t="shared" si="117"/>
        <v>151.92730219539655</v>
      </c>
      <c r="O101" s="1362">
        <f t="shared" si="117"/>
        <v>153.97051279168431</v>
      </c>
      <c r="P101" s="706">
        <f t="shared" si="117"/>
        <v>155.8660658274859</v>
      </c>
      <c r="Q101" s="707">
        <f t="shared" si="117"/>
        <v>156.63532255659922</v>
      </c>
      <c r="R101" s="707">
        <f t="shared" si="117"/>
        <v>164.43778366617724</v>
      </c>
      <c r="S101" s="1471">
        <f t="shared" si="117"/>
        <v>157.14816037600812</v>
      </c>
      <c r="T101" s="1471">
        <f t="shared" si="117"/>
        <v>152.39067381917033</v>
      </c>
      <c r="U101" s="1444">
        <f t="shared" si="117"/>
        <v>155.67163830254518</v>
      </c>
      <c r="V101" s="527">
        <f t="shared" si="117"/>
        <v>0</v>
      </c>
      <c r="W101" s="567"/>
      <c r="X101" s="565">
        <f>X$59*X$41/100</f>
        <v>0.66358175451734613</v>
      </c>
      <c r="Y101" s="527">
        <f t="shared" ref="Y101:AM101" si="118">Y$59*Y$41/100</f>
        <v>0.82820460515841421</v>
      </c>
      <c r="Z101" s="527">
        <f>Z$59*Z$41/100</f>
        <v>1.1710570856232734</v>
      </c>
      <c r="AA101" s="566">
        <f t="shared" si="118"/>
        <v>0</v>
      </c>
      <c r="AB101" s="565">
        <f t="shared" si="118"/>
        <v>1.0702014584105795</v>
      </c>
      <c r="AC101" s="527">
        <f t="shared" si="118"/>
        <v>1.0956862025826666</v>
      </c>
      <c r="AD101" s="527">
        <f t="shared" si="118"/>
        <v>0.92945141450686775</v>
      </c>
      <c r="AE101" s="527">
        <f t="shared" si="118"/>
        <v>0.50849171769939827</v>
      </c>
      <c r="AF101" s="527">
        <f t="shared" si="118"/>
        <v>0</v>
      </c>
      <c r="AG101" s="566">
        <f t="shared" si="118"/>
        <v>0</v>
      </c>
      <c r="AH101" s="565">
        <f t="shared" si="118"/>
        <v>0</v>
      </c>
      <c r="AI101" s="527">
        <f>AI$59*AI$41/100</f>
        <v>0.96203951187940673</v>
      </c>
      <c r="AJ101" s="527">
        <f t="shared" si="118"/>
        <v>0.83735895127075688</v>
      </c>
      <c r="AK101" s="527">
        <f t="shared" si="118"/>
        <v>0.5940982824567963</v>
      </c>
      <c r="AL101" s="527">
        <f t="shared" si="118"/>
        <v>0</v>
      </c>
      <c r="AM101" s="527">
        <f t="shared" si="118"/>
        <v>0</v>
      </c>
      <c r="AN101" s="527"/>
      <c r="AO101" s="568"/>
      <c r="AP101" s="511">
        <f t="shared" ref="AP101:BF101" si="119">AP$59*AP$41/100</f>
        <v>265.3460199766613</v>
      </c>
      <c r="AQ101" s="511">
        <f t="shared" si="119"/>
        <v>252.12481109221073</v>
      </c>
      <c r="AR101" s="511">
        <f t="shared" si="119"/>
        <v>246.18844706299635</v>
      </c>
      <c r="AS101" s="518">
        <f t="shared" si="119"/>
        <v>244.39927821393337</v>
      </c>
      <c r="AT101" s="517">
        <f t="shared" si="119"/>
        <v>117.37089132289047</v>
      </c>
      <c r="AU101" s="511">
        <f t="shared" si="119"/>
        <v>130.47174728579887</v>
      </c>
      <c r="AV101" s="511">
        <f t="shared" si="119"/>
        <v>143.96293562581019</v>
      </c>
      <c r="AW101" s="511">
        <f t="shared" si="119"/>
        <v>134.18636354956254</v>
      </c>
      <c r="AX101" s="511">
        <f t="shared" si="119"/>
        <v>135.89403491845584</v>
      </c>
      <c r="AY101" s="518">
        <f t="shared" si="119"/>
        <v>134.42721964101932</v>
      </c>
      <c r="AZ101" s="517">
        <f t="shared" si="119"/>
        <v>132.99296365452673</v>
      </c>
      <c r="BA101" s="511">
        <f t="shared" si="119"/>
        <v>132.22999361349582</v>
      </c>
      <c r="BB101" s="511">
        <f t="shared" si="119"/>
        <v>140.66979131324132</v>
      </c>
      <c r="BC101" s="511">
        <f t="shared" si="119"/>
        <v>132.62861786020548</v>
      </c>
      <c r="BD101" s="511">
        <f t="shared" si="119"/>
        <v>134.56227506678673</v>
      </c>
      <c r="BE101" s="511">
        <f t="shared" si="119"/>
        <v>114.30838054419205</v>
      </c>
      <c r="BF101" s="511">
        <f t="shared" si="119"/>
        <v>0</v>
      </c>
      <c r="BG101" s="568"/>
      <c r="BH101" s="511">
        <f t="shared" ref="BH101:BX101" si="120">BH$59*BH$41/100</f>
        <v>3.9321363969621093</v>
      </c>
      <c r="BI101" s="511">
        <f t="shared" si="120"/>
        <v>6.2629104759058825</v>
      </c>
      <c r="BJ101" s="511">
        <f t="shared" si="120"/>
        <v>15.785495712256782</v>
      </c>
      <c r="BK101" s="518">
        <f t="shared" si="120"/>
        <v>9.0820431467901184</v>
      </c>
      <c r="BL101" s="517">
        <f t="shared" si="120"/>
        <v>21.821507122983931</v>
      </c>
      <c r="BM101" s="511">
        <f t="shared" si="120"/>
        <v>5.7657970815325745</v>
      </c>
      <c r="BN101" s="511">
        <f t="shared" si="120"/>
        <v>8.2421846433676347</v>
      </c>
      <c r="BO101" s="511">
        <f t="shared" si="120"/>
        <v>6.8785877463787664</v>
      </c>
      <c r="BP101" s="511">
        <f t="shared" si="120"/>
        <v>5.8672353340385373</v>
      </c>
      <c r="BQ101" s="518">
        <f t="shared" si="120"/>
        <v>6.4537328641575344</v>
      </c>
      <c r="BR101" s="517">
        <f t="shared" si="120"/>
        <v>7.5153691458158551</v>
      </c>
      <c r="BS101" s="511">
        <f t="shared" si="120"/>
        <v>7.6046979503722074</v>
      </c>
      <c r="BT101" s="511">
        <f t="shared" si="120"/>
        <v>8.9019786781209191</v>
      </c>
      <c r="BU101" s="511">
        <f t="shared" si="120"/>
        <v>8.0281922481356354</v>
      </c>
      <c r="BV101" s="511">
        <f t="shared" si="120"/>
        <v>7.5869407485196847</v>
      </c>
      <c r="BW101" s="511">
        <f t="shared" si="120"/>
        <v>10.452497966691841</v>
      </c>
      <c r="BX101" s="511">
        <f t="shared" si="120"/>
        <v>0</v>
      </c>
      <c r="BY101" s="482"/>
      <c r="BZ101" s="485"/>
      <c r="CA101" s="466"/>
      <c r="CB101" s="466"/>
      <c r="CC101" s="466"/>
      <c r="CD101" s="519"/>
      <c r="CE101" s="481"/>
      <c r="CF101" s="466"/>
      <c r="CG101" s="466"/>
      <c r="CH101" s="466"/>
      <c r="CI101" s="466"/>
      <c r="CJ101" s="519"/>
      <c r="CK101" s="481"/>
      <c r="CL101" s="466"/>
      <c r="CM101" s="466"/>
      <c r="CN101" s="466"/>
      <c r="CO101" s="466"/>
      <c r="CP101" s="466"/>
      <c r="CQ101" s="466"/>
      <c r="CR101" s="482"/>
      <c r="CS101" s="466"/>
      <c r="CT101" s="466"/>
      <c r="CU101" s="466"/>
      <c r="CV101" s="519"/>
      <c r="CW101" s="481"/>
      <c r="CX101" s="466"/>
      <c r="CY101" s="466"/>
      <c r="CZ101" s="466"/>
      <c r="DA101" s="466"/>
      <c r="DB101" s="519"/>
      <c r="DC101" s="481"/>
      <c r="DD101" s="466"/>
      <c r="DE101" s="466"/>
      <c r="DF101" s="466"/>
      <c r="DG101" s="466"/>
      <c r="DH101" s="466"/>
      <c r="DI101" s="466"/>
    </row>
    <row r="102" spans="3:114" ht="18.75" thickBot="1" x14ac:dyDescent="0.4">
      <c r="C102" s="1" t="s">
        <v>148</v>
      </c>
      <c r="F102" s="574">
        <f t="shared" ref="F102:V102" si="121">F$59*F$42/100</f>
        <v>33.006559611206001</v>
      </c>
      <c r="G102" s="555">
        <f t="shared" si="121"/>
        <v>31.93012387952475</v>
      </c>
      <c r="H102" s="387">
        <f t="shared" si="121"/>
        <v>31.386821983251117</v>
      </c>
      <c r="I102" s="1364">
        <f t="shared" si="121"/>
        <v>31.409112218375402</v>
      </c>
      <c r="J102" s="574">
        <f t="shared" si="121"/>
        <v>15.555761488371354</v>
      </c>
      <c r="K102" s="555">
        <f t="shared" si="121"/>
        <v>17.421760635630022</v>
      </c>
      <c r="L102" s="555">
        <f t="shared" si="121"/>
        <v>18.980726674177717</v>
      </c>
      <c r="M102" s="555">
        <f t="shared" si="121"/>
        <v>17.615055616150762</v>
      </c>
      <c r="N102" s="1446">
        <f t="shared" si="121"/>
        <v>17.497397801920744</v>
      </c>
      <c r="O102" s="1364">
        <f t="shared" si="121"/>
        <v>17.732713430380773</v>
      </c>
      <c r="P102" s="708">
        <f t="shared" si="121"/>
        <v>18.024200147071664</v>
      </c>
      <c r="Q102" s="709">
        <f t="shared" si="121"/>
        <v>18.113156246504921</v>
      </c>
      <c r="R102" s="709">
        <f t="shared" si="121"/>
        <v>19.015425255042231</v>
      </c>
      <c r="S102" s="1472">
        <f t="shared" si="121"/>
        <v>18.172460312793756</v>
      </c>
      <c r="T102" s="1472">
        <f t="shared" si="121"/>
        <v>17.622309197846416</v>
      </c>
      <c r="U102" s="1446">
        <f t="shared" si="121"/>
        <v>18.001716737324799</v>
      </c>
      <c r="V102" s="555">
        <f t="shared" si="121"/>
        <v>0</v>
      </c>
      <c r="W102" s="576"/>
      <c r="X102" s="574">
        <f t="shared" ref="X102:AM102" si="122">X$59*X$42/100</f>
        <v>7.9837886620525961E-2</v>
      </c>
      <c r="Y102" s="555">
        <f t="shared" si="122"/>
        <v>9.5217123069574916E-2</v>
      </c>
      <c r="Z102" s="555">
        <f t="shared" si="122"/>
        <v>0.1453285377909542</v>
      </c>
      <c r="AA102" s="575">
        <f t="shared" si="122"/>
        <v>0</v>
      </c>
      <c r="AB102" s="574">
        <f t="shared" si="122"/>
        <v>0.12087504634779382</v>
      </c>
      <c r="AC102" s="555">
        <f t="shared" si="122"/>
        <v>0.12964274956315427</v>
      </c>
      <c r="AD102" s="555">
        <f t="shared" si="122"/>
        <v>0.11880287328949146</v>
      </c>
      <c r="AE102" s="555">
        <f t="shared" si="122"/>
        <v>6.3246114189448643E-2</v>
      </c>
      <c r="AF102" s="555">
        <f t="shared" si="122"/>
        <v>0</v>
      </c>
      <c r="AG102" s="575">
        <f t="shared" si="122"/>
        <v>0</v>
      </c>
      <c r="AH102" s="574">
        <f t="shared" si="122"/>
        <v>0</v>
      </c>
      <c r="AI102" s="555">
        <f t="shared" si="122"/>
        <v>0.11545801246144391</v>
      </c>
      <c r="AJ102" s="555">
        <f t="shared" si="122"/>
        <v>0.10141717975550206</v>
      </c>
      <c r="AK102" s="555">
        <f t="shared" si="122"/>
        <v>7.530630452897856E-2</v>
      </c>
      <c r="AL102" s="555">
        <f t="shared" si="122"/>
        <v>0</v>
      </c>
      <c r="AM102" s="555">
        <f t="shared" si="122"/>
        <v>0</v>
      </c>
      <c r="AN102" s="555"/>
      <c r="AO102" s="577"/>
      <c r="AP102" s="555">
        <f t="shared" ref="AP102:BF102" si="123">AP$59*AP$42/100</f>
        <v>33.740638325824328</v>
      </c>
      <c r="AQ102" s="555">
        <f t="shared" si="123"/>
        <v>30.268735847359544</v>
      </c>
      <c r="AR102" s="555">
        <f t="shared" si="123"/>
        <v>30.777059646495509</v>
      </c>
      <c r="AS102" s="575">
        <f t="shared" si="123"/>
        <v>31.931563987750078</v>
      </c>
      <c r="AT102" s="574">
        <f t="shared" si="123"/>
        <v>15.377434181925523</v>
      </c>
      <c r="AU102" s="555">
        <f t="shared" si="123"/>
        <v>16.667935947788695</v>
      </c>
      <c r="AV102" s="555">
        <f t="shared" si="123"/>
        <v>18.778483556811821</v>
      </c>
      <c r="AW102" s="555">
        <f t="shared" si="123"/>
        <v>17.35600470036777</v>
      </c>
      <c r="AX102" s="555">
        <f t="shared" si="123"/>
        <v>17.574358574125419</v>
      </c>
      <c r="AY102" s="575">
        <f t="shared" si="123"/>
        <v>17.142234159472103</v>
      </c>
      <c r="AZ102" s="574">
        <f t="shared" si="123"/>
        <v>17.076859276369007</v>
      </c>
      <c r="BA102" s="555">
        <f t="shared" si="123"/>
        <v>17.251286865874583</v>
      </c>
      <c r="BB102" s="555">
        <f t="shared" si="123"/>
        <v>18.482046563654691</v>
      </c>
      <c r="BC102" s="555">
        <f t="shared" si="123"/>
        <v>17.658725170263455</v>
      </c>
      <c r="BD102" s="555">
        <f t="shared" si="123"/>
        <v>17.891978959964753</v>
      </c>
      <c r="BE102" s="555">
        <f t="shared" si="123"/>
        <v>14.943540410700827</v>
      </c>
      <c r="BF102" s="555">
        <f t="shared" si="123"/>
        <v>0</v>
      </c>
      <c r="BG102" s="577"/>
      <c r="BH102" s="555">
        <f>BH$59*BH$42/100</f>
        <v>0.59395645770872652</v>
      </c>
      <c r="BI102" s="555">
        <f t="shared" ref="BI102:BX102" si="124">BI$59*BI$42/100</f>
        <v>0.89014145186337512</v>
      </c>
      <c r="BJ102" s="555">
        <f t="shared" si="124"/>
        <v>2.5119907844689071</v>
      </c>
      <c r="BK102" s="575">
        <f t="shared" si="124"/>
        <v>1.476867198642162</v>
      </c>
      <c r="BL102" s="574">
        <f t="shared" si="124"/>
        <v>3.3738109547477175</v>
      </c>
      <c r="BM102" s="555">
        <f t="shared" si="124"/>
        <v>0.89056942888025048</v>
      </c>
      <c r="BN102" s="555">
        <f t="shared" si="124"/>
        <v>1.3238198970441311</v>
      </c>
      <c r="BO102" s="555">
        <f t="shared" si="124"/>
        <v>1.1079445197374858</v>
      </c>
      <c r="BP102" s="555">
        <f t="shared" si="124"/>
        <v>0.95371630051080869</v>
      </c>
      <c r="BQ102" s="575">
        <f t="shared" si="124"/>
        <v>1.0329597002652986</v>
      </c>
      <c r="BR102" s="574">
        <f t="shared" si="124"/>
        <v>1.2195044090479112</v>
      </c>
      <c r="BS102" s="555">
        <f t="shared" si="124"/>
        <v>1.2120508092970121</v>
      </c>
      <c r="BT102" s="555">
        <f t="shared" si="124"/>
        <v>1.4118702378028507</v>
      </c>
      <c r="BU102" s="555">
        <f t="shared" si="124"/>
        <v>1.2883031672937353</v>
      </c>
      <c r="BV102" s="555">
        <f t="shared" si="124"/>
        <v>1.2212909832591039</v>
      </c>
      <c r="BW102" s="555">
        <f t="shared" si="124"/>
        <v>1.6952927537908264</v>
      </c>
      <c r="BX102" s="555">
        <f t="shared" si="124"/>
        <v>0</v>
      </c>
      <c r="BY102" s="463"/>
      <c r="BZ102" s="464"/>
      <c r="CA102" s="228"/>
      <c r="CB102" s="228"/>
      <c r="CC102" s="228"/>
      <c r="CD102" s="229"/>
      <c r="CE102" s="353"/>
      <c r="CF102" s="228"/>
      <c r="CG102" s="228"/>
      <c r="CH102" s="228"/>
      <c r="CI102" s="228"/>
      <c r="CJ102" s="229"/>
      <c r="CK102" s="353"/>
      <c r="CL102" s="228"/>
      <c r="CM102" s="228"/>
      <c r="CN102" s="228"/>
      <c r="CO102" s="228"/>
      <c r="CP102" s="228"/>
      <c r="CQ102" s="228"/>
      <c r="CR102" s="463"/>
      <c r="CS102" s="228"/>
      <c r="CT102" s="228"/>
      <c r="CU102" s="578" t="s">
        <v>209</v>
      </c>
      <c r="CV102" s="724"/>
      <c r="CW102" s="738">
        <f>273.15+30</f>
        <v>303.14999999999998</v>
      </c>
      <c r="CX102" s="578" t="s">
        <v>208</v>
      </c>
      <c r="CY102" s="228"/>
      <c r="CZ102" s="228"/>
      <c r="DA102" s="228"/>
      <c r="DB102" s="229"/>
      <c r="DC102" s="353"/>
      <c r="DD102" s="228"/>
      <c r="DE102" s="228"/>
      <c r="DF102" s="228"/>
      <c r="DG102" s="228"/>
      <c r="DH102" s="228"/>
      <c r="DI102" s="228"/>
    </row>
    <row r="103" spans="3:114" s="528" customFormat="1" ht="15.75" thickTop="1" x14ac:dyDescent="0.25">
      <c r="C103" s="524" t="s">
        <v>273</v>
      </c>
      <c r="D103" s="524"/>
      <c r="E103" s="524"/>
      <c r="F103" s="565">
        <f t="shared" ref="F103:BR103" si="125">F$102/F$101</f>
        <v>0.11602419641798126</v>
      </c>
      <c r="G103" s="527">
        <f t="shared" si="125"/>
        <v>0.11602419641798124</v>
      </c>
      <c r="H103" s="527">
        <f t="shared" si="125"/>
        <v>0.11602419641798124</v>
      </c>
      <c r="I103" s="1362">
        <f t="shared" si="125"/>
        <v>0.11602419641798124</v>
      </c>
      <c r="J103" s="565">
        <f t="shared" si="125"/>
        <v>0.11516954193932183</v>
      </c>
      <c r="K103" s="527">
        <f t="shared" si="125"/>
        <v>0.11516954193932183</v>
      </c>
      <c r="L103" s="527">
        <f t="shared" si="125"/>
        <v>0.11516954193932183</v>
      </c>
      <c r="M103" s="527">
        <f t="shared" si="125"/>
        <v>0.11516954193932184</v>
      </c>
      <c r="N103" s="1444">
        <f t="shared" si="125"/>
        <v>0.11516954193932183</v>
      </c>
      <c r="O103" s="1362">
        <f t="shared" si="125"/>
        <v>0.11516954193932182</v>
      </c>
      <c r="P103" s="565">
        <f>P$102/P$101</f>
        <v>0.11563902669501537</v>
      </c>
      <c r="Q103" s="527">
        <f>Q$102/Q$101</f>
        <v>0.11563902669501537</v>
      </c>
      <c r="R103" s="527">
        <f t="shared" si="125"/>
        <v>0.11563902669501537</v>
      </c>
      <c r="S103" s="1444">
        <f t="shared" si="125"/>
        <v>0.11563902669501534</v>
      </c>
      <c r="T103" s="1444">
        <f t="shared" si="125"/>
        <v>0.11563902669501536</v>
      </c>
      <c r="U103" s="1444">
        <f t="shared" si="125"/>
        <v>0.11563902669501537</v>
      </c>
      <c r="V103" s="527" t="e">
        <f t="shared" si="125"/>
        <v>#DIV/0!</v>
      </c>
      <c r="W103" s="567"/>
      <c r="X103" s="565">
        <f t="shared" si="125"/>
        <v>0.12031356509884117</v>
      </c>
      <c r="Y103" s="527">
        <f t="shared" si="125"/>
        <v>0.11496811594202901</v>
      </c>
      <c r="Z103" s="527">
        <f t="shared" si="125"/>
        <v>0.12410030183422338</v>
      </c>
      <c r="AA103" s="566" t="e">
        <f t="shared" si="125"/>
        <v>#DIV/0!</v>
      </c>
      <c r="AB103" s="565">
        <f t="shared" si="125"/>
        <v>0.11294606767525119</v>
      </c>
      <c r="AC103" s="527">
        <f t="shared" si="125"/>
        <v>0.11832105693908569</v>
      </c>
      <c r="AD103" s="527">
        <f t="shared" si="125"/>
        <v>0.12782042335426844</v>
      </c>
      <c r="AE103" s="527">
        <f t="shared" si="125"/>
        <v>0.12437983154494059</v>
      </c>
      <c r="AF103" s="527" t="e">
        <f t="shared" si="125"/>
        <v>#DIV/0!</v>
      </c>
      <c r="AG103" s="566" t="e">
        <f t="shared" si="125"/>
        <v>#DIV/0!</v>
      </c>
      <c r="AH103" s="565" t="e">
        <f t="shared" si="125"/>
        <v>#DIV/0!</v>
      </c>
      <c r="AI103" s="527">
        <f t="shared" si="125"/>
        <v>0.12001379468904472</v>
      </c>
      <c r="AJ103" s="527">
        <f t="shared" si="125"/>
        <v>0.12111553784860561</v>
      </c>
      <c r="AK103" s="527">
        <f t="shared" si="125"/>
        <v>0.1267573173542291</v>
      </c>
      <c r="AL103" s="527" t="e">
        <f t="shared" si="125"/>
        <v>#DIV/0!</v>
      </c>
      <c r="AM103" s="527" t="e">
        <f t="shared" si="125"/>
        <v>#DIV/0!</v>
      </c>
      <c r="AN103" s="527" t="e">
        <f>AN$102/AN$101</f>
        <v>#DIV/0!</v>
      </c>
      <c r="AO103" s="568"/>
      <c r="AP103" s="527">
        <f t="shared" si="125"/>
        <v>0.12715712988192554</v>
      </c>
      <c r="AQ103" s="527">
        <f t="shared" si="125"/>
        <v>0.12005457025920874</v>
      </c>
      <c r="AR103" s="527">
        <f t="shared" si="125"/>
        <v>0.12501423203916659</v>
      </c>
      <c r="AS103" s="566">
        <f t="shared" si="125"/>
        <v>0.13065326633165825</v>
      </c>
      <c r="AT103" s="565">
        <f t="shared" si="125"/>
        <v>0.13101574000679425</v>
      </c>
      <c r="AU103" s="527">
        <f t="shared" si="125"/>
        <v>0.12775130474245522</v>
      </c>
      <c r="AV103" s="527">
        <f t="shared" si="125"/>
        <v>0.1304397098821396</v>
      </c>
      <c r="AW103" s="527">
        <f t="shared" si="125"/>
        <v>0.12934253706008825</v>
      </c>
      <c r="AX103" s="527">
        <f t="shared" si="125"/>
        <v>0.12932398824327376</v>
      </c>
      <c r="AY103" s="566">
        <f t="shared" si="125"/>
        <v>0.12752055874732454</v>
      </c>
      <c r="AZ103" s="565">
        <f t="shared" si="125"/>
        <v>0.12840423137519694</v>
      </c>
      <c r="BA103" s="527">
        <f t="shared" si="125"/>
        <v>0.1304642494069807</v>
      </c>
      <c r="BB103" s="527">
        <f t="shared" si="125"/>
        <v>0.13138603811886773</v>
      </c>
      <c r="BC103" s="527">
        <f t="shared" si="125"/>
        <v>0.13314415437003407</v>
      </c>
      <c r="BD103" s="527">
        <f t="shared" si="125"/>
        <v>0.13296430185268868</v>
      </c>
      <c r="BE103" s="527">
        <f t="shared" si="125"/>
        <v>0.13073005093378606</v>
      </c>
      <c r="BF103" s="527" t="e">
        <f t="shared" si="125"/>
        <v>#DIV/0!</v>
      </c>
      <c r="BG103" s="568"/>
      <c r="BH103" s="527">
        <f>BH$102/BH$101</f>
        <v>0.15105184503965974</v>
      </c>
      <c r="BI103" s="527">
        <f t="shared" si="125"/>
        <v>0.14212903973126376</v>
      </c>
      <c r="BJ103" s="527">
        <f t="shared" si="125"/>
        <v>0.15913284132841329</v>
      </c>
      <c r="BK103" s="566">
        <f t="shared" si="125"/>
        <v>0.16261398176291791</v>
      </c>
      <c r="BL103" s="565">
        <f t="shared" si="125"/>
        <v>0.15460943809853467</v>
      </c>
      <c r="BM103" s="527">
        <f t="shared" si="125"/>
        <v>0.15445729641313238</v>
      </c>
      <c r="BN103" s="527">
        <f t="shared" si="125"/>
        <v>0.16061517113783536</v>
      </c>
      <c r="BO103" s="527">
        <f t="shared" si="125"/>
        <v>0.16107151069211312</v>
      </c>
      <c r="BP103" s="527">
        <f t="shared" si="125"/>
        <v>0.16254952225588443</v>
      </c>
      <c r="BQ103" s="566">
        <f t="shared" si="125"/>
        <v>0.16005616005616005</v>
      </c>
      <c r="BR103" s="565">
        <f t="shared" si="125"/>
        <v>0.16226806499942378</v>
      </c>
      <c r="BS103" s="527">
        <f t="shared" ref="BS103:BX103" si="126">BS$102/BS$101</f>
        <v>0.1593818475377696</v>
      </c>
      <c r="BT103" s="527">
        <f t="shared" si="126"/>
        <v>0.15860184447227596</v>
      </c>
      <c r="BU103" s="527">
        <f t="shared" si="126"/>
        <v>0.16047238624522406</v>
      </c>
      <c r="BV103" s="527">
        <f t="shared" si="126"/>
        <v>0.16097278517660685</v>
      </c>
      <c r="BW103" s="527">
        <f t="shared" si="126"/>
        <v>0.16219020172910661</v>
      </c>
      <c r="BX103" s="527" t="e">
        <f t="shared" si="126"/>
        <v>#DIV/0!</v>
      </c>
      <c r="BY103" s="482"/>
      <c r="BZ103" s="485"/>
      <c r="CA103" s="466"/>
      <c r="CB103" s="466"/>
      <c r="CC103" s="466"/>
      <c r="CD103" s="519"/>
      <c r="CE103" s="481"/>
      <c r="CF103" s="466"/>
      <c r="CG103" s="466"/>
      <c r="CH103" s="466"/>
      <c r="CI103" s="466"/>
      <c r="CJ103" s="519"/>
      <c r="CK103" s="481"/>
      <c r="CL103" s="466"/>
      <c r="CM103" s="466"/>
      <c r="CN103" s="466"/>
      <c r="CO103" s="466"/>
      <c r="CP103" s="466"/>
      <c r="CQ103" s="466"/>
      <c r="CR103" s="482"/>
      <c r="CS103" s="466"/>
      <c r="CT103" s="466"/>
      <c r="CU103" s="465"/>
      <c r="CV103" s="725"/>
      <c r="CW103" s="739"/>
      <c r="CX103" s="465"/>
      <c r="CY103" s="466"/>
      <c r="CZ103" s="466"/>
      <c r="DA103" s="466"/>
      <c r="DB103" s="519"/>
      <c r="DC103" s="481"/>
      <c r="DD103" s="466"/>
      <c r="DE103" s="466"/>
      <c r="DF103" s="466"/>
      <c r="DG103" s="466"/>
      <c r="DH103" s="466"/>
      <c r="DI103" s="466"/>
    </row>
    <row r="104" spans="3:114" s="506" customFormat="1" ht="15.75" thickBot="1" x14ac:dyDescent="0.3">
      <c r="C104" s="671" t="s">
        <v>274</v>
      </c>
      <c r="D104" s="671"/>
      <c r="E104" s="671"/>
      <c r="F104" s="678">
        <v>0.113</v>
      </c>
      <c r="G104" s="679">
        <v>0.113</v>
      </c>
      <c r="H104" s="679">
        <v>0.113</v>
      </c>
      <c r="I104" s="1363">
        <v>0.113</v>
      </c>
      <c r="J104" s="678">
        <v>0.113</v>
      </c>
      <c r="K104" s="679">
        <v>0.113</v>
      </c>
      <c r="L104" s="679">
        <v>0.113</v>
      </c>
      <c r="M104" s="679">
        <v>0.113</v>
      </c>
      <c r="N104" s="1445">
        <v>0.113</v>
      </c>
      <c r="O104" s="1363">
        <v>0.113</v>
      </c>
      <c r="P104" s="678">
        <v>0.11600000000000001</v>
      </c>
      <c r="Q104" s="679">
        <v>0.11600000000000001</v>
      </c>
      <c r="R104" s="679">
        <v>0.11600000000000001</v>
      </c>
      <c r="S104" s="1445">
        <v>0.11600000000000001</v>
      </c>
      <c r="T104" s="1445">
        <v>0.11600000000000001</v>
      </c>
      <c r="U104" s="1445">
        <v>0.11600000000000001</v>
      </c>
      <c r="V104" s="679"/>
      <c r="W104" s="572"/>
      <c r="X104" s="678"/>
      <c r="Y104" s="679"/>
      <c r="Z104" s="679"/>
      <c r="AA104" s="680"/>
      <c r="AB104" s="678"/>
      <c r="AC104" s="679"/>
      <c r="AD104" s="679"/>
      <c r="AE104" s="679"/>
      <c r="AF104" s="679"/>
      <c r="AG104" s="680"/>
      <c r="AH104" s="678"/>
      <c r="AI104" s="679"/>
      <c r="AJ104" s="679"/>
      <c r="AK104" s="679"/>
      <c r="AL104" s="679"/>
      <c r="AM104" s="679"/>
      <c r="AN104" s="679"/>
      <c r="AO104" s="573"/>
      <c r="AP104" s="679">
        <v>0.125</v>
      </c>
      <c r="AQ104" s="679">
        <v>0.123</v>
      </c>
      <c r="AR104" s="679">
        <v>0.122</v>
      </c>
      <c r="AS104" s="680">
        <v>0.121</v>
      </c>
      <c r="AT104" s="678">
        <v>0.1275</v>
      </c>
      <c r="AU104" s="679">
        <v>0.122</v>
      </c>
      <c r="AV104" s="679">
        <v>0.128</v>
      </c>
      <c r="AW104" s="679">
        <v>0.125</v>
      </c>
      <c r="AX104" s="679">
        <v>0.127</v>
      </c>
      <c r="AY104" s="680">
        <v>0.123</v>
      </c>
      <c r="AZ104" s="678">
        <v>0.121</v>
      </c>
      <c r="BA104" s="679">
        <v>0.123</v>
      </c>
      <c r="BB104" s="679">
        <v>0.126</v>
      </c>
      <c r="BC104" s="679">
        <v>0.123</v>
      </c>
      <c r="BD104" s="679">
        <v>0.124</v>
      </c>
      <c r="BE104" s="679">
        <v>0.123</v>
      </c>
      <c r="BF104" s="679"/>
      <c r="BG104" s="573"/>
      <c r="BH104" s="679">
        <v>0.155</v>
      </c>
      <c r="BI104" s="679">
        <v>0.155</v>
      </c>
      <c r="BJ104" s="679">
        <v>0.156</v>
      </c>
      <c r="BK104" s="680">
        <v>0.157</v>
      </c>
      <c r="BL104" s="678">
        <v>0.156</v>
      </c>
      <c r="BM104" s="679">
        <v>0.157</v>
      </c>
      <c r="BN104" s="679">
        <v>0.1565</v>
      </c>
      <c r="BO104" s="679">
        <v>0.156</v>
      </c>
      <c r="BP104" s="679">
        <v>0.155</v>
      </c>
      <c r="BQ104" s="680">
        <v>0.159</v>
      </c>
      <c r="BR104" s="678">
        <v>0.156</v>
      </c>
      <c r="BS104" s="679">
        <v>0.1555</v>
      </c>
      <c r="BT104" s="679">
        <v>0.158</v>
      </c>
      <c r="BU104" s="679">
        <v>0.158</v>
      </c>
      <c r="BV104" s="679">
        <v>0.156</v>
      </c>
      <c r="BW104" s="679">
        <v>0.157</v>
      </c>
      <c r="BX104" s="501"/>
      <c r="BY104" s="504"/>
      <c r="BZ104" s="505"/>
      <c r="CA104" s="501"/>
      <c r="CB104" s="501"/>
      <c r="CC104" s="501"/>
      <c r="CD104" s="502"/>
      <c r="CE104" s="500"/>
      <c r="CF104" s="501"/>
      <c r="CG104" s="501"/>
      <c r="CH104" s="501"/>
      <c r="CI104" s="501"/>
      <c r="CJ104" s="502"/>
      <c r="CK104" s="500"/>
      <c r="CL104" s="501"/>
      <c r="CM104" s="501"/>
      <c r="CN104" s="501"/>
      <c r="CO104" s="501"/>
      <c r="CP104" s="501"/>
      <c r="CQ104" s="501"/>
      <c r="CR104" s="504"/>
      <c r="CS104" s="501"/>
      <c r="CT104" s="501"/>
      <c r="CU104" s="579"/>
      <c r="CV104" s="726"/>
      <c r="CW104" s="740"/>
      <c r="CX104" s="579"/>
      <c r="CY104" s="501"/>
      <c r="CZ104" s="501"/>
      <c r="DA104" s="501"/>
      <c r="DB104" s="502"/>
      <c r="DC104" s="500"/>
      <c r="DD104" s="501"/>
      <c r="DE104" s="501"/>
      <c r="DF104" s="501"/>
      <c r="DG104" s="501"/>
      <c r="DH104" s="501"/>
      <c r="DI104" s="501"/>
    </row>
    <row r="105" spans="3:114" ht="15.75" thickTop="1" x14ac:dyDescent="0.25">
      <c r="F105" s="352"/>
      <c r="G105" s="234"/>
      <c r="H105" s="234"/>
      <c r="I105" s="1365"/>
      <c r="J105" s="352"/>
      <c r="K105" s="234"/>
      <c r="L105" s="234"/>
      <c r="M105" s="234"/>
      <c r="N105" s="1447"/>
      <c r="O105" s="1365"/>
      <c r="P105" s="352"/>
      <c r="Q105" s="234"/>
      <c r="R105" s="234"/>
      <c r="S105" s="1447"/>
      <c r="T105" s="1447"/>
      <c r="U105" s="1447"/>
      <c r="V105" s="234"/>
      <c r="W105" s="468"/>
      <c r="X105" s="352"/>
      <c r="Y105" s="234"/>
      <c r="Z105" s="234"/>
      <c r="AA105" s="235"/>
      <c r="AB105" s="352"/>
      <c r="AC105" s="234"/>
      <c r="AD105" s="234"/>
      <c r="AE105" s="234"/>
      <c r="AF105" s="234"/>
      <c r="AG105" s="235"/>
      <c r="AH105" s="352"/>
      <c r="AI105" s="234"/>
      <c r="AJ105" s="234"/>
      <c r="AK105" s="234"/>
      <c r="AL105" s="234"/>
      <c r="AM105" s="234"/>
      <c r="AN105" s="234"/>
      <c r="AO105" s="486"/>
      <c r="AP105" s="234"/>
      <c r="AQ105" s="234"/>
      <c r="AR105" s="234"/>
      <c r="AS105" s="235"/>
      <c r="AT105" s="352"/>
      <c r="AU105" s="234"/>
      <c r="AV105" s="234"/>
      <c r="AW105" s="234"/>
      <c r="AX105" s="234"/>
      <c r="AY105" s="235"/>
      <c r="AZ105" s="352"/>
      <c r="BA105" s="234"/>
      <c r="BB105" s="234"/>
      <c r="BC105" s="234"/>
      <c r="BD105" s="234"/>
      <c r="BE105" s="234"/>
      <c r="BF105" s="234"/>
      <c r="BG105" s="486"/>
      <c r="BH105" s="234"/>
      <c r="BI105" s="234"/>
      <c r="BJ105" s="234"/>
      <c r="BK105" s="235"/>
      <c r="BL105" s="352"/>
      <c r="BM105" s="234"/>
      <c r="BN105" s="234"/>
      <c r="BO105" s="234"/>
      <c r="BP105" s="234"/>
      <c r="BQ105" s="235"/>
      <c r="BR105" s="352"/>
      <c r="BS105" s="234"/>
      <c r="BT105" s="234"/>
      <c r="BU105" s="234"/>
      <c r="BV105" s="234"/>
      <c r="BW105" s="234"/>
      <c r="BX105" s="234"/>
      <c r="BY105" s="486"/>
      <c r="BZ105" s="488"/>
      <c r="CA105" s="234"/>
      <c r="CB105" s="234"/>
      <c r="CC105" s="234"/>
      <c r="CD105" s="235"/>
      <c r="CE105" s="771" t="s">
        <v>224</v>
      </c>
      <c r="CF105" s="234"/>
      <c r="CG105" s="234"/>
      <c r="CH105" s="234"/>
      <c r="CI105" s="234"/>
      <c r="CJ105" s="235"/>
      <c r="CK105" s="352"/>
      <c r="CL105" s="234"/>
      <c r="CM105" s="234"/>
      <c r="CN105" s="234"/>
      <c r="CO105" s="234"/>
      <c r="CP105" s="234"/>
      <c r="CQ105" s="234"/>
      <c r="CR105" s="486"/>
      <c r="CS105" s="1513" t="s">
        <v>225</v>
      </c>
      <c r="CT105" s="1513"/>
      <c r="CU105" s="1513"/>
      <c r="CV105" s="1513"/>
      <c r="CW105" s="1513"/>
      <c r="CX105" s="1513"/>
      <c r="CY105" s="1513"/>
      <c r="CZ105" s="1513"/>
      <c r="DA105" s="1513"/>
      <c r="DB105" s="1513"/>
      <c r="DC105" s="354"/>
      <c r="DD105" s="355"/>
      <c r="DE105" s="355"/>
      <c r="DF105" s="234"/>
      <c r="DG105" s="234"/>
      <c r="DH105" s="234"/>
      <c r="DI105" s="234"/>
    </row>
    <row r="106" spans="3:114" x14ac:dyDescent="0.25">
      <c r="C106" s="1" t="s">
        <v>386</v>
      </c>
      <c r="BR106" s="804"/>
      <c r="BS106" s="253"/>
      <c r="BT106" s="253"/>
      <c r="BU106" s="253"/>
      <c r="BV106" s="253"/>
      <c r="BW106" s="253"/>
      <c r="BZ106" s="253"/>
      <c r="CA106" s="282"/>
      <c r="CB106" s="282"/>
      <c r="CC106" s="282"/>
      <c r="CD106" s="727"/>
      <c r="CE106" s="741"/>
      <c r="CF106" s="282"/>
      <c r="CG106" s="282"/>
      <c r="CH106" s="282"/>
      <c r="CI106" s="282"/>
      <c r="CJ106" s="727"/>
      <c r="CK106" s="741"/>
      <c r="CL106" s="282"/>
      <c r="CM106" s="282"/>
      <c r="CN106" s="282"/>
      <c r="CO106" s="282"/>
      <c r="CP106" s="282"/>
      <c r="CQ106" s="282"/>
      <c r="CS106" s="256"/>
      <c r="CT106" s="263"/>
      <c r="CU106" s="256"/>
      <c r="CV106" s="309"/>
      <c r="CW106" s="321"/>
      <c r="CX106" s="256"/>
      <c r="CY106" s="256"/>
      <c r="CZ106" s="256"/>
      <c r="DA106" s="256"/>
      <c r="DB106" s="309"/>
      <c r="DC106" s="321"/>
      <c r="DD106" s="256"/>
      <c r="DE106" s="256"/>
      <c r="DJ106" s="1"/>
    </row>
    <row r="107" spans="3:114" x14ac:dyDescent="0.25">
      <c r="C107" s="1" t="s">
        <v>178</v>
      </c>
      <c r="F107" s="338" t="s">
        <v>186</v>
      </c>
      <c r="G107" s="283">
        <v>12</v>
      </c>
      <c r="H107" s="259" t="s">
        <v>192</v>
      </c>
      <c r="I107" s="1366">
        <v>4</v>
      </c>
      <c r="J107" s="319" t="s">
        <v>199</v>
      </c>
      <c r="K107" s="283">
        <f>G107+I107</f>
        <v>16</v>
      </c>
      <c r="BR107" s="804"/>
      <c r="BS107" s="253"/>
      <c r="BT107" s="253"/>
      <c r="BU107" s="253"/>
      <c r="BV107" s="253"/>
      <c r="BW107" s="253"/>
      <c r="BZ107" s="253" t="s">
        <v>199</v>
      </c>
      <c r="CA107" s="263">
        <f t="shared" ref="CA107:CP107" si="127">CA$59*CA$9/100</f>
        <v>1.2513412765957446</v>
      </c>
      <c r="CB107" s="263">
        <f t="shared" si="127"/>
        <v>0.82459999999999989</v>
      </c>
      <c r="CC107" s="263">
        <f t="shared" si="127"/>
        <v>0.95991000000000004</v>
      </c>
      <c r="CD107" s="242">
        <f t="shared" si="127"/>
        <v>1.3396860215053761</v>
      </c>
      <c r="CE107" s="328">
        <f t="shared" si="127"/>
        <v>2.5155566666666669</v>
      </c>
      <c r="CF107" s="263">
        <f t="shared" si="127"/>
        <v>1.8279291666666666</v>
      </c>
      <c r="CG107" s="263">
        <f t="shared" si="127"/>
        <v>1.8829549999999997</v>
      </c>
      <c r="CH107" s="263">
        <f t="shared" si="127"/>
        <v>1.6028458333333331</v>
      </c>
      <c r="CI107" s="263">
        <f t="shared" si="127"/>
        <v>1.7732249999999998</v>
      </c>
      <c r="CJ107" s="242">
        <f t="shared" si="127"/>
        <v>1.9039312500000001</v>
      </c>
      <c r="CK107" s="328">
        <f t="shared" si="127"/>
        <v>2.0338500000000002</v>
      </c>
      <c r="CL107" s="263">
        <f t="shared" si="127"/>
        <v>2.1401675000000004</v>
      </c>
      <c r="CM107" s="263">
        <f t="shared" si="127"/>
        <v>2.0333324999999998</v>
      </c>
      <c r="CN107" s="263">
        <f t="shared" si="127"/>
        <v>2.0884283333333333</v>
      </c>
      <c r="CO107" s="263">
        <f t="shared" si="127"/>
        <v>1.9295</v>
      </c>
      <c r="CP107" s="263">
        <f t="shared" si="127"/>
        <v>1.8435642857142858</v>
      </c>
      <c r="CQ107" s="282"/>
      <c r="CR107" s="439"/>
      <c r="CS107" s="282">
        <f t="shared" ref="CS107:DH107" si="128">CS$59*CS$9/100</f>
        <v>0.28322000000000003</v>
      </c>
      <c r="CT107" s="282">
        <f t="shared" si="128"/>
        <v>3.7925999999999994E-2</v>
      </c>
      <c r="CU107" s="282">
        <f t="shared" si="128"/>
        <v>6.0374999999999998E-2</v>
      </c>
      <c r="CV107" s="727">
        <f t="shared" si="128"/>
        <v>1.5913978494623657E-3</v>
      </c>
      <c r="CW107" s="741">
        <f t="shared" si="128"/>
        <v>5.5125E-2</v>
      </c>
      <c r="CX107" s="282">
        <f t="shared" si="128"/>
        <v>7.0616666666666661E-2</v>
      </c>
      <c r="CY107" s="282">
        <f t="shared" si="128"/>
        <v>4.3594999999999995E-2</v>
      </c>
      <c r="CZ107" s="282">
        <f t="shared" si="128"/>
        <v>4.4030000000000007E-2</v>
      </c>
      <c r="DA107" s="282">
        <f t="shared" si="128"/>
        <v>2.9906666666666668E-2</v>
      </c>
      <c r="DB107" s="727">
        <f t="shared" si="128"/>
        <v>1.3458333333333334E-4</v>
      </c>
      <c r="DC107" s="741">
        <f t="shared" si="128"/>
        <v>5.0083333333333341E-2</v>
      </c>
      <c r="DD107" s="282">
        <f t="shared" si="128"/>
        <v>0.14601125000000001</v>
      </c>
      <c r="DE107" s="282">
        <f t="shared" si="128"/>
        <v>0.16544791666666664</v>
      </c>
      <c r="DF107" s="282">
        <f t="shared" si="128"/>
        <v>5.1181249999999991E-2</v>
      </c>
      <c r="DG107" s="282">
        <f t="shared" si="128"/>
        <v>2.7091764705882353E-2</v>
      </c>
      <c r="DH107" s="282">
        <f t="shared" si="128"/>
        <v>6.6323571428571426E-2</v>
      </c>
      <c r="DJ107" s="1" t="s">
        <v>178</v>
      </c>
    </row>
    <row r="108" spans="3:114" x14ac:dyDescent="0.25">
      <c r="C108" s="1" t="s">
        <v>179</v>
      </c>
      <c r="F108" s="338" t="s">
        <v>187</v>
      </c>
      <c r="G108" s="283">
        <v>24</v>
      </c>
      <c r="H108" s="259" t="s">
        <v>195</v>
      </c>
      <c r="I108" s="1366">
        <v>6</v>
      </c>
      <c r="J108" s="319" t="s">
        <v>200</v>
      </c>
      <c r="K108" s="283">
        <f t="shared" ref="K108:K114" si="129">G108+I108</f>
        <v>30</v>
      </c>
      <c r="BR108" s="804"/>
      <c r="BS108" s="253"/>
      <c r="BT108" s="253"/>
      <c r="BU108" s="253"/>
      <c r="BV108" s="253"/>
      <c r="BW108" s="253"/>
      <c r="BZ108" s="253" t="s">
        <v>200</v>
      </c>
      <c r="CA108" s="263">
        <f t="shared" ref="CA108:CP108" si="130">CA$59*CA$10/100</f>
        <v>1.1161191489361701</v>
      </c>
      <c r="CB108" s="263">
        <f t="shared" si="130"/>
        <v>0.70109999999999995</v>
      </c>
      <c r="CC108" s="263">
        <f t="shared" si="130"/>
        <v>0.780335</v>
      </c>
      <c r="CD108" s="242">
        <f t="shared" si="130"/>
        <v>1.071748817204301</v>
      </c>
      <c r="CE108" s="328">
        <f t="shared" si="130"/>
        <v>1.9132633333333333</v>
      </c>
      <c r="CF108" s="263">
        <f t="shared" si="130"/>
        <v>1.4224333333333332</v>
      </c>
      <c r="CG108" s="263">
        <f t="shared" si="130"/>
        <v>1.4423749999999997</v>
      </c>
      <c r="CH108" s="263">
        <f t="shared" si="130"/>
        <v>1.2784904166666666</v>
      </c>
      <c r="CI108" s="263">
        <f t="shared" si="130"/>
        <v>1.3972125</v>
      </c>
      <c r="CJ108" s="242">
        <f t="shared" si="130"/>
        <v>1.4454000000000002</v>
      </c>
      <c r="CK108" s="328">
        <f t="shared" si="130"/>
        <v>1.52607</v>
      </c>
      <c r="CL108" s="263">
        <f t="shared" si="130"/>
        <v>1.5822250000000002</v>
      </c>
      <c r="CM108" s="263">
        <f t="shared" si="130"/>
        <v>1.5107849999999998</v>
      </c>
      <c r="CN108" s="263">
        <f t="shared" si="130"/>
        <v>1.5823150000000001</v>
      </c>
      <c r="CO108" s="263">
        <f t="shared" si="130"/>
        <v>1.4549166666666664</v>
      </c>
      <c r="CP108" s="263">
        <f t="shared" si="130"/>
        <v>1.3901178571428572</v>
      </c>
      <c r="CQ108" s="282"/>
      <c r="CR108" s="439"/>
      <c r="CS108" s="282">
        <f t="shared" ref="CS108:DH108" si="131">CS$59*CS$10/100</f>
        <v>0.45863999999999999</v>
      </c>
      <c r="CT108" s="282">
        <f t="shared" si="131"/>
        <v>1.4447999999999999E-2</v>
      </c>
      <c r="CU108" s="282">
        <f t="shared" si="131"/>
        <v>2.3000000000000003E-2</v>
      </c>
      <c r="CV108" s="727">
        <f t="shared" si="131"/>
        <v>9.5483870967741922E-4</v>
      </c>
      <c r="CW108" s="741">
        <f t="shared" si="131"/>
        <v>8.0850000000000005E-2</v>
      </c>
      <c r="CX108" s="282">
        <f t="shared" si="131"/>
        <v>0.10034999999999999</v>
      </c>
      <c r="CY108" s="282">
        <f t="shared" si="131"/>
        <v>6.5392500000000006E-2</v>
      </c>
      <c r="CZ108" s="282">
        <f t="shared" si="131"/>
        <v>6.2899999999999998E-2</v>
      </c>
      <c r="DA108" s="282">
        <f t="shared" si="131"/>
        <v>4.1121666666666667E-2</v>
      </c>
      <c r="DB108" s="727">
        <f t="shared" si="131"/>
        <v>1.8208333333333333E-4</v>
      </c>
      <c r="DC108" s="741">
        <f t="shared" si="131"/>
        <v>9.0150000000000008E-2</v>
      </c>
      <c r="DD108" s="282">
        <f t="shared" si="131"/>
        <v>0.23450291666666667</v>
      </c>
      <c r="DE108" s="282">
        <f t="shared" si="131"/>
        <v>0.25053541666666668</v>
      </c>
      <c r="DF108" s="282">
        <f t="shared" si="131"/>
        <v>9.8950416666666652E-2</v>
      </c>
      <c r="DG108" s="282">
        <f t="shared" si="131"/>
        <v>4.8480000000000009E-2</v>
      </c>
      <c r="DH108" s="282">
        <f t="shared" si="131"/>
        <v>0.11868428571428574</v>
      </c>
      <c r="DJ108" s="1" t="s">
        <v>179</v>
      </c>
    </row>
    <row r="109" spans="3:114" x14ac:dyDescent="0.25">
      <c r="C109" s="1" t="s">
        <v>180</v>
      </c>
      <c r="F109" s="338" t="s">
        <v>99</v>
      </c>
      <c r="G109" s="283">
        <v>36</v>
      </c>
      <c r="H109" s="259" t="s">
        <v>194</v>
      </c>
      <c r="I109" s="1366">
        <v>8</v>
      </c>
      <c r="J109" s="319" t="s">
        <v>201</v>
      </c>
      <c r="K109" s="283">
        <f t="shared" si="129"/>
        <v>44</v>
      </c>
      <c r="BR109" s="804"/>
      <c r="BS109" s="253"/>
      <c r="BT109" s="253"/>
      <c r="BU109" s="253"/>
      <c r="BV109" s="253"/>
      <c r="BW109" s="253"/>
      <c r="BZ109" s="253" t="s">
        <v>201</v>
      </c>
      <c r="CA109" s="263">
        <f t="shared" ref="CA109:CP109" si="132">CA$59*CA$11/100</f>
        <v>1.3371965957446807</v>
      </c>
      <c r="CB109" s="263">
        <f t="shared" si="132"/>
        <v>0.75430000000000008</v>
      </c>
      <c r="CC109" s="263">
        <f t="shared" si="132"/>
        <v>0.83420749999999999</v>
      </c>
      <c r="CD109" s="242">
        <f t="shared" si="132"/>
        <v>1.0113686021505375</v>
      </c>
      <c r="CE109" s="328">
        <f t="shared" si="132"/>
        <v>1.6301200000000002</v>
      </c>
      <c r="CF109" s="263">
        <f t="shared" si="132"/>
        <v>1.2970750000000002</v>
      </c>
      <c r="CG109" s="263">
        <f t="shared" si="132"/>
        <v>1.3086275000000001</v>
      </c>
      <c r="CH109" s="263">
        <f t="shared" si="132"/>
        <v>1.2696558333333332</v>
      </c>
      <c r="CI109" s="263">
        <f t="shared" si="132"/>
        <v>1.3431</v>
      </c>
      <c r="CJ109" s="242">
        <f t="shared" si="132"/>
        <v>1.3044187499999997</v>
      </c>
      <c r="CK109" s="328">
        <f t="shared" si="132"/>
        <v>1.42506</v>
      </c>
      <c r="CL109" s="263">
        <f t="shared" si="132"/>
        <v>1.4045716666666666</v>
      </c>
      <c r="CM109" s="263">
        <f t="shared" si="132"/>
        <v>1.3781174999999999</v>
      </c>
      <c r="CN109" s="263">
        <f t="shared" si="132"/>
        <v>1.4557866666666666</v>
      </c>
      <c r="CO109" s="263">
        <f t="shared" si="132"/>
        <v>1.39825</v>
      </c>
      <c r="CP109" s="263">
        <f t="shared" si="132"/>
        <v>1.3359749999999999</v>
      </c>
      <c r="CQ109" s="282"/>
      <c r="CR109" s="439"/>
      <c r="CS109" s="282">
        <f t="shared" ref="CS109:DH109" si="133">CS$59*CS$11/100</f>
        <v>0.67669000000000012</v>
      </c>
      <c r="CT109" s="282">
        <f t="shared" si="133"/>
        <v>3.4313999999999997E-2</v>
      </c>
      <c r="CU109" s="282">
        <f t="shared" si="133"/>
        <v>5.4625000000000007E-2</v>
      </c>
      <c r="CV109" s="727">
        <f t="shared" si="133"/>
        <v>1.2731182795698926E-3</v>
      </c>
      <c r="CW109" s="741">
        <f t="shared" si="133"/>
        <v>0.11025</v>
      </c>
      <c r="CX109" s="282">
        <f t="shared" si="133"/>
        <v>0.14866666666666667</v>
      </c>
      <c r="CY109" s="282">
        <f t="shared" si="133"/>
        <v>0.10535458333333332</v>
      </c>
      <c r="CZ109" s="282">
        <f t="shared" si="133"/>
        <v>9.4349999999999989E-2</v>
      </c>
      <c r="DA109" s="282">
        <f t="shared" si="133"/>
        <v>6.1682500000000001E-2</v>
      </c>
      <c r="DB109" s="727">
        <f t="shared" si="133"/>
        <v>2.5333333333333333E-4</v>
      </c>
      <c r="DC109" s="741">
        <f t="shared" si="133"/>
        <v>0.15024999999999999</v>
      </c>
      <c r="DD109" s="282">
        <f t="shared" si="133"/>
        <v>0.35396666666666671</v>
      </c>
      <c r="DE109" s="282">
        <f t="shared" si="133"/>
        <v>0.37343958333333338</v>
      </c>
      <c r="DF109" s="282">
        <f t="shared" si="133"/>
        <v>0.15695583333333332</v>
      </c>
      <c r="DG109" s="282">
        <f t="shared" si="133"/>
        <v>7.5571764705882366E-2</v>
      </c>
      <c r="DH109" s="282">
        <f t="shared" si="133"/>
        <v>0.18500785714285717</v>
      </c>
      <c r="DJ109" s="1" t="s">
        <v>180</v>
      </c>
    </row>
    <row r="110" spans="3:114" x14ac:dyDescent="0.25">
      <c r="C110" s="1" t="s">
        <v>387</v>
      </c>
      <c r="F110" s="338" t="s">
        <v>188</v>
      </c>
      <c r="G110" s="283">
        <v>48</v>
      </c>
      <c r="H110" s="259" t="s">
        <v>196</v>
      </c>
      <c r="I110" s="1366">
        <v>10</v>
      </c>
      <c r="J110" s="319" t="s">
        <v>202</v>
      </c>
      <c r="K110" s="283">
        <f t="shared" si="129"/>
        <v>58</v>
      </c>
      <c r="BR110" s="804"/>
      <c r="BS110" s="253"/>
      <c r="BT110" s="253"/>
      <c r="BU110" s="253"/>
      <c r="BV110" s="253"/>
      <c r="BW110" s="253"/>
      <c r="BZ110" s="253" t="s">
        <v>378</v>
      </c>
      <c r="CA110" s="263">
        <f t="shared" ref="CA110:CP110" si="134">CA$59*CA$12/100</f>
        <v>1.5239319148936168</v>
      </c>
      <c r="CB110" s="263">
        <f t="shared" si="134"/>
        <v>0.71439999999999992</v>
      </c>
      <c r="CC110" s="263">
        <f t="shared" si="134"/>
        <v>1.3484449999999999</v>
      </c>
      <c r="CD110" s="242">
        <f t="shared" si="134"/>
        <v>0.72644946236559138</v>
      </c>
      <c r="CE110" s="328">
        <f t="shared" si="134"/>
        <v>0.97709000000000001</v>
      </c>
      <c r="CF110" s="263">
        <f t="shared" si="134"/>
        <v>0.84552916666666667</v>
      </c>
      <c r="CG110" s="263">
        <f t="shared" si="134"/>
        <v>0.86935874999999996</v>
      </c>
      <c r="CH110" s="263">
        <f t="shared" si="134"/>
        <v>0.9023895833333333</v>
      </c>
      <c r="CI110" s="263">
        <f t="shared" si="134"/>
        <v>0.9226875000000001</v>
      </c>
      <c r="CJ110" s="242">
        <f t="shared" si="134"/>
        <v>0.88010624999999987</v>
      </c>
      <c r="CK110" s="328">
        <f t="shared" si="134"/>
        <v>0.94867500000000005</v>
      </c>
      <c r="CL110" s="263">
        <f t="shared" si="134"/>
        <v>0.89659416666666669</v>
      </c>
      <c r="CM110" s="263">
        <f t="shared" si="134"/>
        <v>0.92325749999999995</v>
      </c>
      <c r="CN110" s="263">
        <f t="shared" si="134"/>
        <v>0.9610466666666666</v>
      </c>
      <c r="CO110" s="263">
        <f t="shared" si="134"/>
        <v>0.99733333333333329</v>
      </c>
      <c r="CP110" s="263">
        <f t="shared" si="134"/>
        <v>0.95291428571428582</v>
      </c>
      <c r="CQ110" s="282"/>
      <c r="CR110" s="439"/>
      <c r="CS110" s="282">
        <f t="shared" ref="CS110:DH110" si="135">CS$59*CS$12/100</f>
        <v>0.61642000000000008</v>
      </c>
      <c r="CT110" s="282">
        <f t="shared" si="135"/>
        <v>0.12641999999999998</v>
      </c>
      <c r="CU110" s="282">
        <f t="shared" si="135"/>
        <v>0.20125000000000001</v>
      </c>
      <c r="CV110" s="727">
        <f t="shared" si="135"/>
        <v>3.6602150537634408E-3</v>
      </c>
      <c r="CW110" s="741">
        <f t="shared" si="135"/>
        <v>0.16537500000000002</v>
      </c>
      <c r="CX110" s="282">
        <f t="shared" si="135"/>
        <v>0.19326666666666664</v>
      </c>
      <c r="CY110" s="282">
        <f t="shared" si="135"/>
        <v>0.1489495833333333</v>
      </c>
      <c r="CZ110" s="282">
        <f t="shared" si="135"/>
        <v>0.13208999999999999</v>
      </c>
      <c r="DA110" s="282">
        <f t="shared" si="135"/>
        <v>7.8504999999999991E-2</v>
      </c>
      <c r="DB110" s="727">
        <f t="shared" si="135"/>
        <v>3.166666666666667E-4</v>
      </c>
      <c r="DC110" s="741">
        <f t="shared" si="135"/>
        <v>0.19532500000000003</v>
      </c>
      <c r="DD110" s="282">
        <f t="shared" si="135"/>
        <v>0.41148625000000005</v>
      </c>
      <c r="DE110" s="282">
        <f t="shared" si="135"/>
        <v>0.43016458333333341</v>
      </c>
      <c r="DF110" s="282">
        <f t="shared" si="135"/>
        <v>0.19448874999999999</v>
      </c>
      <c r="DG110" s="282">
        <f t="shared" si="135"/>
        <v>8.6978823529411761E-2</v>
      </c>
      <c r="DH110" s="282">
        <f t="shared" si="135"/>
        <v>0.21293357142857144</v>
      </c>
      <c r="DJ110" s="1" t="s">
        <v>181</v>
      </c>
    </row>
    <row r="111" spans="3:114" x14ac:dyDescent="0.25">
      <c r="C111" s="1" t="s">
        <v>182</v>
      </c>
      <c r="F111" s="338" t="s">
        <v>189</v>
      </c>
      <c r="G111" s="283">
        <v>60</v>
      </c>
      <c r="H111" s="259" t="s">
        <v>197</v>
      </c>
      <c r="I111" s="1366">
        <v>12</v>
      </c>
      <c r="J111" s="319" t="s">
        <v>203</v>
      </c>
      <c r="K111" s="283">
        <f t="shared" si="129"/>
        <v>72</v>
      </c>
      <c r="BR111" s="804"/>
      <c r="BS111" s="253"/>
      <c r="BT111" s="253"/>
      <c r="BU111" s="253"/>
      <c r="BV111" s="253"/>
      <c r="BW111" s="253"/>
      <c r="BZ111" s="253" t="s">
        <v>203</v>
      </c>
      <c r="CA111" s="263">
        <f t="shared" ref="CA111:CP111" si="136">CA$59*CA$13/100</f>
        <v>1.8609140425531914</v>
      </c>
      <c r="CB111" s="263">
        <f t="shared" si="136"/>
        <v>1.2977000000000001</v>
      </c>
      <c r="CC111" s="263">
        <f t="shared" si="136"/>
        <v>0.98276499999999989</v>
      </c>
      <c r="CD111" s="242">
        <f t="shared" si="136"/>
        <v>0.73777075268817205</v>
      </c>
      <c r="CE111" s="328">
        <f t="shared" si="136"/>
        <v>0.62520666666666669</v>
      </c>
      <c r="CF111" s="263">
        <f t="shared" si="136"/>
        <v>0.67540000000000011</v>
      </c>
      <c r="CG111" s="263">
        <f t="shared" si="136"/>
        <v>0.77757124999999983</v>
      </c>
      <c r="CH111" s="263">
        <f t="shared" si="136"/>
        <v>0.99073541666666654</v>
      </c>
      <c r="CI111" s="263">
        <f t="shared" si="136"/>
        <v>0.97680000000000011</v>
      </c>
      <c r="CJ111" s="242">
        <f t="shared" si="136"/>
        <v>0.98549999999999993</v>
      </c>
      <c r="CK111" s="328">
        <f t="shared" si="136"/>
        <v>0.98826000000000003</v>
      </c>
      <c r="CL111" s="263">
        <f t="shared" si="136"/>
        <v>0.72588041666666681</v>
      </c>
      <c r="CM111" s="263">
        <f t="shared" si="136"/>
        <v>0.86369249999999997</v>
      </c>
      <c r="CN111" s="263">
        <f t="shared" si="136"/>
        <v>0.80750666666666659</v>
      </c>
      <c r="CO111" s="263">
        <f t="shared" si="136"/>
        <v>1.2282499999999998</v>
      </c>
      <c r="CP111" s="263">
        <f t="shared" si="136"/>
        <v>1.1735464285714285</v>
      </c>
      <c r="CQ111" s="282"/>
      <c r="CR111" s="439"/>
      <c r="CS111" s="282">
        <f t="shared" ref="CS111:DH111" si="137">CS$59*CS$13/100</f>
        <v>0.54635</v>
      </c>
      <c r="CT111" s="282">
        <f t="shared" si="137"/>
        <v>6.3209999999999988E-2</v>
      </c>
      <c r="CU111" s="282">
        <f t="shared" si="137"/>
        <v>0.10062500000000001</v>
      </c>
      <c r="CV111" s="727">
        <f t="shared" si="137"/>
        <v>3.6602150537634408E-3</v>
      </c>
      <c r="CW111" s="741">
        <f t="shared" si="137"/>
        <v>0.58432500000000009</v>
      </c>
      <c r="CX111" s="282">
        <f t="shared" si="137"/>
        <v>0.55006666666666659</v>
      </c>
      <c r="CY111" s="282">
        <f t="shared" si="137"/>
        <v>0.55220333333333327</v>
      </c>
      <c r="CZ111" s="282">
        <f t="shared" si="137"/>
        <v>0.44973499999999994</v>
      </c>
      <c r="DA111" s="282">
        <f t="shared" si="137"/>
        <v>0.24486083333333333</v>
      </c>
      <c r="DB111" s="727">
        <f t="shared" si="137"/>
        <v>8.2333333333333325E-4</v>
      </c>
      <c r="DC111" s="741">
        <f t="shared" si="137"/>
        <v>0.43071666666666664</v>
      </c>
      <c r="DD111" s="282">
        <f t="shared" si="137"/>
        <v>0.97340833333333354</v>
      </c>
      <c r="DE111" s="282">
        <f t="shared" si="137"/>
        <v>0.95014375000000006</v>
      </c>
      <c r="DF111" s="282">
        <f t="shared" si="137"/>
        <v>0.58687833333333328</v>
      </c>
      <c r="DG111" s="282">
        <f t="shared" si="137"/>
        <v>0.20532705882352942</v>
      </c>
      <c r="DH111" s="282">
        <f t="shared" si="137"/>
        <v>0.50266285714285719</v>
      </c>
      <c r="DJ111" s="1" t="s">
        <v>182</v>
      </c>
    </row>
    <row r="112" spans="3:114" ht="15.75" thickBot="1" x14ac:dyDescent="0.3">
      <c r="C112" s="1" t="s">
        <v>353</v>
      </c>
      <c r="F112" s="580" t="s">
        <v>190</v>
      </c>
      <c r="G112" s="581">
        <v>72</v>
      </c>
      <c r="H112" s="582" t="s">
        <v>198</v>
      </c>
      <c r="I112" s="1367">
        <v>14</v>
      </c>
      <c r="J112" s="361" t="s">
        <v>204</v>
      </c>
      <c r="K112" s="581">
        <f t="shared" si="129"/>
        <v>86</v>
      </c>
      <c r="L112" s="228"/>
      <c r="M112" s="228"/>
      <c r="N112" s="1443"/>
      <c r="O112" s="1361"/>
      <c r="P112" s="353"/>
      <c r="Q112" s="228"/>
      <c r="R112" s="228"/>
      <c r="S112" s="1443"/>
      <c r="T112" s="1443"/>
      <c r="U112" s="1443"/>
      <c r="V112" s="228"/>
      <c r="W112" s="476"/>
      <c r="X112" s="353"/>
      <c r="Y112" s="228"/>
      <c r="Z112" s="228"/>
      <c r="AA112" s="229"/>
      <c r="AB112" s="353"/>
      <c r="AC112" s="228"/>
      <c r="AD112" s="228"/>
      <c r="AE112" s="228"/>
      <c r="AF112" s="228"/>
      <c r="AG112" s="229"/>
      <c r="AH112" s="353"/>
      <c r="AI112" s="228"/>
      <c r="AJ112" s="228"/>
      <c r="AK112" s="228"/>
      <c r="AL112" s="228"/>
      <c r="AM112" s="228"/>
      <c r="AN112" s="228"/>
      <c r="AO112" s="463"/>
      <c r="AP112" s="228"/>
      <c r="AQ112" s="228"/>
      <c r="AR112" s="228"/>
      <c r="AS112" s="229"/>
      <c r="AT112" s="353"/>
      <c r="AU112" s="228"/>
      <c r="AV112" s="228"/>
      <c r="AW112" s="228"/>
      <c r="AX112" s="228"/>
      <c r="AY112" s="229"/>
      <c r="AZ112" s="353"/>
      <c r="BA112" s="228"/>
      <c r="BB112" s="228"/>
      <c r="BC112" s="228"/>
      <c r="BD112" s="228"/>
      <c r="BE112" s="228"/>
      <c r="BF112" s="228"/>
      <c r="BG112" s="463"/>
      <c r="BH112" s="228"/>
      <c r="BI112" s="228"/>
      <c r="BJ112" s="228"/>
      <c r="BK112" s="229"/>
      <c r="BL112" s="353"/>
      <c r="BM112" s="228"/>
      <c r="BN112" s="228"/>
      <c r="BO112" s="228"/>
      <c r="BP112" s="228"/>
      <c r="BQ112" s="229"/>
      <c r="BR112" s="805"/>
      <c r="BS112" s="478"/>
      <c r="BT112" s="478"/>
      <c r="BU112" s="478"/>
      <c r="BV112" s="478"/>
      <c r="BW112" s="478"/>
      <c r="BX112" s="228"/>
      <c r="BY112" s="463"/>
      <c r="BZ112" s="478" t="s">
        <v>406</v>
      </c>
      <c r="CA112" s="555">
        <f t="shared" ref="CA112:CP112" si="138">CA$59*CA$14/100</f>
        <v>2.6464902127659569</v>
      </c>
      <c r="CB112" s="555">
        <f t="shared" si="138"/>
        <v>5.8576999999999995</v>
      </c>
      <c r="CC112" s="555">
        <f t="shared" si="138"/>
        <v>1.63903</v>
      </c>
      <c r="CD112" s="575">
        <f t="shared" si="138"/>
        <v>0.34907311827956988</v>
      </c>
      <c r="CE112" s="574">
        <f t="shared" si="138"/>
        <v>0.15057333333333334</v>
      </c>
      <c r="CF112" s="555">
        <f t="shared" si="138"/>
        <v>0.13175416666666667</v>
      </c>
      <c r="CG112" s="555">
        <f t="shared" si="138"/>
        <v>0.12981374999999998</v>
      </c>
      <c r="CH112" s="555">
        <f t="shared" si="138"/>
        <v>0.24484416666666664</v>
      </c>
      <c r="CI112" s="555">
        <f t="shared" si="138"/>
        <v>0.23309999999999997</v>
      </c>
      <c r="CJ112" s="575">
        <f t="shared" si="138"/>
        <v>0.23268750000000002</v>
      </c>
      <c r="CK112" s="574">
        <f t="shared" si="138"/>
        <v>0.19792500000000002</v>
      </c>
      <c r="CL112" s="555">
        <f t="shared" si="138"/>
        <v>9.715416666666668E-2</v>
      </c>
      <c r="CM112" s="555">
        <f t="shared" si="138"/>
        <v>8.3932500000000007E-2</v>
      </c>
      <c r="CN112" s="555">
        <f t="shared" si="138"/>
        <v>7.2505E-2</v>
      </c>
      <c r="CO112" s="555">
        <f t="shared" si="138"/>
        <v>0.23091666666666666</v>
      </c>
      <c r="CP112" s="555">
        <f t="shared" si="138"/>
        <v>0.22063214285714283</v>
      </c>
      <c r="CQ112" s="583"/>
      <c r="CR112" s="584"/>
      <c r="CS112" s="583">
        <f t="shared" ref="CS112:DH112" si="139">CS$59*CS$14/100</f>
        <v>0.12592999999999999</v>
      </c>
      <c r="CT112" s="583">
        <f t="shared" si="139"/>
        <v>9.9330000000000002E-2</v>
      </c>
      <c r="CU112" s="583">
        <f t="shared" si="139"/>
        <v>0.15812500000000002</v>
      </c>
      <c r="CV112" s="728">
        <f t="shared" si="139"/>
        <v>5.4107526881720432E-3</v>
      </c>
      <c r="CW112" s="742">
        <f t="shared" si="139"/>
        <v>0.15434999999999999</v>
      </c>
      <c r="CX112" s="583">
        <f t="shared" si="139"/>
        <v>0.1338</v>
      </c>
      <c r="CY112" s="583">
        <f t="shared" si="139"/>
        <v>0.13441791666666666</v>
      </c>
      <c r="CZ112" s="583">
        <f t="shared" si="139"/>
        <v>8.8060000000000013E-2</v>
      </c>
      <c r="DA112" s="583">
        <f t="shared" si="139"/>
        <v>4.6729166666666669E-2</v>
      </c>
      <c r="DB112" s="728">
        <f t="shared" si="139"/>
        <v>1.4249999999999999E-4</v>
      </c>
      <c r="DC112" s="742">
        <f t="shared" si="139"/>
        <v>6.0100000000000001E-2</v>
      </c>
      <c r="DD112" s="583">
        <f t="shared" si="139"/>
        <v>0.17698333333333335</v>
      </c>
      <c r="DE112" s="583">
        <f t="shared" si="139"/>
        <v>0.14181250000000001</v>
      </c>
      <c r="DF112" s="583">
        <f t="shared" si="139"/>
        <v>0.13648333333333335</v>
      </c>
      <c r="DG112" s="583">
        <f t="shared" si="139"/>
        <v>3.7072941176470593E-2</v>
      </c>
      <c r="DH112" s="583">
        <f t="shared" si="139"/>
        <v>9.0758571428571438E-2</v>
      </c>
      <c r="DI112" s="228"/>
      <c r="DJ112" s="1" t="s">
        <v>408</v>
      </c>
    </row>
    <row r="113" spans="3:114" s="528" customFormat="1" ht="15.75" thickTop="1" x14ac:dyDescent="0.25">
      <c r="C113" s="524" t="s">
        <v>183</v>
      </c>
      <c r="D113" s="524"/>
      <c r="E113" s="524"/>
      <c r="F113" s="585" t="s">
        <v>157</v>
      </c>
      <c r="G113" s="586">
        <v>32</v>
      </c>
      <c r="H113" s="483" t="s">
        <v>191</v>
      </c>
      <c r="I113" s="1368">
        <v>2</v>
      </c>
      <c r="J113" s="479" t="s">
        <v>135</v>
      </c>
      <c r="K113" s="586">
        <f t="shared" si="129"/>
        <v>34</v>
      </c>
      <c r="L113" s="466"/>
      <c r="M113" s="466"/>
      <c r="N113" s="1420"/>
      <c r="O113" s="1371"/>
      <c r="P113" s="481"/>
      <c r="Q113" s="466"/>
      <c r="R113" s="466"/>
      <c r="S113" s="1420"/>
      <c r="T113" s="1420"/>
      <c r="U113" s="1420"/>
      <c r="V113" s="466"/>
      <c r="W113" s="480"/>
      <c r="X113" s="481"/>
      <c r="Y113" s="466"/>
      <c r="Z113" s="466"/>
      <c r="AA113" s="519"/>
      <c r="AB113" s="481"/>
      <c r="AC113" s="466"/>
      <c r="AD113" s="466"/>
      <c r="AE113" s="466"/>
      <c r="AF113" s="466"/>
      <c r="AG113" s="519"/>
      <c r="AH113" s="481"/>
      <c r="AI113" s="466"/>
      <c r="AJ113" s="466"/>
      <c r="AK113" s="466"/>
      <c r="AL113" s="466"/>
      <c r="AM113" s="466"/>
      <c r="AN113" s="466"/>
      <c r="AO113" s="482"/>
      <c r="AP113" s="466"/>
      <c r="AQ113" s="466"/>
      <c r="AR113" s="466"/>
      <c r="AS113" s="519"/>
      <c r="AT113" s="481"/>
      <c r="AU113" s="466"/>
      <c r="AV113" s="466"/>
      <c r="AW113" s="466"/>
      <c r="AX113" s="466"/>
      <c r="AY113" s="519"/>
      <c r="AZ113" s="481"/>
      <c r="BA113" s="466"/>
      <c r="BB113" s="466"/>
      <c r="BC113" s="466"/>
      <c r="BD113" s="466"/>
      <c r="BE113" s="466"/>
      <c r="BF113" s="466"/>
      <c r="BG113" s="482"/>
      <c r="BH113" s="466"/>
      <c r="BI113" s="466"/>
      <c r="BJ113" s="466"/>
      <c r="BK113" s="519"/>
      <c r="BL113" s="481"/>
      <c r="BM113" s="466"/>
      <c r="BN113" s="466"/>
      <c r="BO113" s="466"/>
      <c r="BP113" s="466"/>
      <c r="BQ113" s="519"/>
      <c r="BR113" s="806"/>
      <c r="BS113" s="467"/>
      <c r="BT113" s="467"/>
      <c r="BU113" s="467"/>
      <c r="BV113" s="467"/>
      <c r="BW113" s="467"/>
      <c r="BX113" s="466"/>
      <c r="BY113" s="482"/>
      <c r="BZ113" s="485"/>
      <c r="CA113" s="466"/>
      <c r="CB113" s="466"/>
      <c r="CC113" s="466"/>
      <c r="CD113" s="519"/>
      <c r="CE113" s="481"/>
      <c r="CF113" s="466"/>
      <c r="CG113" s="466"/>
      <c r="CH113" s="466"/>
      <c r="CI113" s="466"/>
      <c r="CJ113" s="519"/>
      <c r="CK113" s="481"/>
      <c r="CL113" s="466"/>
      <c r="CM113" s="466"/>
      <c r="CN113" s="466"/>
      <c r="CO113" s="466"/>
      <c r="CP113" s="466"/>
      <c r="CQ113" s="466"/>
      <c r="CR113" s="482"/>
      <c r="CS113" s="466"/>
      <c r="CT113" s="466"/>
      <c r="CU113" s="466"/>
      <c r="CV113" s="519"/>
      <c r="CW113" s="481"/>
      <c r="CX113" s="466"/>
      <c r="CY113" s="466"/>
      <c r="CZ113" s="466"/>
      <c r="DA113" s="466"/>
      <c r="DB113" s="519"/>
      <c r="DC113" s="481"/>
      <c r="DD113" s="466"/>
      <c r="DE113" s="466"/>
      <c r="DF113" s="466"/>
      <c r="DG113" s="466"/>
      <c r="DH113" s="466"/>
      <c r="DI113" s="466"/>
    </row>
    <row r="114" spans="3:114" s="506" customFormat="1" ht="15.75" thickBot="1" x14ac:dyDescent="0.3">
      <c r="C114" s="499" t="s">
        <v>184</v>
      </c>
      <c r="D114" s="499"/>
      <c r="E114" s="499"/>
      <c r="F114" s="588" t="s">
        <v>156</v>
      </c>
      <c r="G114" s="589">
        <v>14</v>
      </c>
      <c r="H114" s="590" t="s">
        <v>193</v>
      </c>
      <c r="I114" s="1369">
        <v>3</v>
      </c>
      <c r="J114" s="591" t="s">
        <v>136</v>
      </c>
      <c r="K114" s="589">
        <f t="shared" si="129"/>
        <v>17</v>
      </c>
      <c r="L114" s="501"/>
      <c r="M114" s="501"/>
      <c r="N114" s="1404"/>
      <c r="O114" s="1328"/>
      <c r="P114" s="500"/>
      <c r="Q114" s="501"/>
      <c r="R114" s="501"/>
      <c r="S114" s="1404"/>
      <c r="T114" s="1404"/>
      <c r="U114" s="1404"/>
      <c r="V114" s="501"/>
      <c r="W114" s="503"/>
      <c r="X114" s="500"/>
      <c r="Y114" s="501"/>
      <c r="Z114" s="501"/>
      <c r="AA114" s="502"/>
      <c r="AB114" s="500"/>
      <c r="AC114" s="501"/>
      <c r="AD114" s="501"/>
      <c r="AE114" s="501"/>
      <c r="AF114" s="501"/>
      <c r="AG114" s="502"/>
      <c r="AH114" s="500"/>
      <c r="AI114" s="501"/>
      <c r="AJ114" s="501"/>
      <c r="AK114" s="501"/>
      <c r="AL114" s="501"/>
      <c r="AM114" s="501"/>
      <c r="AN114" s="501"/>
      <c r="AO114" s="504"/>
      <c r="AP114" s="501"/>
      <c r="AQ114" s="501"/>
      <c r="AR114" s="501"/>
      <c r="AS114" s="502"/>
      <c r="AT114" s="500"/>
      <c r="AU114" s="501"/>
      <c r="AV114" s="501"/>
      <c r="AW114" s="501"/>
      <c r="AX114" s="501"/>
      <c r="AY114" s="502"/>
      <c r="AZ114" s="500"/>
      <c r="BA114" s="501"/>
      <c r="BB114" s="501"/>
      <c r="BC114" s="501"/>
      <c r="BD114" s="501"/>
      <c r="BE114" s="501"/>
      <c r="BF114" s="501"/>
      <c r="BG114" s="504"/>
      <c r="BH114" s="501"/>
      <c r="BI114" s="501"/>
      <c r="BJ114" s="501"/>
      <c r="BK114" s="502"/>
      <c r="BL114" s="500"/>
      <c r="BM114" s="501"/>
      <c r="BN114" s="501"/>
      <c r="BO114" s="501"/>
      <c r="BP114" s="501"/>
      <c r="BQ114" s="502"/>
      <c r="BR114" s="807"/>
      <c r="BS114" s="505"/>
      <c r="BT114" s="505"/>
      <c r="BU114" s="505"/>
      <c r="BV114" s="505"/>
      <c r="BW114" s="505"/>
      <c r="BX114" s="501"/>
      <c r="BY114" s="504"/>
      <c r="BZ114" s="505"/>
      <c r="CA114" s="501"/>
      <c r="CB114" s="501"/>
      <c r="CC114" s="501"/>
      <c r="CD114" s="502"/>
      <c r="CE114" s="500"/>
      <c r="CF114" s="501"/>
      <c r="CG114" s="501"/>
      <c r="CH114" s="501"/>
      <c r="CI114" s="501"/>
      <c r="CJ114" s="502"/>
      <c r="CK114" s="500"/>
      <c r="CL114" s="501"/>
      <c r="CM114" s="501"/>
      <c r="CN114" s="501"/>
      <c r="CO114" s="501"/>
      <c r="CP114" s="501"/>
      <c r="CQ114" s="501"/>
      <c r="CR114" s="504"/>
      <c r="CS114" s="501"/>
      <c r="CT114" s="501"/>
      <c r="CU114" s="501"/>
      <c r="CV114" s="502"/>
      <c r="CW114" s="500"/>
      <c r="CX114" s="501"/>
      <c r="CY114" s="501"/>
      <c r="CZ114" s="501"/>
      <c r="DA114" s="501"/>
      <c r="DB114" s="502"/>
      <c r="DC114" s="500"/>
      <c r="DD114" s="501"/>
      <c r="DE114" s="501"/>
      <c r="DF114" s="501"/>
      <c r="DG114" s="501"/>
      <c r="DH114" s="501"/>
      <c r="DI114" s="501"/>
    </row>
    <row r="115" spans="3:114" s="233" customFormat="1" ht="15.75" thickTop="1" x14ac:dyDescent="0.25">
      <c r="C115" s="230"/>
      <c r="D115" s="230"/>
      <c r="E115" s="230"/>
      <c r="F115" s="352"/>
      <c r="G115" s="234"/>
      <c r="H115" s="234"/>
      <c r="I115" s="1365"/>
      <c r="J115" s="352"/>
      <c r="K115" s="234"/>
      <c r="L115" s="362"/>
      <c r="M115" s="362"/>
      <c r="N115" s="1448"/>
      <c r="O115" s="1449"/>
      <c r="P115" s="494"/>
      <c r="Q115" s="362"/>
      <c r="R115" s="362"/>
      <c r="S115" s="1448"/>
      <c r="T115" s="1448"/>
      <c r="U115" s="1448"/>
      <c r="V115" s="234"/>
      <c r="W115" s="468"/>
      <c r="X115" s="352"/>
      <c r="Y115" s="234"/>
      <c r="Z115" s="234"/>
      <c r="AA115" s="235"/>
      <c r="AB115" s="352"/>
      <c r="AC115" s="234"/>
      <c r="AD115" s="234"/>
      <c r="AE115" s="234"/>
      <c r="AF115" s="234"/>
      <c r="AG115" s="235"/>
      <c r="AH115" s="352"/>
      <c r="AI115" s="234"/>
      <c r="AJ115" s="234"/>
      <c r="AK115" s="234"/>
      <c r="AL115" s="234"/>
      <c r="AM115" s="234"/>
      <c r="AN115" s="234"/>
      <c r="AO115" s="486"/>
      <c r="AP115" s="234"/>
      <c r="AQ115" s="234"/>
      <c r="AR115" s="234"/>
      <c r="AS115" s="235"/>
      <c r="AT115" s="352"/>
      <c r="AU115" s="234"/>
      <c r="AV115" s="234"/>
      <c r="AW115" s="234"/>
      <c r="AX115" s="234"/>
      <c r="AY115" s="235"/>
      <c r="AZ115" s="352"/>
      <c r="BA115" s="234"/>
      <c r="BB115" s="234"/>
      <c r="BC115" s="234"/>
      <c r="BD115" s="234"/>
      <c r="BE115" s="234"/>
      <c r="BF115" s="234"/>
      <c r="BG115" s="486"/>
      <c r="BH115" s="234"/>
      <c r="BI115" s="234"/>
      <c r="BJ115" s="234"/>
      <c r="BK115" s="235"/>
      <c r="BL115" s="352"/>
      <c r="BM115" s="234"/>
      <c r="BN115" s="234"/>
      <c r="BO115" s="234"/>
      <c r="BP115" s="234"/>
      <c r="BQ115" s="235"/>
      <c r="BR115" s="352"/>
      <c r="BS115" s="469"/>
      <c r="BT115" s="469"/>
      <c r="BU115" s="469"/>
      <c r="BV115" s="469"/>
      <c r="BW115" s="469"/>
      <c r="BX115" s="234"/>
      <c r="BY115" s="486"/>
      <c r="BZ115" s="488"/>
      <c r="CA115" s="1512" t="s">
        <v>412</v>
      </c>
      <c r="CB115" s="1512"/>
      <c r="CC115" s="1512"/>
      <c r="CD115" s="1512"/>
      <c r="CE115" s="1512" t="s">
        <v>412</v>
      </c>
      <c r="CF115" s="1512"/>
      <c r="CG115" s="1512"/>
      <c r="CH115" s="1512"/>
      <c r="CI115" s="1512"/>
      <c r="CJ115" s="1512"/>
      <c r="CK115" s="1512" t="s">
        <v>412</v>
      </c>
      <c r="CL115" s="1512"/>
      <c r="CM115" s="1512"/>
      <c r="CN115" s="1512"/>
      <c r="CO115" s="1512"/>
      <c r="CP115" s="1512"/>
      <c r="CQ115" s="587"/>
      <c r="CR115" s="562"/>
      <c r="CS115" s="1512" t="s">
        <v>413</v>
      </c>
      <c r="CT115" s="1512"/>
      <c r="CU115" s="1512"/>
      <c r="CV115" s="1512"/>
      <c r="CW115" s="1512" t="s">
        <v>411</v>
      </c>
      <c r="CX115" s="1512"/>
      <c r="CY115" s="1512"/>
      <c r="CZ115" s="1512"/>
      <c r="DA115" s="1512"/>
      <c r="DB115" s="1512"/>
      <c r="DC115" s="1512" t="s">
        <v>411</v>
      </c>
      <c r="DD115" s="1512"/>
      <c r="DE115" s="1512"/>
      <c r="DF115" s="1512"/>
      <c r="DG115" s="1512"/>
      <c r="DH115" s="587"/>
      <c r="DI115" s="234"/>
    </row>
    <row r="116" spans="3:114" x14ac:dyDescent="0.25">
      <c r="F116" s="326"/>
      <c r="G116" s="251"/>
      <c r="H116" s="251"/>
      <c r="I116" s="1370"/>
      <c r="J116" s="326"/>
      <c r="K116" s="251"/>
      <c r="L116" s="251"/>
      <c r="M116" s="251"/>
      <c r="N116" s="1450"/>
      <c r="O116" s="1370"/>
      <c r="P116" s="326"/>
      <c r="Q116" s="251"/>
      <c r="R116" s="251"/>
      <c r="S116" s="1450"/>
      <c r="T116" s="1450"/>
      <c r="U116" s="1450"/>
      <c r="BS116" s="253"/>
      <c r="BT116" s="253"/>
      <c r="BU116" s="253"/>
      <c r="BV116" s="253"/>
      <c r="BW116" s="253"/>
      <c r="BZ116" s="253" t="s">
        <v>219</v>
      </c>
      <c r="CA116" s="284"/>
      <c r="CB116" s="284"/>
      <c r="CC116" s="284"/>
      <c r="CD116" s="729"/>
      <c r="CE116" s="743"/>
      <c r="CF116" s="284"/>
      <c r="CG116" s="284"/>
      <c r="CH116" s="284"/>
      <c r="CI116" s="284"/>
      <c r="CJ116" s="729"/>
      <c r="CK116" s="743"/>
      <c r="CL116" s="284"/>
      <c r="CM116" s="284"/>
      <c r="CN116" s="284"/>
      <c r="CO116" s="284"/>
      <c r="CP116" s="284"/>
      <c r="CQ116" s="284"/>
      <c r="CR116" s="440"/>
      <c r="CS116" s="284"/>
      <c r="CT116" s="284"/>
      <c r="CU116" s="284"/>
      <c r="CV116" s="729"/>
      <c r="CW116" s="743"/>
      <c r="CX116" s="284"/>
      <c r="CY116" s="284"/>
      <c r="CZ116" s="284"/>
      <c r="DA116" s="284"/>
      <c r="DB116" s="729"/>
      <c r="DC116" s="743"/>
      <c r="DD116" s="284"/>
      <c r="DE116" s="284"/>
      <c r="DF116" s="284"/>
      <c r="DG116" s="284"/>
      <c r="DH116" s="284"/>
      <c r="DJ116" s="1" t="s">
        <v>220</v>
      </c>
    </row>
    <row r="117" spans="3:114" x14ac:dyDescent="0.25">
      <c r="BS117" s="253"/>
      <c r="BT117" s="253"/>
      <c r="BU117" s="253"/>
      <c r="BV117" s="253"/>
      <c r="BW117" s="253"/>
      <c r="BZ117" s="253" t="s">
        <v>137</v>
      </c>
      <c r="CA117" s="285">
        <f>($G$108/$K$108)*CA$107</f>
        <v>1.0010730212765957</v>
      </c>
      <c r="CB117" s="285">
        <f t="shared" ref="CB117:DH117" si="140">($G$108/$K$108)*CB$107</f>
        <v>0.65967999999999993</v>
      </c>
      <c r="CC117" s="285">
        <f t="shared" si="140"/>
        <v>0.76792800000000006</v>
      </c>
      <c r="CD117" s="346">
        <f t="shared" si="140"/>
        <v>1.0717488172043008</v>
      </c>
      <c r="CE117" s="349">
        <f t="shared" si="140"/>
        <v>2.0124453333333334</v>
      </c>
      <c r="CF117" s="285">
        <f t="shared" si="140"/>
        <v>1.4623433333333333</v>
      </c>
      <c r="CG117" s="285">
        <f t="shared" si="140"/>
        <v>1.5063639999999998</v>
      </c>
      <c r="CH117" s="285">
        <f t="shared" si="140"/>
        <v>1.2822766666666665</v>
      </c>
      <c r="CI117" s="285">
        <f t="shared" si="140"/>
        <v>1.41858</v>
      </c>
      <c r="CJ117" s="346">
        <f t="shared" si="140"/>
        <v>1.5231450000000002</v>
      </c>
      <c r="CK117" s="349">
        <f t="shared" si="140"/>
        <v>1.6270800000000003</v>
      </c>
      <c r="CL117" s="285">
        <f t="shared" si="140"/>
        <v>1.7121340000000005</v>
      </c>
      <c r="CM117" s="285">
        <f t="shared" si="140"/>
        <v>1.6266659999999999</v>
      </c>
      <c r="CN117" s="285">
        <f t="shared" si="140"/>
        <v>1.6707426666666667</v>
      </c>
      <c r="CO117" s="285">
        <f t="shared" si="140"/>
        <v>1.5436000000000001</v>
      </c>
      <c r="CP117" s="285">
        <f t="shared" si="140"/>
        <v>1.4748514285714287</v>
      </c>
      <c r="CQ117" s="284"/>
      <c r="CR117" s="440"/>
      <c r="CS117" s="284">
        <f t="shared" si="140"/>
        <v>0.22657600000000003</v>
      </c>
      <c r="CT117" s="284">
        <f t="shared" si="140"/>
        <v>3.0340799999999998E-2</v>
      </c>
      <c r="CU117" s="284">
        <f t="shared" si="140"/>
        <v>4.8300000000000003E-2</v>
      </c>
      <c r="CV117" s="729">
        <f>($G$108/$K$108)*CV$107</f>
        <v>1.2731182795698926E-3</v>
      </c>
      <c r="CW117" s="743">
        <f t="shared" si="140"/>
        <v>4.41E-2</v>
      </c>
      <c r="CX117" s="284">
        <f t="shared" si="140"/>
        <v>5.6493333333333333E-2</v>
      </c>
      <c r="CY117" s="284">
        <f t="shared" si="140"/>
        <v>3.4875999999999997E-2</v>
      </c>
      <c r="CZ117" s="284">
        <f t="shared" si="140"/>
        <v>3.5224000000000005E-2</v>
      </c>
      <c r="DA117" s="284">
        <f t="shared" si="140"/>
        <v>2.3925333333333337E-2</v>
      </c>
      <c r="DB117" s="729">
        <f t="shared" si="140"/>
        <v>1.0766666666666668E-4</v>
      </c>
      <c r="DC117" s="743">
        <f t="shared" si="140"/>
        <v>4.0066666666666674E-2</v>
      </c>
      <c r="DD117" s="284">
        <f t="shared" si="140"/>
        <v>0.11680900000000001</v>
      </c>
      <c r="DE117" s="284">
        <f t="shared" si="140"/>
        <v>0.13235833333333333</v>
      </c>
      <c r="DF117" s="284">
        <f t="shared" si="140"/>
        <v>4.0944999999999995E-2</v>
      </c>
      <c r="DG117" s="284">
        <f t="shared" si="140"/>
        <v>2.1673411764705885E-2</v>
      </c>
      <c r="DH117" s="284">
        <f t="shared" si="140"/>
        <v>5.3058857142857144E-2</v>
      </c>
      <c r="DJ117" s="1" t="s">
        <v>137</v>
      </c>
    </row>
    <row r="118" spans="3:114" x14ac:dyDescent="0.25">
      <c r="BS118" s="253"/>
      <c r="BT118" s="253"/>
      <c r="BU118" s="253"/>
      <c r="BV118" s="253"/>
      <c r="BW118" s="253"/>
      <c r="BZ118" s="253" t="s">
        <v>138</v>
      </c>
      <c r="CA118" s="285">
        <f>($G$109/$K$109)*CA$108</f>
        <v>0.91318839458413925</v>
      </c>
      <c r="CB118" s="285">
        <f t="shared" ref="CB118:DH118" si="141">($G$109/$K$109)*CB$108</f>
        <v>0.57362727272727276</v>
      </c>
      <c r="CC118" s="285">
        <f t="shared" si="141"/>
        <v>0.6384559090909091</v>
      </c>
      <c r="CD118" s="346">
        <f t="shared" si="141"/>
        <v>0.87688539589442815</v>
      </c>
      <c r="CE118" s="349">
        <f t="shared" si="141"/>
        <v>1.5653972727272729</v>
      </c>
      <c r="CF118" s="285">
        <f t="shared" si="141"/>
        <v>1.1638090909090908</v>
      </c>
      <c r="CG118" s="285">
        <f t="shared" si="141"/>
        <v>1.1801249999999999</v>
      </c>
      <c r="CH118" s="285">
        <f t="shared" si="141"/>
        <v>1.0460376136363636</v>
      </c>
      <c r="CI118" s="285">
        <f t="shared" si="141"/>
        <v>1.1431738636363638</v>
      </c>
      <c r="CJ118" s="346">
        <f t="shared" si="141"/>
        <v>1.1826000000000003</v>
      </c>
      <c r="CK118" s="349">
        <f t="shared" si="141"/>
        <v>1.2486027272727274</v>
      </c>
      <c r="CL118" s="285">
        <f t="shared" si="141"/>
        <v>1.2945477272727275</v>
      </c>
      <c r="CM118" s="285">
        <f t="shared" si="141"/>
        <v>1.2360968181818182</v>
      </c>
      <c r="CN118" s="285">
        <f t="shared" si="141"/>
        <v>1.2946213636363639</v>
      </c>
      <c r="CO118" s="285">
        <f t="shared" si="141"/>
        <v>1.1903863636363634</v>
      </c>
      <c r="CP118" s="285">
        <f t="shared" si="141"/>
        <v>1.1373691558441559</v>
      </c>
      <c r="CQ118" s="284"/>
      <c r="CR118" s="440"/>
      <c r="CS118" s="284">
        <f t="shared" si="141"/>
        <v>0.37525090909090913</v>
      </c>
      <c r="CT118" s="284">
        <f t="shared" si="141"/>
        <v>1.182109090909091E-2</v>
      </c>
      <c r="CU118" s="284">
        <f t="shared" si="141"/>
        <v>1.8818181818181821E-2</v>
      </c>
      <c r="CV118" s="729">
        <f t="shared" si="141"/>
        <v>7.8123167155425216E-4</v>
      </c>
      <c r="CW118" s="743">
        <f t="shared" si="141"/>
        <v>6.6150000000000014E-2</v>
      </c>
      <c r="CX118" s="284">
        <f t="shared" si="141"/>
        <v>8.2104545454545458E-2</v>
      </c>
      <c r="CY118" s="284">
        <f t="shared" si="141"/>
        <v>5.3502954545454555E-2</v>
      </c>
      <c r="CZ118" s="284">
        <f t="shared" si="141"/>
        <v>5.1463636363636364E-2</v>
      </c>
      <c r="DA118" s="284">
        <f t="shared" si="141"/>
        <v>3.3645000000000001E-2</v>
      </c>
      <c r="DB118" s="729">
        <f t="shared" si="141"/>
        <v>1.4897727272727274E-4</v>
      </c>
      <c r="DC118" s="743">
        <f t="shared" si="141"/>
        <v>7.3759090909090927E-2</v>
      </c>
      <c r="DD118" s="284">
        <f t="shared" si="141"/>
        <v>0.19186602272727274</v>
      </c>
      <c r="DE118" s="284">
        <f t="shared" si="141"/>
        <v>0.20498352272727274</v>
      </c>
      <c r="DF118" s="284">
        <f t="shared" si="141"/>
        <v>8.0959431818181812E-2</v>
      </c>
      <c r="DG118" s="284">
        <f t="shared" si="141"/>
        <v>3.9665454545454552E-2</v>
      </c>
      <c r="DH118" s="284">
        <f t="shared" si="141"/>
        <v>9.7105324675324706E-2</v>
      </c>
      <c r="DJ118" s="1" t="s">
        <v>138</v>
      </c>
    </row>
    <row r="119" spans="3:114" x14ac:dyDescent="0.25">
      <c r="BS119" s="253"/>
      <c r="BT119" s="253"/>
      <c r="BU119" s="253"/>
      <c r="BV119" s="253"/>
      <c r="BW119" s="253"/>
      <c r="BZ119" s="253" t="s">
        <v>139</v>
      </c>
      <c r="CA119" s="285">
        <f>($G$110/$K$110)*CA$109</f>
        <v>1.106645458547322</v>
      </c>
      <c r="CB119" s="285">
        <f t="shared" ref="CB119:DH119" si="142">($G$110/$K$110)*CB$109</f>
        <v>0.62424827586206899</v>
      </c>
      <c r="CC119" s="285">
        <f t="shared" si="142"/>
        <v>0.69037862068965516</v>
      </c>
      <c r="CD119" s="346">
        <f t="shared" si="142"/>
        <v>0.83699470522803099</v>
      </c>
      <c r="CE119" s="349">
        <f t="shared" si="142"/>
        <v>1.3490648275862072</v>
      </c>
      <c r="CF119" s="285">
        <f t="shared" si="142"/>
        <v>1.073441379310345</v>
      </c>
      <c r="CG119" s="285">
        <f t="shared" si="142"/>
        <v>1.0830020689655173</v>
      </c>
      <c r="CH119" s="285">
        <f t="shared" si="142"/>
        <v>1.0507496551724136</v>
      </c>
      <c r="CI119" s="285">
        <f t="shared" si="142"/>
        <v>1.1115310344827585</v>
      </c>
      <c r="CJ119" s="346">
        <f t="shared" si="142"/>
        <v>1.0795189655172412</v>
      </c>
      <c r="CK119" s="349">
        <f t="shared" si="142"/>
        <v>1.17936</v>
      </c>
      <c r="CL119" s="285">
        <f t="shared" si="142"/>
        <v>1.1624041379310344</v>
      </c>
      <c r="CM119" s="285">
        <f t="shared" si="142"/>
        <v>1.1405110344827585</v>
      </c>
      <c r="CN119" s="285">
        <f t="shared" si="142"/>
        <v>1.2047889655172412</v>
      </c>
      <c r="CO119" s="285">
        <f t="shared" si="142"/>
        <v>1.1571724137931034</v>
      </c>
      <c r="CP119" s="285">
        <f t="shared" si="142"/>
        <v>1.1056344827586206</v>
      </c>
      <c r="CQ119" s="284"/>
      <c r="CR119" s="440"/>
      <c r="CS119" s="284">
        <f t="shared" si="142"/>
        <v>0.56001931034482766</v>
      </c>
      <c r="CT119" s="284">
        <f t="shared" si="142"/>
        <v>2.8397793103448272E-2</v>
      </c>
      <c r="CU119" s="284">
        <f t="shared" si="142"/>
        <v>4.5206896551724142E-2</v>
      </c>
      <c r="CV119" s="729">
        <f t="shared" si="142"/>
        <v>1.0536151279199111E-3</v>
      </c>
      <c r="CW119" s="743">
        <f t="shared" si="142"/>
        <v>9.1241379310344831E-2</v>
      </c>
      <c r="CX119" s="284">
        <f t="shared" si="142"/>
        <v>0.12303448275862069</v>
      </c>
      <c r="CY119" s="284">
        <f t="shared" si="142"/>
        <v>8.718999999999999E-2</v>
      </c>
      <c r="CZ119" s="284">
        <f t="shared" si="142"/>
        <v>7.8082758620689641E-2</v>
      </c>
      <c r="DA119" s="284">
        <f t="shared" si="142"/>
        <v>5.1047586206896554E-2</v>
      </c>
      <c r="DB119" s="729">
        <f t="shared" si="142"/>
        <v>2.0965517241379309E-4</v>
      </c>
      <c r="DC119" s="743">
        <f t="shared" si="142"/>
        <v>0.12434482758620689</v>
      </c>
      <c r="DD119" s="284">
        <f t="shared" si="142"/>
        <v>0.29293793103448279</v>
      </c>
      <c r="DE119" s="284">
        <f t="shared" si="142"/>
        <v>0.30905344827586212</v>
      </c>
      <c r="DF119" s="284">
        <f t="shared" si="142"/>
        <v>0.12989448275862067</v>
      </c>
      <c r="DG119" s="284">
        <f t="shared" si="142"/>
        <v>6.2542150101419891E-2</v>
      </c>
      <c r="DH119" s="284">
        <f t="shared" si="142"/>
        <v>0.15310995073891628</v>
      </c>
      <c r="DJ119" s="1" t="s">
        <v>139</v>
      </c>
    </row>
    <row r="120" spans="3:114" x14ac:dyDescent="0.25">
      <c r="BS120" s="253"/>
      <c r="BT120" s="253"/>
      <c r="BU120" s="253"/>
      <c r="BV120" s="253"/>
      <c r="BW120" s="253"/>
      <c r="BZ120" s="253" t="s">
        <v>140</v>
      </c>
      <c r="CA120" s="285">
        <f>($G$111/$K$111)*CA$110</f>
        <v>1.2699432624113474</v>
      </c>
      <c r="CB120" s="285">
        <f t="shared" ref="CB120:DH120" si="143">($G$111/$K$111)*CB$110</f>
        <v>0.59533333333333327</v>
      </c>
      <c r="CC120" s="285">
        <f t="shared" si="143"/>
        <v>1.1237041666666667</v>
      </c>
      <c r="CD120" s="346">
        <f t="shared" si="143"/>
        <v>0.60537455197132617</v>
      </c>
      <c r="CE120" s="349">
        <f t="shared" si="143"/>
        <v>0.81424166666666675</v>
      </c>
      <c r="CF120" s="285">
        <f t="shared" si="143"/>
        <v>0.70460763888888889</v>
      </c>
      <c r="CG120" s="285">
        <f t="shared" si="143"/>
        <v>0.724465625</v>
      </c>
      <c r="CH120" s="285">
        <f t="shared" si="143"/>
        <v>0.75199131944444442</v>
      </c>
      <c r="CI120" s="285">
        <f t="shared" si="143"/>
        <v>0.76890625000000012</v>
      </c>
      <c r="CJ120" s="346">
        <f t="shared" si="143"/>
        <v>0.73342187499999989</v>
      </c>
      <c r="CK120" s="349">
        <f t="shared" si="143"/>
        <v>0.79056250000000006</v>
      </c>
      <c r="CL120" s="285">
        <f t="shared" si="143"/>
        <v>0.74716180555555556</v>
      </c>
      <c r="CM120" s="285">
        <f t="shared" si="143"/>
        <v>0.76938125000000002</v>
      </c>
      <c r="CN120" s="285">
        <f t="shared" si="143"/>
        <v>0.80087222222222221</v>
      </c>
      <c r="CO120" s="285">
        <f t="shared" si="143"/>
        <v>0.83111111111111113</v>
      </c>
      <c r="CP120" s="285">
        <f t="shared" si="143"/>
        <v>0.79409523809523819</v>
      </c>
      <c r="CQ120" s="284"/>
      <c r="CR120" s="440"/>
      <c r="CS120" s="284">
        <f t="shared" si="143"/>
        <v>0.51368333333333338</v>
      </c>
      <c r="CT120" s="284">
        <f t="shared" si="143"/>
        <v>0.10534999999999999</v>
      </c>
      <c r="CU120" s="284">
        <f t="shared" si="143"/>
        <v>0.16770833333333335</v>
      </c>
      <c r="CV120" s="729">
        <f t="shared" si="143"/>
        <v>3.0501792114695342E-3</v>
      </c>
      <c r="CW120" s="743">
        <f t="shared" si="143"/>
        <v>0.13781250000000003</v>
      </c>
      <c r="CX120" s="284">
        <f t="shared" si="143"/>
        <v>0.16105555555555554</v>
      </c>
      <c r="CY120" s="284">
        <f t="shared" si="143"/>
        <v>0.12412465277777776</v>
      </c>
      <c r="CZ120" s="284">
        <f t="shared" si="143"/>
        <v>0.11007499999999999</v>
      </c>
      <c r="DA120" s="284">
        <f t="shared" si="143"/>
        <v>6.5420833333333331E-2</v>
      </c>
      <c r="DB120" s="729">
        <f t="shared" si="143"/>
        <v>2.6388888888888892E-4</v>
      </c>
      <c r="DC120" s="743">
        <f t="shared" si="143"/>
        <v>0.16277083333333336</v>
      </c>
      <c r="DD120" s="284">
        <f t="shared" si="143"/>
        <v>0.34290520833333338</v>
      </c>
      <c r="DE120" s="284">
        <f t="shared" si="143"/>
        <v>0.35847048611111121</v>
      </c>
      <c r="DF120" s="284">
        <f t="shared" si="143"/>
        <v>0.16207395833333332</v>
      </c>
      <c r="DG120" s="284">
        <f t="shared" si="143"/>
        <v>7.248235294117647E-2</v>
      </c>
      <c r="DH120" s="284">
        <f t="shared" si="143"/>
        <v>0.17744464285714287</v>
      </c>
      <c r="DJ120" s="1" t="s">
        <v>140</v>
      </c>
    </row>
    <row r="121" spans="3:114" x14ac:dyDescent="0.25">
      <c r="AT121" s="348"/>
      <c r="BI121" s="252"/>
      <c r="BJ121" s="252"/>
      <c r="BK121" s="795"/>
      <c r="BL121" s="348"/>
      <c r="BS121" s="253"/>
      <c r="BT121" s="253"/>
      <c r="BU121" s="253"/>
      <c r="BV121" s="253"/>
      <c r="BW121" s="253"/>
      <c r="BZ121" s="253" t="s">
        <v>141</v>
      </c>
      <c r="CA121" s="285">
        <f>($G$112/$K$112)*CA$111</f>
        <v>1.5579745472538347</v>
      </c>
      <c r="CB121" s="285">
        <f t="shared" ref="CB121:DH121" si="144">($G$112/$K$112)*CB$111</f>
        <v>1.0864465116279072</v>
      </c>
      <c r="CC121" s="285">
        <f t="shared" si="144"/>
        <v>0.82277999999999996</v>
      </c>
      <c r="CD121" s="346">
        <f t="shared" si="144"/>
        <v>0.6176685371342836</v>
      </c>
      <c r="CE121" s="349">
        <f t="shared" si="144"/>
        <v>0.52342883720930233</v>
      </c>
      <c r="CF121" s="285">
        <f t="shared" si="144"/>
        <v>0.56545116279069785</v>
      </c>
      <c r="CG121" s="285">
        <f t="shared" si="144"/>
        <v>0.65098988372093014</v>
      </c>
      <c r="CH121" s="285">
        <f t="shared" si="144"/>
        <v>0.82945290697674412</v>
      </c>
      <c r="CI121" s="285">
        <f t="shared" si="144"/>
        <v>0.81778604651162801</v>
      </c>
      <c r="CJ121" s="346">
        <f t="shared" si="144"/>
        <v>0.82506976744186045</v>
      </c>
      <c r="CK121" s="349">
        <f t="shared" si="144"/>
        <v>0.82738046511627916</v>
      </c>
      <c r="CL121" s="285">
        <f t="shared" si="144"/>
        <v>0.6077138372093025</v>
      </c>
      <c r="CM121" s="285">
        <f t="shared" si="144"/>
        <v>0.72309139534883726</v>
      </c>
      <c r="CN121" s="285">
        <f t="shared" si="144"/>
        <v>0.67605209302325575</v>
      </c>
      <c r="CO121" s="285">
        <f t="shared" si="144"/>
        <v>1.0283023255813952</v>
      </c>
      <c r="CP121" s="285">
        <f t="shared" si="144"/>
        <v>0.98250398671096351</v>
      </c>
      <c r="CQ121" s="284"/>
      <c r="CR121" s="440"/>
      <c r="CS121" s="284">
        <f t="shared" si="144"/>
        <v>0.45740930232558141</v>
      </c>
      <c r="CT121" s="284">
        <f t="shared" si="144"/>
        <v>5.2919999999999995E-2</v>
      </c>
      <c r="CU121" s="284">
        <f t="shared" si="144"/>
        <v>8.424418604651164E-2</v>
      </c>
      <c r="CV121" s="729">
        <f t="shared" si="144"/>
        <v>3.0643660915228806E-3</v>
      </c>
      <c r="CW121" s="743">
        <f t="shared" si="144"/>
        <v>0.48920232558139548</v>
      </c>
      <c r="CX121" s="284">
        <f t="shared" si="144"/>
        <v>0.46052093023255808</v>
      </c>
      <c r="CY121" s="284">
        <f t="shared" si="144"/>
        <v>0.46230976744186042</v>
      </c>
      <c r="CZ121" s="284">
        <f t="shared" si="144"/>
        <v>0.37652232558139531</v>
      </c>
      <c r="DA121" s="284">
        <f t="shared" si="144"/>
        <v>0.20499976744186046</v>
      </c>
      <c r="DB121" s="729">
        <f t="shared" si="144"/>
        <v>6.8930232558139532E-4</v>
      </c>
      <c r="DC121" s="743">
        <f t="shared" si="144"/>
        <v>0.36059999999999998</v>
      </c>
      <c r="DD121" s="284">
        <f t="shared" si="144"/>
        <v>0.81494651162790721</v>
      </c>
      <c r="DE121" s="284">
        <f t="shared" si="144"/>
        <v>0.79546918604651173</v>
      </c>
      <c r="DF121" s="284">
        <f t="shared" si="144"/>
        <v>0.49134</v>
      </c>
      <c r="DG121" s="284">
        <f t="shared" si="144"/>
        <v>0.17190172366621068</v>
      </c>
      <c r="DH121" s="284">
        <f t="shared" si="144"/>
        <v>0.4208340199335549</v>
      </c>
      <c r="DJ121" s="1" t="s">
        <v>141</v>
      </c>
    </row>
    <row r="122" spans="3:114" x14ac:dyDescent="0.25">
      <c r="AP122" s="285"/>
      <c r="AQ122" s="285"/>
      <c r="AR122" s="285"/>
      <c r="AS122" s="346"/>
      <c r="AT122" s="349"/>
      <c r="AU122" s="285"/>
      <c r="AV122" s="285"/>
      <c r="AW122" s="285"/>
      <c r="AX122" s="285"/>
      <c r="AY122" s="346"/>
      <c r="AZ122" s="349"/>
      <c r="BA122" s="285"/>
      <c r="BB122" s="285"/>
      <c r="BC122" s="285"/>
      <c r="BD122" s="285"/>
      <c r="BE122" s="285"/>
      <c r="BF122" s="285"/>
      <c r="BH122" s="263"/>
      <c r="BI122" s="263"/>
      <c r="BJ122" s="263"/>
      <c r="BK122" s="242"/>
      <c r="BL122" s="328"/>
      <c r="BM122" s="263"/>
      <c r="BN122" s="263"/>
      <c r="BO122" s="263"/>
      <c r="BP122" s="263"/>
      <c r="BQ122" s="242"/>
      <c r="BR122" s="328"/>
      <c r="BS122" s="263"/>
      <c r="BT122" s="263"/>
      <c r="BU122" s="263"/>
      <c r="BV122" s="263"/>
      <c r="BW122" s="263"/>
      <c r="BZ122" s="253" t="s">
        <v>410</v>
      </c>
      <c r="CA122" s="710">
        <f>($G$112/$K$112)*CA$112</f>
        <v>2.2156662246412662</v>
      </c>
      <c r="CB122" s="710">
        <f t="shared" ref="CB122:DH122" si="145">($G$112/$K$112)*CB$112</f>
        <v>4.9041209302325584</v>
      </c>
      <c r="CC122" s="710">
        <f t="shared" si="145"/>
        <v>1.3722111627906977</v>
      </c>
      <c r="CD122" s="769">
        <f t="shared" si="145"/>
        <v>0.29224726181545385</v>
      </c>
      <c r="CE122" s="773">
        <f t="shared" si="145"/>
        <v>0.12606139534883723</v>
      </c>
      <c r="CF122" s="710">
        <f t="shared" si="145"/>
        <v>0.11030581395348839</v>
      </c>
      <c r="CG122" s="710">
        <f t="shared" si="145"/>
        <v>0.10868127906976743</v>
      </c>
      <c r="CH122" s="710">
        <f t="shared" si="145"/>
        <v>0.20498581395348836</v>
      </c>
      <c r="CI122" s="710">
        <f t="shared" si="145"/>
        <v>0.19515348837209301</v>
      </c>
      <c r="CJ122" s="769">
        <f t="shared" si="145"/>
        <v>0.19480813953488374</v>
      </c>
      <c r="CK122" s="773">
        <f t="shared" si="145"/>
        <v>0.16570465116279073</v>
      </c>
      <c r="CL122" s="710">
        <f t="shared" si="145"/>
        <v>8.1338372093023276E-2</v>
      </c>
      <c r="CM122" s="710">
        <f t="shared" si="145"/>
        <v>7.0269069767441864E-2</v>
      </c>
      <c r="CN122" s="710">
        <f t="shared" si="145"/>
        <v>6.0701860465116282E-2</v>
      </c>
      <c r="CO122" s="710">
        <f t="shared" si="145"/>
        <v>0.19332558139534883</v>
      </c>
      <c r="CP122" s="710">
        <f t="shared" si="145"/>
        <v>0.18471528239202656</v>
      </c>
      <c r="CQ122" s="286"/>
      <c r="CR122" s="441"/>
      <c r="CS122" s="286">
        <f t="shared" si="145"/>
        <v>0.10542976744186046</v>
      </c>
      <c r="CT122" s="286">
        <f t="shared" si="145"/>
        <v>8.3160000000000012E-2</v>
      </c>
      <c r="CU122" s="286">
        <f t="shared" si="145"/>
        <v>0.13238372093023257</v>
      </c>
      <c r="CV122" s="730">
        <f t="shared" si="145"/>
        <v>4.5299324831207808E-3</v>
      </c>
      <c r="CW122" s="744">
        <f t="shared" si="145"/>
        <v>0.1292232558139535</v>
      </c>
      <c r="CX122" s="286">
        <f t="shared" si="145"/>
        <v>0.1120186046511628</v>
      </c>
      <c r="CY122" s="286">
        <f t="shared" si="145"/>
        <v>0.11253593023255815</v>
      </c>
      <c r="CZ122" s="286">
        <f t="shared" si="145"/>
        <v>7.3724651162790714E-2</v>
      </c>
      <c r="DA122" s="286">
        <f t="shared" si="145"/>
        <v>3.9122093023255818E-2</v>
      </c>
      <c r="DB122" s="730">
        <f t="shared" si="145"/>
        <v>1.1930232558139534E-4</v>
      </c>
      <c r="DC122" s="744">
        <f t="shared" si="145"/>
        <v>5.0316279069767447E-2</v>
      </c>
      <c r="DD122" s="286">
        <f t="shared" si="145"/>
        <v>0.14817209302325585</v>
      </c>
      <c r="DE122" s="286">
        <f t="shared" si="145"/>
        <v>0.11872674418604652</v>
      </c>
      <c r="DF122" s="286">
        <f t="shared" si="145"/>
        <v>0.11426511627906978</v>
      </c>
      <c r="DG122" s="286">
        <f t="shared" si="145"/>
        <v>3.1037811217510265E-2</v>
      </c>
      <c r="DH122" s="286">
        <f t="shared" si="145"/>
        <v>7.5983920265780741E-2</v>
      </c>
      <c r="DJ122" s="1" t="s">
        <v>349</v>
      </c>
    </row>
    <row r="123" spans="3:114" x14ac:dyDescent="0.25">
      <c r="AP123" s="285"/>
      <c r="AQ123" s="285"/>
      <c r="AR123" s="285"/>
      <c r="AS123" s="346"/>
      <c r="AT123" s="349"/>
      <c r="AU123" s="285"/>
      <c r="AV123" s="285"/>
      <c r="AW123" s="285"/>
      <c r="AX123" s="285"/>
      <c r="AY123" s="346"/>
      <c r="AZ123" s="349"/>
      <c r="BA123" s="285"/>
      <c r="BB123" s="285"/>
      <c r="BC123" s="285"/>
      <c r="BD123" s="285"/>
      <c r="BE123" s="285"/>
      <c r="BF123" s="285"/>
      <c r="BH123" s="263"/>
      <c r="BI123" s="263"/>
      <c r="BJ123" s="263"/>
      <c r="BK123" s="242"/>
      <c r="BL123" s="328"/>
      <c r="BM123" s="263"/>
      <c r="BN123" s="263"/>
      <c r="BO123" s="263"/>
      <c r="BP123" s="263"/>
      <c r="BQ123" s="242"/>
      <c r="BR123" s="328"/>
      <c r="BS123" s="263"/>
      <c r="BT123" s="263"/>
      <c r="BU123" s="263"/>
      <c r="BV123" s="263"/>
      <c r="BW123" s="263"/>
      <c r="BZ123" s="253"/>
      <c r="CA123" s="286"/>
      <c r="CB123" s="286"/>
      <c r="CC123" s="286"/>
      <c r="CD123" s="730"/>
      <c r="CE123" s="744"/>
      <c r="CF123" s="286"/>
      <c r="CG123" s="286"/>
      <c r="CH123" s="286"/>
      <c r="CI123" s="286"/>
      <c r="CJ123" s="730"/>
      <c r="CK123" s="744"/>
      <c r="CL123" s="286"/>
      <c r="CM123" s="286"/>
      <c r="CN123" s="286"/>
      <c r="CO123" s="286"/>
      <c r="CP123" s="286"/>
      <c r="CQ123" s="286"/>
      <c r="CR123" s="441"/>
      <c r="CS123" s="286"/>
      <c r="CT123" s="286"/>
      <c r="CU123" s="286"/>
      <c r="CV123" s="730"/>
      <c r="CW123" s="744"/>
      <c r="CX123" s="286"/>
      <c r="CY123" s="286"/>
      <c r="CZ123" s="286"/>
      <c r="DA123" s="286"/>
      <c r="DB123" s="730"/>
      <c r="DC123" s="744"/>
      <c r="DD123" s="286"/>
      <c r="DE123" s="286"/>
      <c r="DF123" s="286"/>
      <c r="DG123" s="286"/>
      <c r="DH123" s="286"/>
    </row>
    <row r="124" spans="3:114" x14ac:dyDescent="0.25">
      <c r="BS124" s="253"/>
      <c r="BT124" s="253"/>
      <c r="BU124" s="253"/>
      <c r="BV124" s="253"/>
      <c r="BW124" s="253"/>
      <c r="BZ124" s="253" t="s">
        <v>371</v>
      </c>
      <c r="CA124" s="263">
        <f>CA$107-CA$117</f>
        <v>0.25026825531914887</v>
      </c>
      <c r="CB124" s="263">
        <f t="shared" ref="CB124:DH124" si="146">CB$107-CB$117</f>
        <v>0.16491999999999996</v>
      </c>
      <c r="CC124" s="263">
        <f t="shared" si="146"/>
        <v>0.19198199999999999</v>
      </c>
      <c r="CD124" s="242">
        <f t="shared" si="146"/>
        <v>0.26793720430107526</v>
      </c>
      <c r="CE124" s="328">
        <f t="shared" si="146"/>
        <v>0.50311133333333347</v>
      </c>
      <c r="CF124" s="263">
        <f t="shared" si="146"/>
        <v>0.36558583333333328</v>
      </c>
      <c r="CG124" s="263">
        <f t="shared" si="146"/>
        <v>0.3765909999999999</v>
      </c>
      <c r="CH124" s="263">
        <f t="shared" si="146"/>
        <v>0.32056916666666657</v>
      </c>
      <c r="CI124" s="263">
        <f t="shared" si="146"/>
        <v>0.35464499999999988</v>
      </c>
      <c r="CJ124" s="242">
        <f t="shared" si="146"/>
        <v>0.38078624999999988</v>
      </c>
      <c r="CK124" s="328">
        <f t="shared" si="146"/>
        <v>0.40676999999999985</v>
      </c>
      <c r="CL124" s="263">
        <f t="shared" si="146"/>
        <v>0.42803349999999996</v>
      </c>
      <c r="CM124" s="263">
        <f t="shared" si="146"/>
        <v>0.40666649999999982</v>
      </c>
      <c r="CN124" s="263">
        <f t="shared" si="146"/>
        <v>0.41768566666666662</v>
      </c>
      <c r="CO124" s="263">
        <f t="shared" si="146"/>
        <v>0.38589999999999991</v>
      </c>
      <c r="CP124" s="263">
        <f t="shared" si="146"/>
        <v>0.36871285714285706</v>
      </c>
      <c r="CQ124" s="282"/>
      <c r="CR124" s="439"/>
      <c r="CS124" s="282">
        <f t="shared" si="146"/>
        <v>5.6644E-2</v>
      </c>
      <c r="CT124" s="282">
        <f t="shared" si="146"/>
        <v>7.5851999999999968E-3</v>
      </c>
      <c r="CU124" s="282">
        <f t="shared" si="146"/>
        <v>1.2074999999999995E-2</v>
      </c>
      <c r="CV124" s="727">
        <f t="shared" si="146"/>
        <v>3.1827956989247314E-4</v>
      </c>
      <c r="CW124" s="741">
        <f t="shared" si="146"/>
        <v>1.1025E-2</v>
      </c>
      <c r="CX124" s="282">
        <f t="shared" si="146"/>
        <v>1.4123333333333328E-2</v>
      </c>
      <c r="CY124" s="282">
        <f t="shared" si="146"/>
        <v>8.7189999999999976E-3</v>
      </c>
      <c r="CZ124" s="282">
        <f t="shared" si="146"/>
        <v>8.8060000000000013E-3</v>
      </c>
      <c r="DA124" s="282">
        <f t="shared" si="146"/>
        <v>5.9813333333333316E-3</v>
      </c>
      <c r="DB124" s="727">
        <f t="shared" si="146"/>
        <v>2.6916666666666666E-5</v>
      </c>
      <c r="DC124" s="741">
        <f t="shared" si="146"/>
        <v>1.0016666666666667E-2</v>
      </c>
      <c r="DD124" s="282">
        <f t="shared" si="146"/>
        <v>2.9202249999999999E-2</v>
      </c>
      <c r="DE124" s="282">
        <f t="shared" si="146"/>
        <v>3.3089583333333311E-2</v>
      </c>
      <c r="DF124" s="282">
        <f t="shared" si="146"/>
        <v>1.0236249999999995E-2</v>
      </c>
      <c r="DG124" s="282">
        <f t="shared" si="146"/>
        <v>5.4183529411764679E-3</v>
      </c>
      <c r="DH124" s="282">
        <f t="shared" si="146"/>
        <v>1.3264714285714282E-2</v>
      </c>
      <c r="DJ124" s="1" t="s">
        <v>137</v>
      </c>
    </row>
    <row r="125" spans="3:114" x14ac:dyDescent="0.25">
      <c r="BS125" s="253"/>
      <c r="BT125" s="253"/>
      <c r="BU125" s="253"/>
      <c r="BV125" s="253"/>
      <c r="BW125" s="253"/>
      <c r="BZ125" s="253" t="s">
        <v>372</v>
      </c>
      <c r="CA125" s="263">
        <f>CA$108-CA$118</f>
        <v>0.2029307543520309</v>
      </c>
      <c r="CB125" s="263">
        <f t="shared" ref="CB125:DH125" si="147">CB$108-CB$118</f>
        <v>0.12747272727272718</v>
      </c>
      <c r="CC125" s="263">
        <f t="shared" si="147"/>
        <v>0.1418790909090909</v>
      </c>
      <c r="CD125" s="242">
        <f t="shared" si="147"/>
        <v>0.19486342130987289</v>
      </c>
      <c r="CE125" s="328">
        <f t="shared" si="147"/>
        <v>0.3478660606060604</v>
      </c>
      <c r="CF125" s="263">
        <f t="shared" si="147"/>
        <v>0.25862424242424242</v>
      </c>
      <c r="CG125" s="263">
        <f t="shared" si="147"/>
        <v>0.26224999999999987</v>
      </c>
      <c r="CH125" s="263">
        <f t="shared" si="147"/>
        <v>0.23245280303030302</v>
      </c>
      <c r="CI125" s="263">
        <f t="shared" si="147"/>
        <v>0.25403863636363622</v>
      </c>
      <c r="CJ125" s="242">
        <f t="shared" si="147"/>
        <v>0.26279999999999992</v>
      </c>
      <c r="CK125" s="328">
        <f t="shared" si="147"/>
        <v>0.27746727272727267</v>
      </c>
      <c r="CL125" s="263">
        <f t="shared" si="147"/>
        <v>0.28767727272727273</v>
      </c>
      <c r="CM125" s="263">
        <f t="shared" si="147"/>
        <v>0.27468818181818166</v>
      </c>
      <c r="CN125" s="263">
        <f t="shared" si="147"/>
        <v>0.28769363636363621</v>
      </c>
      <c r="CO125" s="263">
        <f t="shared" si="147"/>
        <v>0.264530303030303</v>
      </c>
      <c r="CP125" s="263">
        <f t="shared" si="147"/>
        <v>0.25274870129870131</v>
      </c>
      <c r="CQ125" s="282"/>
      <c r="CR125" s="439"/>
      <c r="CS125" s="282">
        <f t="shared" si="147"/>
        <v>8.3389090909090857E-2</v>
      </c>
      <c r="CT125" s="282">
        <f t="shared" si="147"/>
        <v>2.6269090909090895E-3</v>
      </c>
      <c r="CU125" s="282">
        <f t="shared" si="147"/>
        <v>4.1818181818181824E-3</v>
      </c>
      <c r="CV125" s="727">
        <f t="shared" si="147"/>
        <v>1.7360703812316705E-4</v>
      </c>
      <c r="CW125" s="741">
        <f t="shared" si="147"/>
        <v>1.4699999999999991E-2</v>
      </c>
      <c r="CX125" s="282">
        <f t="shared" si="147"/>
        <v>1.8245454545454537E-2</v>
      </c>
      <c r="CY125" s="282">
        <f t="shared" si="147"/>
        <v>1.1889545454545451E-2</v>
      </c>
      <c r="CZ125" s="282">
        <f t="shared" si="147"/>
        <v>1.1436363636363633E-2</v>
      </c>
      <c r="DA125" s="282">
        <f t="shared" si="147"/>
        <v>7.4766666666666662E-3</v>
      </c>
      <c r="DB125" s="727">
        <f t="shared" si="147"/>
        <v>3.3106060606060594E-5</v>
      </c>
      <c r="DC125" s="741">
        <f t="shared" si="147"/>
        <v>1.6390909090909081E-2</v>
      </c>
      <c r="DD125" s="282">
        <f t="shared" si="147"/>
        <v>4.2636893939393933E-2</v>
      </c>
      <c r="DE125" s="282">
        <f t="shared" si="147"/>
        <v>4.5551893939393934E-2</v>
      </c>
      <c r="DF125" s="282">
        <f t="shared" si="147"/>
        <v>1.7990984848484839E-2</v>
      </c>
      <c r="DG125" s="282">
        <f t="shared" si="147"/>
        <v>8.8145454545454568E-3</v>
      </c>
      <c r="DH125" s="282">
        <f t="shared" si="147"/>
        <v>2.1578961038961036E-2</v>
      </c>
      <c r="DJ125" s="1" t="s">
        <v>138</v>
      </c>
    </row>
    <row r="126" spans="3:114" x14ac:dyDescent="0.25">
      <c r="AP126" s="279"/>
      <c r="BS126" s="253"/>
      <c r="BT126" s="253"/>
      <c r="BU126" s="253"/>
      <c r="BV126" s="253"/>
      <c r="BW126" s="253"/>
      <c r="BZ126" s="253" t="s">
        <v>373</v>
      </c>
      <c r="CA126" s="263">
        <f>CA$109-CA$119</f>
        <v>0.23055113719735876</v>
      </c>
      <c r="CB126" s="263">
        <f t="shared" ref="CB126:DH126" si="148">CB$109-CB$119</f>
        <v>0.13005172413793109</v>
      </c>
      <c r="CC126" s="263">
        <f t="shared" si="148"/>
        <v>0.14382887931034483</v>
      </c>
      <c r="CD126" s="242">
        <f t="shared" si="148"/>
        <v>0.17437389692250649</v>
      </c>
      <c r="CE126" s="328">
        <f t="shared" si="148"/>
        <v>0.28105517241379308</v>
      </c>
      <c r="CF126" s="263">
        <f t="shared" si="148"/>
        <v>0.2236336206896552</v>
      </c>
      <c r="CG126" s="263">
        <f t="shared" si="148"/>
        <v>0.22562543103448274</v>
      </c>
      <c r="CH126" s="263">
        <f t="shared" si="148"/>
        <v>0.21890617816091962</v>
      </c>
      <c r="CI126" s="263">
        <f t="shared" si="148"/>
        <v>0.23156896551724149</v>
      </c>
      <c r="CJ126" s="242">
        <f t="shared" si="148"/>
        <v>0.22489978448275849</v>
      </c>
      <c r="CK126" s="328">
        <f t="shared" si="148"/>
        <v>0.24570000000000003</v>
      </c>
      <c r="CL126" s="263">
        <f t="shared" si="148"/>
        <v>0.24216752873563219</v>
      </c>
      <c r="CM126" s="263">
        <f t="shared" si="148"/>
        <v>0.23760646551724141</v>
      </c>
      <c r="CN126" s="263">
        <f t="shared" si="148"/>
        <v>0.25099770114942532</v>
      </c>
      <c r="CO126" s="263">
        <f t="shared" si="148"/>
        <v>0.24107758620689657</v>
      </c>
      <c r="CP126" s="263">
        <f t="shared" si="148"/>
        <v>0.23034051724137927</v>
      </c>
      <c r="CQ126" s="282"/>
      <c r="CR126" s="439"/>
      <c r="CS126" s="282">
        <f t="shared" si="148"/>
        <v>0.11667068965517247</v>
      </c>
      <c r="CT126" s="282">
        <f t="shared" si="148"/>
        <v>5.9162068965517255E-3</v>
      </c>
      <c r="CU126" s="282">
        <f t="shared" si="148"/>
        <v>9.4181034482758649E-3</v>
      </c>
      <c r="CV126" s="727">
        <f t="shared" si="148"/>
        <v>2.1950315164998143E-4</v>
      </c>
      <c r="CW126" s="741">
        <f t="shared" si="148"/>
        <v>1.900862068965517E-2</v>
      </c>
      <c r="CX126" s="282">
        <f t="shared" si="148"/>
        <v>2.5632183908045975E-2</v>
      </c>
      <c r="CY126" s="282">
        <f t="shared" si="148"/>
        <v>1.8164583333333331E-2</v>
      </c>
      <c r="CZ126" s="282">
        <f t="shared" si="148"/>
        <v>1.6267241379310349E-2</v>
      </c>
      <c r="DA126" s="282">
        <f t="shared" si="148"/>
        <v>1.0634913793103447E-2</v>
      </c>
      <c r="DB126" s="727">
        <f t="shared" si="148"/>
        <v>4.3678160919540237E-5</v>
      </c>
      <c r="DC126" s="741">
        <f t="shared" si="148"/>
        <v>2.5905172413793101E-2</v>
      </c>
      <c r="DD126" s="282">
        <f t="shared" si="148"/>
        <v>6.1028735632183917E-2</v>
      </c>
      <c r="DE126" s="282">
        <f t="shared" si="148"/>
        <v>6.4386135057471261E-2</v>
      </c>
      <c r="DF126" s="282">
        <f t="shared" si="148"/>
        <v>2.706135057471265E-2</v>
      </c>
      <c r="DG126" s="282">
        <f t="shared" si="148"/>
        <v>1.3029614604462475E-2</v>
      </c>
      <c r="DH126" s="282">
        <f t="shared" si="148"/>
        <v>3.1897906403940884E-2</v>
      </c>
      <c r="DJ126" s="1" t="s">
        <v>139</v>
      </c>
    </row>
    <row r="127" spans="3:114" x14ac:dyDescent="0.25">
      <c r="AP127" s="279"/>
      <c r="AQ127" s="279"/>
      <c r="BS127" s="253"/>
      <c r="BT127" s="253"/>
      <c r="BU127" s="253"/>
      <c r="BV127" s="253"/>
      <c r="BW127" s="253"/>
      <c r="BZ127" s="253" t="s">
        <v>374</v>
      </c>
      <c r="CA127" s="263">
        <f>CA$110-CA$120</f>
        <v>0.25398865248226943</v>
      </c>
      <c r="CB127" s="263">
        <f t="shared" ref="CB127:DH127" si="149">CB$110-CB$120</f>
        <v>0.11906666666666665</v>
      </c>
      <c r="CC127" s="263">
        <f t="shared" si="149"/>
        <v>0.22474083333333317</v>
      </c>
      <c r="CD127" s="242">
        <f t="shared" si="149"/>
        <v>0.12107491039426521</v>
      </c>
      <c r="CE127" s="328">
        <f t="shared" si="149"/>
        <v>0.16284833333333326</v>
      </c>
      <c r="CF127" s="263">
        <f t="shared" si="149"/>
        <v>0.14092152777777778</v>
      </c>
      <c r="CG127" s="263">
        <f t="shared" si="149"/>
        <v>0.14489312499999996</v>
      </c>
      <c r="CH127" s="263">
        <f t="shared" si="149"/>
        <v>0.15039826388888888</v>
      </c>
      <c r="CI127" s="263">
        <f t="shared" si="149"/>
        <v>0.15378124999999998</v>
      </c>
      <c r="CJ127" s="242">
        <f t="shared" si="149"/>
        <v>0.14668437499999998</v>
      </c>
      <c r="CK127" s="328">
        <f t="shared" si="149"/>
        <v>0.15811249999999999</v>
      </c>
      <c r="CL127" s="263">
        <f t="shared" si="149"/>
        <v>0.14943236111111113</v>
      </c>
      <c r="CM127" s="263">
        <f t="shared" si="149"/>
        <v>0.15387624999999994</v>
      </c>
      <c r="CN127" s="263">
        <f t="shared" si="149"/>
        <v>0.1601744444444444</v>
      </c>
      <c r="CO127" s="263">
        <f t="shared" si="149"/>
        <v>0.16622222222222216</v>
      </c>
      <c r="CP127" s="263">
        <f t="shared" si="149"/>
        <v>0.15881904761904764</v>
      </c>
      <c r="CQ127" s="282"/>
      <c r="CR127" s="439"/>
      <c r="CS127" s="282">
        <f t="shared" si="149"/>
        <v>0.1027366666666667</v>
      </c>
      <c r="CT127" s="282">
        <f t="shared" si="149"/>
        <v>2.1069999999999992E-2</v>
      </c>
      <c r="CU127" s="282">
        <f t="shared" si="149"/>
        <v>3.3541666666666664E-2</v>
      </c>
      <c r="CV127" s="727">
        <f t="shared" si="149"/>
        <v>6.1003584229390659E-4</v>
      </c>
      <c r="CW127" s="741">
        <f t="shared" si="149"/>
        <v>2.756249999999999E-2</v>
      </c>
      <c r="CX127" s="282">
        <f t="shared" si="149"/>
        <v>3.2211111111111107E-2</v>
      </c>
      <c r="CY127" s="282">
        <f t="shared" si="149"/>
        <v>2.4824930555555541E-2</v>
      </c>
      <c r="CZ127" s="282">
        <f t="shared" si="149"/>
        <v>2.2014999999999993E-2</v>
      </c>
      <c r="DA127" s="282">
        <f t="shared" si="149"/>
        <v>1.3084166666666661E-2</v>
      </c>
      <c r="DB127" s="727">
        <f t="shared" si="149"/>
        <v>5.2777777777777784E-5</v>
      </c>
      <c r="DC127" s="741">
        <f t="shared" si="149"/>
        <v>3.2554166666666662E-2</v>
      </c>
      <c r="DD127" s="282">
        <f t="shared" si="149"/>
        <v>6.8581041666666676E-2</v>
      </c>
      <c r="DE127" s="282">
        <f t="shared" si="149"/>
        <v>7.1694097222222197E-2</v>
      </c>
      <c r="DF127" s="282">
        <f t="shared" si="149"/>
        <v>3.2414791666666665E-2</v>
      </c>
      <c r="DG127" s="282">
        <f t="shared" si="149"/>
        <v>1.4496470588235291E-2</v>
      </c>
      <c r="DH127" s="282">
        <f t="shared" si="149"/>
        <v>3.5488928571428574E-2</v>
      </c>
      <c r="DJ127" s="1" t="s">
        <v>140</v>
      </c>
    </row>
    <row r="128" spans="3:114" x14ac:dyDescent="0.25">
      <c r="BS128" s="253"/>
      <c r="BT128" s="253"/>
      <c r="BU128" s="253"/>
      <c r="BV128" s="253"/>
      <c r="BW128" s="253"/>
      <c r="BZ128" s="253" t="s">
        <v>375</v>
      </c>
      <c r="CA128" s="263">
        <f>CA$111-CA$121</f>
        <v>0.30293949529935671</v>
      </c>
      <c r="CB128" s="263">
        <f t="shared" ref="CB128:DH128" si="150">CB$111-CB$121</f>
        <v>0.2112534883720929</v>
      </c>
      <c r="CC128" s="263">
        <f t="shared" si="150"/>
        <v>0.15998499999999993</v>
      </c>
      <c r="CD128" s="242">
        <f t="shared" si="150"/>
        <v>0.12010221555388845</v>
      </c>
      <c r="CE128" s="328">
        <f t="shared" si="150"/>
        <v>0.10177782945736435</v>
      </c>
      <c r="CF128" s="263">
        <f t="shared" si="150"/>
        <v>0.10994883720930226</v>
      </c>
      <c r="CG128" s="263">
        <f t="shared" si="150"/>
        <v>0.12658136627906968</v>
      </c>
      <c r="CH128" s="263">
        <f t="shared" si="150"/>
        <v>0.16128250968992242</v>
      </c>
      <c r="CI128" s="263">
        <f t="shared" si="150"/>
        <v>0.15901395348837211</v>
      </c>
      <c r="CJ128" s="242">
        <f t="shared" si="150"/>
        <v>0.16043023255813949</v>
      </c>
      <c r="CK128" s="328">
        <f t="shared" si="150"/>
        <v>0.16087953488372086</v>
      </c>
      <c r="CL128" s="263">
        <f t="shared" si="150"/>
        <v>0.11816657945736431</v>
      </c>
      <c r="CM128" s="263">
        <f t="shared" si="150"/>
        <v>0.14060110465116271</v>
      </c>
      <c r="CN128" s="263">
        <f t="shared" si="150"/>
        <v>0.13145457364341084</v>
      </c>
      <c r="CO128" s="263">
        <f t="shared" si="150"/>
        <v>0.19994767441860462</v>
      </c>
      <c r="CP128" s="263">
        <f t="shared" si="150"/>
        <v>0.19104244186046504</v>
      </c>
      <c r="CQ128" s="282"/>
      <c r="CR128" s="439"/>
      <c r="CS128" s="282">
        <f t="shared" si="150"/>
        <v>8.894069767441859E-2</v>
      </c>
      <c r="CT128" s="282">
        <f t="shared" si="150"/>
        <v>1.0289999999999994E-2</v>
      </c>
      <c r="CU128" s="282">
        <f t="shared" si="150"/>
        <v>1.6380813953488366E-2</v>
      </c>
      <c r="CV128" s="727">
        <f t="shared" si="150"/>
        <v>5.9584896224056019E-4</v>
      </c>
      <c r="CW128" s="741">
        <f t="shared" si="150"/>
        <v>9.5122674418604614E-2</v>
      </c>
      <c r="CX128" s="282">
        <f t="shared" si="150"/>
        <v>8.9545736434108514E-2</v>
      </c>
      <c r="CY128" s="282">
        <f t="shared" si="150"/>
        <v>8.9893565891472849E-2</v>
      </c>
      <c r="CZ128" s="282">
        <f t="shared" si="150"/>
        <v>7.3212674418604629E-2</v>
      </c>
      <c r="DA128" s="282">
        <f t="shared" si="150"/>
        <v>3.9861065891472869E-2</v>
      </c>
      <c r="DB128" s="727">
        <f t="shared" si="150"/>
        <v>1.3403100775193793E-4</v>
      </c>
      <c r="DC128" s="741">
        <f t="shared" si="150"/>
        <v>7.011666666666666E-2</v>
      </c>
      <c r="DD128" s="282">
        <f t="shared" si="150"/>
        <v>0.15846182170542633</v>
      </c>
      <c r="DE128" s="282">
        <f t="shared" si="150"/>
        <v>0.15467456395348833</v>
      </c>
      <c r="DF128" s="282">
        <f t="shared" si="150"/>
        <v>9.5538333333333281E-2</v>
      </c>
      <c r="DG128" s="282">
        <f t="shared" si="150"/>
        <v>3.3425335157318742E-2</v>
      </c>
      <c r="DH128" s="282">
        <f t="shared" si="150"/>
        <v>8.1828837209302285E-2</v>
      </c>
      <c r="DJ128" s="1" t="s">
        <v>141</v>
      </c>
    </row>
    <row r="129" spans="3:114" x14ac:dyDescent="0.25">
      <c r="BS129" s="253"/>
      <c r="BT129" s="253"/>
      <c r="BU129" s="253"/>
      <c r="BV129" s="253"/>
      <c r="BW129" s="253"/>
      <c r="BZ129" s="253" t="s">
        <v>409</v>
      </c>
      <c r="CA129" s="263">
        <f>CA$112-CA$122</f>
        <v>0.43082398812469069</v>
      </c>
      <c r="CB129" s="263">
        <f t="shared" ref="CB129:DH129" si="151">CB$112-CB$122</f>
        <v>0.95357906976744111</v>
      </c>
      <c r="CC129" s="263">
        <f t="shared" si="151"/>
        <v>0.26681883720930233</v>
      </c>
      <c r="CD129" s="242">
        <f t="shared" si="151"/>
        <v>5.6825856464116031E-2</v>
      </c>
      <c r="CE129" s="328">
        <f t="shared" si="151"/>
        <v>2.4511937984496107E-2</v>
      </c>
      <c r="CF129" s="263">
        <f t="shared" si="151"/>
        <v>2.1448352713178284E-2</v>
      </c>
      <c r="CG129" s="263">
        <f t="shared" si="151"/>
        <v>2.1132470930232544E-2</v>
      </c>
      <c r="CH129" s="263">
        <f t="shared" si="151"/>
        <v>3.985835271317828E-2</v>
      </c>
      <c r="CI129" s="263">
        <f t="shared" si="151"/>
        <v>3.7946511627906965E-2</v>
      </c>
      <c r="CJ129" s="242">
        <f t="shared" si="151"/>
        <v>3.787936046511628E-2</v>
      </c>
      <c r="CK129" s="328">
        <f t="shared" si="151"/>
        <v>3.2220348837209284E-2</v>
      </c>
      <c r="CL129" s="263">
        <f t="shared" si="151"/>
        <v>1.5815794573643405E-2</v>
      </c>
      <c r="CM129" s="263">
        <f t="shared" si="151"/>
        <v>1.3663430232558144E-2</v>
      </c>
      <c r="CN129" s="263">
        <f t="shared" si="151"/>
        <v>1.1803139534883718E-2</v>
      </c>
      <c r="CO129" s="263">
        <f t="shared" si="151"/>
        <v>3.7591085271317826E-2</v>
      </c>
      <c r="CP129" s="263">
        <f t="shared" si="151"/>
        <v>3.5916860465116274E-2</v>
      </c>
      <c r="CQ129" s="282"/>
      <c r="CR129" s="439"/>
      <c r="CS129" s="282">
        <f t="shared" si="151"/>
        <v>2.0500232558139528E-2</v>
      </c>
      <c r="CT129" s="282">
        <f t="shared" si="151"/>
        <v>1.616999999999999E-2</v>
      </c>
      <c r="CU129" s="282">
        <f t="shared" si="151"/>
        <v>2.5741279069767448E-2</v>
      </c>
      <c r="CV129" s="727">
        <f t="shared" si="151"/>
        <v>8.8082020505126247E-4</v>
      </c>
      <c r="CW129" s="741">
        <f t="shared" si="151"/>
        <v>2.512674418604649E-2</v>
      </c>
      <c r="CX129" s="282">
        <f t="shared" si="151"/>
        <v>2.1781395348837204E-2</v>
      </c>
      <c r="CY129" s="282">
        <f t="shared" si="151"/>
        <v>2.1881986434108519E-2</v>
      </c>
      <c r="CZ129" s="282">
        <f t="shared" si="151"/>
        <v>1.43353488372093E-2</v>
      </c>
      <c r="DA129" s="282">
        <f t="shared" si="151"/>
        <v>7.6070736434108513E-3</v>
      </c>
      <c r="DB129" s="727">
        <f t="shared" si="151"/>
        <v>2.319767441860465E-5</v>
      </c>
      <c r="DC129" s="741">
        <f t="shared" si="151"/>
        <v>9.7837209302325534E-3</v>
      </c>
      <c r="DD129" s="282">
        <f t="shared" si="151"/>
        <v>2.8811240310077507E-2</v>
      </c>
      <c r="DE129" s="282">
        <f t="shared" si="151"/>
        <v>2.3085755813953487E-2</v>
      </c>
      <c r="DF129" s="282">
        <f t="shared" si="151"/>
        <v>2.2218217054263564E-2</v>
      </c>
      <c r="DG129" s="282">
        <f t="shared" si="151"/>
        <v>6.035129958960328E-3</v>
      </c>
      <c r="DH129" s="282">
        <f t="shared" si="151"/>
        <v>1.4774651162790697E-2</v>
      </c>
      <c r="DJ129" s="1" t="s">
        <v>349</v>
      </c>
    </row>
    <row r="130" spans="3:114" ht="15.75" thickBot="1" x14ac:dyDescent="0.3">
      <c r="C130"/>
      <c r="D130"/>
      <c r="E130"/>
      <c r="F130" s="353"/>
      <c r="G130" s="228"/>
      <c r="H130" s="228"/>
      <c r="I130" s="1361"/>
      <c r="J130" s="353"/>
      <c r="K130" s="228"/>
      <c r="L130" s="228"/>
      <c r="M130" s="228"/>
      <c r="N130" s="1443"/>
      <c r="O130" s="1361"/>
      <c r="P130" s="353"/>
      <c r="Q130" s="228"/>
      <c r="R130" s="228"/>
      <c r="S130" s="1443"/>
      <c r="T130" s="1443"/>
      <c r="U130" s="1443"/>
      <c r="V130" s="228"/>
      <c r="W130" s="476"/>
      <c r="X130" s="353"/>
      <c r="Y130" s="228"/>
      <c r="Z130" s="228"/>
      <c r="AA130" s="229"/>
      <c r="AB130" s="353"/>
      <c r="AC130" s="228"/>
      <c r="AD130" s="228"/>
      <c r="AE130" s="228"/>
      <c r="AF130" s="228"/>
      <c r="AG130" s="229"/>
      <c r="AH130" s="353"/>
      <c r="AI130" s="228"/>
      <c r="AJ130" s="228"/>
      <c r="AK130" s="228"/>
      <c r="AL130" s="228"/>
      <c r="AM130" s="228"/>
      <c r="AN130" s="228"/>
      <c r="AO130" s="463"/>
      <c r="AP130" s="228"/>
      <c r="AQ130" s="228"/>
      <c r="AR130" s="228"/>
      <c r="AS130" s="229"/>
      <c r="AT130" s="353"/>
      <c r="AU130" s="228"/>
      <c r="AV130" s="228"/>
      <c r="AW130" s="228"/>
      <c r="AX130" s="228"/>
      <c r="AY130" s="229"/>
      <c r="AZ130" s="353"/>
      <c r="BA130" s="228"/>
      <c r="BB130" s="228"/>
      <c r="BC130" s="228"/>
      <c r="BD130" s="228"/>
      <c r="BE130" s="228"/>
      <c r="BF130" s="228"/>
      <c r="BG130" s="463"/>
      <c r="BH130" s="228"/>
      <c r="BI130" s="228"/>
      <c r="BJ130" s="228"/>
      <c r="BK130" s="229"/>
      <c r="BL130" s="353"/>
      <c r="BM130" s="228"/>
      <c r="BN130" s="228"/>
      <c r="BO130" s="228"/>
      <c r="BP130" s="228"/>
      <c r="BQ130" s="229"/>
      <c r="BR130" s="805"/>
      <c r="BS130" s="478"/>
      <c r="BT130" s="478"/>
      <c r="BU130" s="478"/>
      <c r="BV130" s="478"/>
      <c r="BW130" s="478"/>
      <c r="BX130" s="228"/>
      <c r="BY130" s="463"/>
      <c r="BZ130" s="464"/>
      <c r="CA130" s="583"/>
      <c r="CB130" s="583"/>
      <c r="CC130" s="583"/>
      <c r="CD130" s="728"/>
      <c r="CE130" s="742"/>
      <c r="CF130" s="583"/>
      <c r="CG130" s="583"/>
      <c r="CH130" s="583"/>
      <c r="CI130" s="583"/>
      <c r="CJ130" s="728"/>
      <c r="CK130" s="742"/>
      <c r="CL130" s="583"/>
      <c r="CM130" s="583"/>
      <c r="CN130" s="583"/>
      <c r="CO130" s="583"/>
      <c r="CP130" s="583"/>
      <c r="CQ130" s="583"/>
      <c r="CR130" s="463"/>
      <c r="CS130" s="583"/>
      <c r="CT130" s="583"/>
      <c r="CU130" s="583"/>
      <c r="CV130" s="728"/>
      <c r="CW130" s="742"/>
      <c r="CX130" s="583"/>
      <c r="CY130" s="583"/>
      <c r="CZ130" s="583"/>
      <c r="DA130" s="583"/>
      <c r="DB130" s="728"/>
      <c r="DC130" s="742"/>
      <c r="DD130" s="583"/>
      <c r="DE130" s="583"/>
      <c r="DF130" s="228"/>
      <c r="DG130" s="578"/>
      <c r="DH130" s="228"/>
      <c r="DI130" s="228"/>
    </row>
    <row r="131" spans="3:114" s="528" customFormat="1" ht="15.75" thickTop="1" x14ac:dyDescent="0.25">
      <c r="F131" s="481"/>
      <c r="G131" s="466"/>
      <c r="H131" s="466"/>
      <c r="I131" s="1371"/>
      <c r="J131" s="481"/>
      <c r="K131" s="466"/>
      <c r="L131" s="466"/>
      <c r="M131" s="466"/>
      <c r="N131" s="1420"/>
      <c r="O131" s="1371"/>
      <c r="P131" s="481"/>
      <c r="Q131" s="466"/>
      <c r="R131" s="466"/>
      <c r="S131" s="1420"/>
      <c r="T131" s="1420"/>
      <c r="U131" s="1420"/>
      <c r="V131" s="466"/>
      <c r="W131" s="480"/>
      <c r="X131" s="481"/>
      <c r="Y131" s="466"/>
      <c r="Z131" s="466"/>
      <c r="AA131" s="519"/>
      <c r="AB131" s="481"/>
      <c r="AC131" s="466"/>
      <c r="AD131" s="466"/>
      <c r="AE131" s="466"/>
      <c r="AF131" s="466"/>
      <c r="AG131" s="519"/>
      <c r="AH131" s="481"/>
      <c r="AI131" s="466"/>
      <c r="AJ131" s="466"/>
      <c r="AK131" s="466"/>
      <c r="AL131" s="466"/>
      <c r="AM131" s="466"/>
      <c r="AN131" s="466"/>
      <c r="AO131" s="482"/>
      <c r="AP131" s="466"/>
      <c r="AQ131" s="466"/>
      <c r="AR131" s="466"/>
      <c r="AS131" s="519"/>
      <c r="AT131" s="481"/>
      <c r="AU131" s="466"/>
      <c r="AV131" s="466"/>
      <c r="AW131" s="466"/>
      <c r="AX131" s="466"/>
      <c r="AY131" s="519"/>
      <c r="AZ131" s="481"/>
      <c r="BA131" s="466"/>
      <c r="BB131" s="466"/>
      <c r="BC131" s="466"/>
      <c r="BD131" s="466"/>
      <c r="BE131" s="466"/>
      <c r="BF131" s="466"/>
      <c r="BG131" s="482"/>
      <c r="BH131" s="466"/>
      <c r="BI131" s="466"/>
      <c r="BJ131" s="466"/>
      <c r="BK131" s="519"/>
      <c r="BL131" s="481"/>
      <c r="BM131" s="466"/>
      <c r="BN131" s="466"/>
      <c r="BO131" s="466"/>
      <c r="BP131" s="466"/>
      <c r="BQ131" s="519"/>
      <c r="BR131" s="806"/>
      <c r="BS131" s="467"/>
      <c r="BT131" s="467"/>
      <c r="BU131" s="467"/>
      <c r="BV131" s="467"/>
      <c r="BW131" s="467"/>
      <c r="BX131" s="466"/>
      <c r="BY131" s="482"/>
      <c r="BZ131" s="485"/>
      <c r="CA131" s="592"/>
      <c r="CB131" s="592"/>
      <c r="CC131" s="592"/>
      <c r="CD131" s="731"/>
      <c r="CE131" s="745"/>
      <c r="CF131" s="592"/>
      <c r="CG131" s="592"/>
      <c r="CH131" s="592"/>
      <c r="CI131" s="592"/>
      <c r="CJ131" s="731"/>
      <c r="CK131" s="745"/>
      <c r="CL131" s="592"/>
      <c r="CM131" s="592"/>
      <c r="CN131" s="592"/>
      <c r="CO131" s="592"/>
      <c r="CP131" s="592"/>
      <c r="CQ131" s="592"/>
      <c r="CR131" s="482"/>
      <c r="CS131" s="592"/>
      <c r="CT131" s="592"/>
      <c r="CU131" s="592"/>
      <c r="CV131" s="731"/>
      <c r="CW131" s="745"/>
      <c r="CX131" s="592"/>
      <c r="CY131" s="592"/>
      <c r="CZ131" s="592"/>
      <c r="DA131" s="592"/>
      <c r="DB131" s="731"/>
      <c r="DC131" s="745"/>
      <c r="DD131" s="592"/>
      <c r="DE131" s="592"/>
      <c r="DF131" s="466"/>
      <c r="DG131" s="465"/>
      <c r="DH131" s="466"/>
      <c r="DI131" s="466"/>
    </row>
    <row r="132" spans="3:114" x14ac:dyDescent="0.25">
      <c r="C132" s="637" t="s">
        <v>390</v>
      </c>
      <c r="D132" s="637"/>
      <c r="E132" s="637"/>
      <c r="F132" s="676">
        <f>F$59</f>
        <v>339.57446808510639</v>
      </c>
      <c r="G132" s="674">
        <f t="shared" ref="G132:T132" si="152">G$59</f>
        <v>328.5</v>
      </c>
      <c r="H132" s="762">
        <f t="shared" si="152"/>
        <v>322.91046099290782</v>
      </c>
      <c r="I132" s="1372">
        <f>I$59</f>
        <v>323.13978494623655</v>
      </c>
      <c r="J132" s="676">
        <f t="shared" si="152"/>
        <v>160.95360000000002</v>
      </c>
      <c r="K132" s="762">
        <f t="shared" si="152"/>
        <v>180.2608695652174</v>
      </c>
      <c r="L132" s="762">
        <f t="shared" si="152"/>
        <v>196.39130434782609</v>
      </c>
      <c r="M132" s="674">
        <f t="shared" si="152"/>
        <v>182.2608695652174</v>
      </c>
      <c r="N132" s="1451">
        <f t="shared" si="152"/>
        <v>181.04347826086956</v>
      </c>
      <c r="O132" s="1387">
        <f t="shared" si="152"/>
        <v>183.47826086956522</v>
      </c>
      <c r="P132" s="676">
        <f t="shared" si="152"/>
        <v>185</v>
      </c>
      <c r="Q132" s="762">
        <f t="shared" si="152"/>
        <v>185.91304347826087</v>
      </c>
      <c r="R132" s="674">
        <f t="shared" si="152"/>
        <v>195.17391304347825</v>
      </c>
      <c r="S132" s="1465">
        <f t="shared" si="152"/>
        <v>186.52173913043478</v>
      </c>
      <c r="T132" s="1451">
        <f t="shared" si="152"/>
        <v>180.875</v>
      </c>
      <c r="U132" s="1465">
        <f>U$59</f>
        <v>184.76923076923077</v>
      </c>
      <c r="V132" s="674">
        <f>V$59</f>
        <v>0</v>
      </c>
      <c r="W132" s="455"/>
      <c r="X132" s="676">
        <f t="shared" ref="X132:BW132" si="153">X$59</f>
        <v>0.76595744680851063</v>
      </c>
      <c r="Y132" s="674">
        <f t="shared" si="153"/>
        <v>0.96499999999999997</v>
      </c>
      <c r="Z132" s="674">
        <f t="shared" si="153"/>
        <v>1.3815</v>
      </c>
      <c r="AA132" s="675">
        <f t="shared" si="153"/>
        <v>0</v>
      </c>
      <c r="AB132" s="676">
        <f t="shared" si="153"/>
        <v>1.25</v>
      </c>
      <c r="AC132" s="674">
        <f t="shared" si="153"/>
        <v>1.2790000000000001</v>
      </c>
      <c r="AD132" s="674">
        <f t="shared" si="153"/>
        <v>1.0962499999999999</v>
      </c>
      <c r="AE132" s="674">
        <f t="shared" si="153"/>
        <v>0.59833333333333327</v>
      </c>
      <c r="AF132" s="674">
        <f t="shared" si="153"/>
        <v>0</v>
      </c>
      <c r="AG132" s="675">
        <f t="shared" si="153"/>
        <v>0</v>
      </c>
      <c r="AH132" s="676">
        <f t="shared" si="153"/>
        <v>0</v>
      </c>
      <c r="AI132" s="674">
        <f t="shared" si="153"/>
        <v>1.1283333333333332</v>
      </c>
      <c r="AJ132" s="674">
        <f t="shared" si="153"/>
        <v>0.97916666666666663</v>
      </c>
      <c r="AK132" s="674">
        <f t="shared" si="153"/>
        <v>0.6974999999999999</v>
      </c>
      <c r="AL132" s="674">
        <f t="shared" si="153"/>
        <v>0</v>
      </c>
      <c r="AM132" s="674">
        <f t="shared" si="153"/>
        <v>0</v>
      </c>
      <c r="AN132" s="674"/>
      <c r="AO132" s="437"/>
      <c r="AP132" s="762">
        <f t="shared" si="153"/>
        <v>307.27659574468083</v>
      </c>
      <c r="AQ132" s="762">
        <f t="shared" si="153"/>
        <v>290</v>
      </c>
      <c r="AR132" s="762">
        <f t="shared" si="153"/>
        <v>284.5</v>
      </c>
      <c r="AS132" s="766">
        <f t="shared" si="153"/>
        <v>284</v>
      </c>
      <c r="AT132" s="676">
        <f t="shared" si="153"/>
        <v>134.5</v>
      </c>
      <c r="AU132" s="674">
        <f t="shared" si="153"/>
        <v>149.66666666666666</v>
      </c>
      <c r="AV132" s="674">
        <f t="shared" si="153"/>
        <v>166</v>
      </c>
      <c r="AW132" s="674">
        <f t="shared" si="153"/>
        <v>154.5</v>
      </c>
      <c r="AX132" s="674">
        <f t="shared" si="153"/>
        <v>156.58333333333334</v>
      </c>
      <c r="AY132" s="675">
        <f t="shared" si="153"/>
        <v>154.75</v>
      </c>
      <c r="AZ132" s="676">
        <f t="shared" si="153"/>
        <v>153.08333333333334</v>
      </c>
      <c r="BA132" s="674">
        <f t="shared" si="153"/>
        <v>152.25</v>
      </c>
      <c r="BB132" s="674">
        <f t="shared" si="153"/>
        <v>162.25</v>
      </c>
      <c r="BC132" s="674">
        <f t="shared" si="153"/>
        <v>153.16666666666666</v>
      </c>
      <c r="BD132" s="674">
        <f t="shared" si="153"/>
        <v>155.41176470588235</v>
      </c>
      <c r="BE132" s="674">
        <f t="shared" si="153"/>
        <v>131.85714285714286</v>
      </c>
      <c r="BF132" s="674"/>
      <c r="BG132" s="437"/>
      <c r="BH132" s="674">
        <f t="shared" si="153"/>
        <v>4.5319148936170217</v>
      </c>
      <c r="BI132" s="674">
        <f t="shared" si="153"/>
        <v>7.166666666666667</v>
      </c>
      <c r="BJ132" s="674">
        <f t="shared" si="153"/>
        <v>18.333333333333332</v>
      </c>
      <c r="BK132" s="675">
        <f t="shared" si="153"/>
        <v>10.583333333333334</v>
      </c>
      <c r="BL132" s="676">
        <f t="shared" si="153"/>
        <v>25.25</v>
      </c>
      <c r="BM132" s="674">
        <f t="shared" si="153"/>
        <v>6.666666666666667</v>
      </c>
      <c r="BN132" s="674">
        <f t="shared" si="153"/>
        <v>9.5833333333333339</v>
      </c>
      <c r="BO132" s="674">
        <f t="shared" si="153"/>
        <v>8</v>
      </c>
      <c r="BP132" s="674">
        <f t="shared" si="153"/>
        <v>6.833333333333333</v>
      </c>
      <c r="BQ132" s="675">
        <f t="shared" si="153"/>
        <v>7.5</v>
      </c>
      <c r="BR132" s="676">
        <f t="shared" si="153"/>
        <v>8.75</v>
      </c>
      <c r="BS132" s="674">
        <f t="shared" si="153"/>
        <v>8.8333333333333339</v>
      </c>
      <c r="BT132" s="674">
        <f t="shared" si="153"/>
        <v>10.333333333333334</v>
      </c>
      <c r="BU132" s="674">
        <f t="shared" si="153"/>
        <v>9.3333333333333339</v>
      </c>
      <c r="BV132" s="674">
        <f t="shared" si="153"/>
        <v>8.8235294117647065</v>
      </c>
      <c r="BW132" s="674">
        <f t="shared" si="153"/>
        <v>12.166666666666666</v>
      </c>
      <c r="BX132" s="674"/>
      <c r="BY132" s="437"/>
      <c r="BZ132" s="674"/>
      <c r="CA132" s="674">
        <f>SUM(CA$107:CA$112)</f>
        <v>9.73599319148936</v>
      </c>
      <c r="CB132" s="674">
        <f t="shared" ref="CB132:CP132" si="154">SUM(CB$107:CB$112)</f>
        <v>10.149799999999999</v>
      </c>
      <c r="CC132" s="674">
        <f>SUM(CC$107:CC$112)</f>
        <v>6.5446925</v>
      </c>
      <c r="CD132" s="675">
        <f t="shared" si="154"/>
        <v>5.2360967741935482</v>
      </c>
      <c r="CE132" s="676">
        <f t="shared" si="154"/>
        <v>7.8118100000000004</v>
      </c>
      <c r="CF132" s="674">
        <f t="shared" si="154"/>
        <v>6.2001208333333331</v>
      </c>
      <c r="CG132" s="674">
        <f t="shared" si="154"/>
        <v>6.4107012499999989</v>
      </c>
      <c r="CH132" s="674">
        <f t="shared" si="154"/>
        <v>6.2889612499999989</v>
      </c>
      <c r="CI132" s="674">
        <f t="shared" si="154"/>
        <v>6.6461250000000005</v>
      </c>
      <c r="CJ132" s="675">
        <f t="shared" si="154"/>
        <v>6.7520437500000003</v>
      </c>
      <c r="CK132" s="676">
        <f t="shared" si="154"/>
        <v>7.1198399999999999</v>
      </c>
      <c r="CL132" s="674">
        <f t="shared" si="154"/>
        <v>6.8465929166666673</v>
      </c>
      <c r="CM132" s="674">
        <f t="shared" si="154"/>
        <v>6.7931175000000001</v>
      </c>
      <c r="CN132" s="674">
        <f t="shared" si="154"/>
        <v>6.9675883333333326</v>
      </c>
      <c r="CO132" s="674">
        <f t="shared" si="154"/>
        <v>7.2391666666666667</v>
      </c>
      <c r="CP132" s="674">
        <f t="shared" si="154"/>
        <v>6.9167500000000004</v>
      </c>
      <c r="CQ132" s="674"/>
      <c r="CR132" s="437"/>
      <c r="CS132" s="674">
        <f>SUM(CS$107:CS$112)</f>
        <v>2.7072500000000002</v>
      </c>
      <c r="CT132" s="674">
        <f t="shared" ref="CT132:DH132" si="155">SUM(CT$107:CT$112)</f>
        <v>0.37564799999999998</v>
      </c>
      <c r="CU132" s="674">
        <f t="shared" si="155"/>
        <v>0.59800000000000009</v>
      </c>
      <c r="CV132" s="675">
        <f t="shared" si="155"/>
        <v>1.6550537634408603E-2</v>
      </c>
      <c r="CW132" s="676">
        <f t="shared" si="155"/>
        <v>1.1502750000000002</v>
      </c>
      <c r="CX132" s="674">
        <f t="shared" si="155"/>
        <v>1.1967666666666665</v>
      </c>
      <c r="CY132" s="674">
        <f t="shared" si="155"/>
        <v>1.0499129166666665</v>
      </c>
      <c r="CZ132" s="674">
        <f t="shared" si="155"/>
        <v>0.87116499999999997</v>
      </c>
      <c r="DA132" s="674">
        <f t="shared" si="155"/>
        <v>0.5028058333333334</v>
      </c>
      <c r="DB132" s="675">
        <f t="shared" si="155"/>
        <v>1.8525E-3</v>
      </c>
      <c r="DC132" s="676">
        <f t="shared" si="155"/>
        <v>0.97662500000000008</v>
      </c>
      <c r="DD132" s="674">
        <f t="shared" si="155"/>
        <v>2.2963587500000004</v>
      </c>
      <c r="DE132" s="674">
        <f t="shared" si="155"/>
        <v>2.3115437499999998</v>
      </c>
      <c r="DF132" s="674">
        <f t="shared" si="155"/>
        <v>1.2249379166666665</v>
      </c>
      <c r="DG132" s="674">
        <f t="shared" si="155"/>
        <v>0.48052235294117651</v>
      </c>
      <c r="DH132" s="674">
        <f t="shared" si="155"/>
        <v>1.1763707142857143</v>
      </c>
      <c r="DI132" s="711"/>
    </row>
    <row r="133" spans="3:114" hidden="1" x14ac:dyDescent="0.25">
      <c r="C133" s="637" t="s">
        <v>294</v>
      </c>
      <c r="D133" s="637"/>
      <c r="E133" s="637"/>
      <c r="F133" s="658">
        <f t="shared" ref="F133:U133" si="156">(F$193+F$196+AP$59+BH$59+SUM(CA$107:CA$112)+SUM(CS$107:CS$112))/F$59</f>
        <v>0.99853026282447177</v>
      </c>
      <c r="G133" s="712">
        <f t="shared" si="156"/>
        <v>0.98147478282144696</v>
      </c>
      <c r="H133" s="712">
        <f t="shared" si="156"/>
        <v>1.0043665175246765</v>
      </c>
      <c r="I133" s="1345">
        <f t="shared" si="156"/>
        <v>0.97203548532426243</v>
      </c>
      <c r="J133" s="713">
        <f t="shared" si="156"/>
        <v>1.1047490146216716</v>
      </c>
      <c r="K133" s="712">
        <f t="shared" si="156"/>
        <v>0.96161732242207532</v>
      </c>
      <c r="L133" s="712">
        <f t="shared" si="156"/>
        <v>0.98244268816923763</v>
      </c>
      <c r="M133" s="712">
        <f t="shared" si="156"/>
        <v>0.9818000917512556</v>
      </c>
      <c r="N133" s="1426">
        <f t="shared" si="156"/>
        <v>0.99207313603643477</v>
      </c>
      <c r="O133" s="1345">
        <f t="shared" si="156"/>
        <v>0.97090380996485715</v>
      </c>
      <c r="P133" s="713">
        <f t="shared" si="156"/>
        <v>0.96533455361373899</v>
      </c>
      <c r="Q133" s="712">
        <f t="shared" si="156"/>
        <v>0.96363418031084347</v>
      </c>
      <c r="R133" s="712">
        <f t="shared" si="156"/>
        <v>0.97777601292563376</v>
      </c>
      <c r="S133" s="1426">
        <f t="shared" si="156"/>
        <v>0.96267784918675081</v>
      </c>
      <c r="T133" s="1426">
        <f t="shared" si="156"/>
        <v>0.99729514525878904</v>
      </c>
      <c r="U133" s="1426">
        <f t="shared" si="156"/>
        <v>0.8724992601702487</v>
      </c>
      <c r="V133" s="711"/>
      <c r="X133" s="658"/>
      <c r="Y133" s="711"/>
      <c r="Z133" s="711"/>
      <c r="AA133" s="714"/>
      <c r="AB133" s="658"/>
      <c r="AC133" s="711"/>
      <c r="AD133" s="711"/>
      <c r="AE133" s="711"/>
      <c r="AF133" s="711"/>
      <c r="AG133" s="714"/>
      <c r="AH133" s="658"/>
      <c r="AI133" s="711"/>
      <c r="AJ133" s="711"/>
      <c r="AK133" s="711"/>
      <c r="AL133" s="711"/>
      <c r="AM133" s="711"/>
      <c r="AN133" s="711"/>
      <c r="AP133" s="711"/>
      <c r="AQ133" s="711"/>
      <c r="AR133" s="711"/>
      <c r="AS133" s="714"/>
      <c r="AT133" s="658"/>
      <c r="AU133" s="711"/>
      <c r="AV133" s="711"/>
      <c r="AW133" s="711"/>
      <c r="AX133" s="711"/>
      <c r="AY133" s="714"/>
      <c r="AZ133" s="658"/>
      <c r="BA133" s="711"/>
      <c r="BB133" s="711"/>
      <c r="BC133" s="711"/>
      <c r="BD133" s="711"/>
      <c r="BE133" s="711"/>
      <c r="BF133" s="711"/>
      <c r="BH133" s="711"/>
      <c r="BI133" s="711"/>
      <c r="BJ133" s="711"/>
      <c r="BK133" s="714"/>
      <c r="BL133" s="658"/>
      <c r="BM133" s="711"/>
      <c r="BN133" s="711"/>
      <c r="BO133" s="711"/>
      <c r="BP133" s="711"/>
      <c r="BQ133" s="714"/>
      <c r="BR133" s="808"/>
      <c r="BS133" s="715"/>
      <c r="BT133" s="715"/>
      <c r="BU133" s="715"/>
      <c r="BV133" s="715"/>
      <c r="BW133" s="715"/>
      <c r="BX133" s="711"/>
      <c r="BZ133" s="716"/>
      <c r="CA133" s="717"/>
      <c r="CB133" s="717"/>
      <c r="CC133" s="717"/>
      <c r="CD133" s="732"/>
      <c r="CE133" s="746"/>
      <c r="CF133" s="717"/>
      <c r="CG133" s="717"/>
      <c r="CH133" s="717"/>
      <c r="CI133" s="717"/>
      <c r="CJ133" s="732"/>
      <c r="CK133" s="746"/>
      <c r="CL133" s="717"/>
      <c r="CM133" s="717"/>
      <c r="CN133" s="717"/>
      <c r="CO133" s="717"/>
      <c r="CP133" s="717"/>
      <c r="CQ133" s="717"/>
      <c r="CS133" s="717"/>
      <c r="CT133" s="717"/>
      <c r="CU133" s="717"/>
      <c r="CV133" s="732"/>
      <c r="CW133" s="746"/>
      <c r="CX133" s="717"/>
      <c r="CY133" s="717"/>
      <c r="CZ133" s="717"/>
      <c r="DA133" s="717"/>
      <c r="DB133" s="732"/>
      <c r="DC133" s="746"/>
      <c r="DD133" s="717"/>
      <c r="DE133" s="717"/>
      <c r="DF133" s="711"/>
      <c r="DG133" s="718"/>
      <c r="DH133" s="711"/>
      <c r="DI133" s="711"/>
    </row>
    <row r="134" spans="3:114" x14ac:dyDescent="0.25">
      <c r="C134" s="637"/>
      <c r="D134" s="637"/>
      <c r="E134" s="637"/>
      <c r="F134" s="658"/>
      <c r="G134" s="711"/>
      <c r="H134" s="711"/>
      <c r="J134" s="658"/>
      <c r="K134" s="711"/>
      <c r="L134" s="711"/>
      <c r="M134" s="711"/>
      <c r="P134" s="658"/>
      <c r="Q134" s="711"/>
      <c r="R134" s="711"/>
      <c r="V134" s="711"/>
      <c r="X134" s="658"/>
      <c r="Y134" s="711"/>
      <c r="Z134" s="711"/>
      <c r="AA134" s="714"/>
      <c r="AB134" s="658"/>
      <c r="AC134" s="711"/>
      <c r="AD134" s="711"/>
      <c r="AE134" s="711"/>
      <c r="AF134" s="711"/>
      <c r="AG134" s="714"/>
      <c r="AH134" s="658"/>
      <c r="AI134" s="711"/>
      <c r="AJ134" s="711"/>
      <c r="AK134" s="711"/>
      <c r="AL134" s="711"/>
      <c r="AM134" s="711"/>
      <c r="AN134" s="711"/>
      <c r="AP134" s="711"/>
      <c r="AQ134" s="711"/>
      <c r="AR134" s="711"/>
      <c r="AS134" s="714"/>
      <c r="AT134" s="658"/>
      <c r="AU134" s="711"/>
      <c r="AV134" s="711"/>
      <c r="AW134" s="711"/>
      <c r="AX134" s="711"/>
      <c r="AY134" s="714"/>
      <c r="AZ134" s="658"/>
      <c r="BA134" s="711"/>
      <c r="BB134" s="711"/>
      <c r="BC134" s="711"/>
      <c r="BD134" s="711"/>
      <c r="BE134" s="711"/>
      <c r="BF134" s="711"/>
      <c r="BH134" s="711"/>
      <c r="BI134" s="711"/>
      <c r="BJ134" s="711"/>
      <c r="BK134" s="714"/>
      <c r="BL134" s="658"/>
      <c r="BM134" s="711"/>
      <c r="BN134" s="711"/>
      <c r="BO134" s="711"/>
      <c r="BP134" s="711"/>
      <c r="BQ134" s="714"/>
      <c r="BR134" s="808"/>
      <c r="BS134" s="715"/>
      <c r="BT134" s="715"/>
      <c r="BU134" s="715"/>
      <c r="BV134" s="715"/>
      <c r="BW134" s="715"/>
      <c r="BX134" s="711"/>
      <c r="BZ134" s="716"/>
      <c r="CA134" s="717"/>
      <c r="CB134" s="717"/>
      <c r="CC134" s="717"/>
      <c r="CD134" s="732"/>
      <c r="CE134" s="746"/>
      <c r="CF134" s="717"/>
      <c r="CG134" s="717"/>
      <c r="CH134" s="717"/>
      <c r="CI134" s="717"/>
      <c r="CJ134" s="732"/>
      <c r="CK134" s="746"/>
      <c r="CL134" s="717"/>
      <c r="CM134" s="717"/>
      <c r="CN134" s="717"/>
      <c r="CO134" s="717"/>
      <c r="CP134" s="717"/>
      <c r="CQ134" s="717"/>
      <c r="CS134" s="717"/>
      <c r="CT134" s="717"/>
      <c r="CU134" s="717"/>
      <c r="CV134" s="732"/>
      <c r="CW134" s="746"/>
      <c r="CX134" s="717"/>
      <c r="CY134" s="717"/>
      <c r="CZ134" s="717"/>
      <c r="DA134" s="717"/>
      <c r="DB134" s="732"/>
      <c r="DC134" s="746"/>
      <c r="DD134" s="717"/>
      <c r="DE134" s="717"/>
      <c r="DF134" s="711"/>
      <c r="DG134" s="718"/>
      <c r="DH134" s="711"/>
      <c r="DI134" s="711"/>
    </row>
    <row r="135" spans="3:114" x14ac:dyDescent="0.25">
      <c r="C135" s="637" t="s">
        <v>438</v>
      </c>
      <c r="D135" s="637"/>
      <c r="E135" s="637"/>
      <c r="F135" s="823">
        <f>(X$132+AP$132+BH$132+CA$132+CS$132+F$193*(32/34)+F$196*(14/17))/F$132</f>
        <v>0.99790847205513766</v>
      </c>
      <c r="G135" s="823">
        <f t="shared" ref="G135:K135" si="157">(Y$132+AQ$132+BI$132+CB$132+CT$132+G$193*(32/34)+G$196*(14/17))/G$132</f>
        <v>0.98146145809233898</v>
      </c>
      <c r="H135" s="823">
        <f t="shared" si="157"/>
        <v>1.0056841568017649</v>
      </c>
      <c r="I135" s="823">
        <f t="shared" si="157"/>
        <v>0.96912085683897919</v>
      </c>
      <c r="J135" s="823">
        <f t="shared" si="157"/>
        <v>1.1085230084993438</v>
      </c>
      <c r="K135" s="641">
        <f t="shared" si="157"/>
        <v>0.96514174966787403</v>
      </c>
      <c r="L135" s="641">
        <f t="shared" ref="L135" si="158">(AD$132+AV$132+BN$132+CG$132+CY$132+L$193*(32/34)+L$196*(14/17))/L$132</f>
        <v>0.98467813319247666</v>
      </c>
      <c r="M135" s="641">
        <f t="shared" ref="M135" si="159">(AE$132+AW$132+BO$132+CH$132+CZ$132+M$193*(32/34)+M$196*(14/17))/M$132</f>
        <v>0.98169043381803023</v>
      </c>
      <c r="N135" s="641">
        <f t="shared" ref="N135" si="160">(AF$132+AX$132+BP$132+CI$132+DA$132+N$193*(32/34)+N$196*(14/17))/N$132</f>
        <v>0.98879755749539733</v>
      </c>
      <c r="O135" s="641">
        <f t="shared" ref="O135:Q135" si="161">(AG$132+AY$132+BQ$132+CJ$132+DB$132+O$193*(32/34)+O$196*(14/17))/O$132</f>
        <v>0.96760283032049776</v>
      </c>
      <c r="P135" s="823">
        <f t="shared" si="161"/>
        <v>0.9621391187252254</v>
      </c>
      <c r="Q135" s="641">
        <f t="shared" si="161"/>
        <v>0.96648641112449352</v>
      </c>
      <c r="R135" s="641">
        <f t="shared" ref="R135" si="162">(AJ$132+BB$132+BT$132+CM$132+DE$132+R$193*(32/34)+R$196*(14/17))/R$132</f>
        <v>0.97971442058531977</v>
      </c>
      <c r="S135" s="641">
        <f t="shared" ref="S135" si="163">(AK$132+BC$132+BU$132+CN$132+DF$132+S$193*(32/34)+S$196*(14/17))/S$132</f>
        <v>0.96326769581876459</v>
      </c>
      <c r="T135" s="641">
        <f t="shared" ref="T135" si="164">(AL$132+BD$132+BV$132+CO$132+DG$132+T$193*(32/34)+T$196*(14/17))/T$132</f>
        <v>0.99422595686599713</v>
      </c>
      <c r="U135" s="641">
        <f t="shared" ref="U135" si="165">(AM$132+BE$132+BW$132+CP$132+DH$132+U$193*(32/34)+U$196*(14/17))/U$132</f>
        <v>0.8691512770956743</v>
      </c>
      <c r="V135" s="824" t="e">
        <f t="shared" ref="V135" si="166">(AN$132+BF$132+BX$132+CQ$132+DI$132+V$192+V$195)/V$132</f>
        <v>#DIV/0!</v>
      </c>
      <c r="X135" s="658"/>
      <c r="Y135" s="711"/>
      <c r="Z135" s="711"/>
      <c r="AA135" s="714"/>
      <c r="AB135" s="658"/>
      <c r="AC135" s="711"/>
      <c r="AD135" s="711"/>
      <c r="AE135" s="711"/>
      <c r="AF135" s="711"/>
      <c r="AG135" s="714"/>
      <c r="AH135" s="658"/>
      <c r="AI135" s="711"/>
      <c r="AJ135" s="711"/>
      <c r="AK135" s="711"/>
      <c r="AL135" s="711"/>
      <c r="AM135" s="711"/>
      <c r="AN135" s="711"/>
      <c r="AP135" s="711"/>
      <c r="AQ135" s="711"/>
      <c r="AR135" s="711"/>
      <c r="AS135" s="714"/>
      <c r="AT135" s="658"/>
      <c r="AU135" s="711"/>
      <c r="AV135" s="711"/>
      <c r="AW135" s="711"/>
      <c r="AX135" s="711"/>
      <c r="AY135" s="714"/>
      <c r="AZ135" s="658"/>
      <c r="BA135" s="711"/>
      <c r="BB135" s="711"/>
      <c r="BC135" s="711"/>
      <c r="BD135" s="711"/>
      <c r="BE135" s="711"/>
      <c r="BF135" s="711"/>
      <c r="BH135" s="711"/>
      <c r="BI135" s="711"/>
      <c r="BJ135" s="711"/>
      <c r="BK135" s="714"/>
      <c r="BL135" s="658"/>
      <c r="BM135" s="711"/>
      <c r="BN135" s="711"/>
      <c r="BO135" s="711"/>
      <c r="BP135" s="711"/>
      <c r="BQ135" s="714"/>
      <c r="BR135" s="808"/>
      <c r="BS135" s="715"/>
      <c r="BT135" s="715"/>
      <c r="BU135" s="715"/>
      <c r="BV135" s="715"/>
      <c r="BW135" s="715"/>
      <c r="BX135" s="711"/>
      <c r="BZ135" s="716"/>
      <c r="CA135" s="717"/>
      <c r="CB135" s="717"/>
      <c r="CC135" s="717"/>
      <c r="CD135" s="732"/>
      <c r="CE135" s="746"/>
      <c r="CF135" s="717"/>
      <c r="CG135" s="717"/>
      <c r="CH135" s="717"/>
      <c r="CI135" s="717"/>
      <c r="CJ135" s="732"/>
      <c r="CK135" s="746"/>
      <c r="CL135" s="717"/>
      <c r="CM135" s="717"/>
      <c r="CN135" s="717"/>
      <c r="CO135" s="717"/>
      <c r="CP135" s="717"/>
      <c r="CQ135" s="717"/>
      <c r="CS135" s="717"/>
      <c r="CT135" s="717"/>
      <c r="CU135" s="717"/>
      <c r="CV135" s="732"/>
      <c r="CW135" s="746"/>
      <c r="CX135" s="717"/>
      <c r="CY135" s="717"/>
      <c r="CZ135" s="717"/>
      <c r="DA135" s="717"/>
      <c r="DB135" s="732"/>
      <c r="DC135" s="746"/>
      <c r="DD135" s="717"/>
      <c r="DE135" s="717"/>
      <c r="DF135" s="711"/>
      <c r="DG135" s="718"/>
      <c r="DH135" s="711"/>
      <c r="DI135" s="711"/>
    </row>
    <row r="136" spans="3:114" x14ac:dyDescent="0.25">
      <c r="C136" s="637"/>
      <c r="D136" s="637"/>
      <c r="E136" s="637"/>
      <c r="F136" s="640"/>
      <c r="G136" s="825"/>
      <c r="H136" s="641"/>
      <c r="I136" s="1337"/>
      <c r="J136" s="640"/>
      <c r="K136" s="641"/>
      <c r="L136" s="641"/>
      <c r="M136" s="641"/>
      <c r="N136" s="1418"/>
      <c r="O136" s="1337"/>
      <c r="P136" s="640"/>
      <c r="Q136" s="641"/>
      <c r="R136" s="641"/>
      <c r="S136" s="1418"/>
      <c r="T136" s="1418"/>
      <c r="U136" s="1418"/>
      <c r="V136" s="641"/>
      <c r="X136" s="658"/>
      <c r="Y136" s="711"/>
      <c r="Z136" s="711"/>
      <c r="AA136" s="714"/>
      <c r="AB136" s="658"/>
      <c r="AC136" s="711"/>
      <c r="AD136" s="711"/>
      <c r="AE136" s="711"/>
      <c r="AF136" s="711"/>
      <c r="AG136" s="714"/>
      <c r="AH136" s="658"/>
      <c r="AI136" s="711"/>
      <c r="AJ136" s="711"/>
      <c r="AK136" s="711"/>
      <c r="AL136" s="711"/>
      <c r="AM136" s="711"/>
      <c r="AN136" s="711"/>
      <c r="AP136" s="711"/>
      <c r="AQ136" s="711"/>
      <c r="AR136" s="711"/>
      <c r="AS136" s="714"/>
      <c r="AT136" s="658"/>
      <c r="AU136" s="711"/>
      <c r="AV136" s="711"/>
      <c r="AW136" s="711"/>
      <c r="AX136" s="711"/>
      <c r="AY136" s="714"/>
      <c r="AZ136" s="658"/>
      <c r="BA136" s="711"/>
      <c r="BB136" s="711"/>
      <c r="BC136" s="711"/>
      <c r="BD136" s="711"/>
      <c r="BE136" s="711"/>
      <c r="BF136" s="711"/>
      <c r="BH136" s="711"/>
      <c r="BI136" s="711"/>
      <c r="BJ136" s="711"/>
      <c r="BK136" s="714"/>
      <c r="BL136" s="658"/>
      <c r="BM136" s="711"/>
      <c r="BN136" s="711"/>
      <c r="BO136" s="711"/>
      <c r="BP136" s="711"/>
      <c r="BQ136" s="714"/>
      <c r="BR136" s="808"/>
      <c r="BS136" s="715"/>
      <c r="BT136" s="715"/>
      <c r="BU136" s="715"/>
      <c r="BV136" s="715"/>
      <c r="BW136" s="715"/>
      <c r="BX136" s="711"/>
      <c r="BZ136" s="716"/>
      <c r="CA136" s="717"/>
      <c r="CB136" s="717"/>
      <c r="CC136" s="717"/>
      <c r="CD136" s="732"/>
      <c r="CE136" s="746"/>
      <c r="CF136" s="717"/>
      <c r="CG136" s="717"/>
      <c r="CH136" s="717"/>
      <c r="CI136" s="717"/>
      <c r="CJ136" s="732"/>
      <c r="CK136" s="746"/>
      <c r="CL136" s="717"/>
      <c r="CM136" s="717"/>
      <c r="CN136" s="717"/>
      <c r="CO136" s="717"/>
      <c r="CP136" s="717"/>
      <c r="CQ136" s="717"/>
      <c r="CS136" s="717"/>
      <c r="CT136" s="717"/>
      <c r="CU136" s="717"/>
      <c r="CV136" s="732"/>
      <c r="CW136" s="746"/>
      <c r="CX136" s="717"/>
      <c r="CY136" s="717"/>
      <c r="CZ136" s="717"/>
      <c r="DA136" s="717"/>
      <c r="DB136" s="732"/>
      <c r="DC136" s="746"/>
      <c r="DD136" s="717"/>
      <c r="DE136" s="717"/>
      <c r="DF136" s="711"/>
      <c r="DG136" s="718"/>
      <c r="DH136" s="711"/>
      <c r="DI136" s="711"/>
    </row>
    <row r="137" spans="3:114" x14ac:dyDescent="0.25">
      <c r="C137" s="637" t="s">
        <v>439</v>
      </c>
      <c r="D137" s="637"/>
      <c r="E137" s="637"/>
      <c r="F137" s="640">
        <f>((SUM(CA$117:CA$122)+SUM(CS117:CS122)+AP$101+BH$101+X$101)/F$101)</f>
        <v>0.98511188766466373</v>
      </c>
      <c r="G137" s="641">
        <f>((SUM(CB$117:CB$122)+SUM(CT117:CT122)+AQ$101+BI$101+Y101)/G$101)</f>
        <v>0.97372510165141479</v>
      </c>
      <c r="H137" s="641">
        <f>((SUM(CC$117:CC$122)+SUM(CU117:CU122)+AR$101+BJ$101+Z101)/H$101)</f>
        <v>0.99459371973599497</v>
      </c>
      <c r="I137" s="1337">
        <f t="shared" ref="I137:V137" si="167">((SUM(CD$117:CD$122)+SUM(CV117:CV122)+AS$101+BK$101)/I$101)</f>
        <v>0.95228966447999785</v>
      </c>
      <c r="J137" s="640">
        <f>((SUM(CE$117:CE$122)+SUM(CW117:CW122)+AT$101+BL$101)/J$101)</f>
        <v>1.0849377609074806</v>
      </c>
      <c r="K137" s="641">
        <f t="shared" si="167"/>
        <v>0.9407827541943472</v>
      </c>
      <c r="L137" s="641">
        <f t="shared" si="167"/>
        <v>0.96072044554413094</v>
      </c>
      <c r="M137" s="641">
        <f t="shared" si="167"/>
        <v>0.96081456253439645</v>
      </c>
      <c r="N137" s="1418">
        <f t="shared" si="167"/>
        <v>0.97174477144970517</v>
      </c>
      <c r="O137" s="1337">
        <f t="shared" si="167"/>
        <v>0.95096815871117013</v>
      </c>
      <c r="P137" s="640">
        <f t="shared" si="167"/>
        <v>0.94413675010143894</v>
      </c>
      <c r="Q137" s="641">
        <f t="shared" si="167"/>
        <v>0.94070498151802739</v>
      </c>
      <c r="R137" s="641">
        <f t="shared" si="167"/>
        <v>0.95511410928927409</v>
      </c>
      <c r="S137" s="1418">
        <f t="shared" si="167"/>
        <v>0.93786695890308602</v>
      </c>
      <c r="T137" s="1418">
        <f t="shared" si="167"/>
        <v>0.97441931841094243</v>
      </c>
      <c r="U137" s="1418">
        <f t="shared" si="167"/>
        <v>0.84419735177105315</v>
      </c>
      <c r="V137" s="641" t="e">
        <f t="shared" si="167"/>
        <v>#DIV/0!</v>
      </c>
      <c r="X137" s="658"/>
      <c r="Y137" s="711"/>
      <c r="Z137" s="711"/>
      <c r="AA137" s="714"/>
      <c r="AB137" s="658"/>
      <c r="AC137" s="711"/>
      <c r="AD137" s="711"/>
      <c r="AE137" s="711"/>
      <c r="AF137" s="711"/>
      <c r="AG137" s="714"/>
      <c r="AH137" s="658"/>
      <c r="AI137" s="711"/>
      <c r="AJ137" s="711"/>
      <c r="AK137" s="711"/>
      <c r="AL137" s="711"/>
      <c r="AM137" s="711"/>
      <c r="AN137" s="711"/>
      <c r="AP137" s="711"/>
      <c r="AQ137" s="711"/>
      <c r="AR137" s="711"/>
      <c r="AS137" s="714"/>
      <c r="AT137" s="658"/>
      <c r="AU137" s="711"/>
      <c r="AV137" s="711"/>
      <c r="AW137" s="711"/>
      <c r="AX137" s="711"/>
      <c r="AY137" s="714"/>
      <c r="AZ137" s="658"/>
      <c r="BA137" s="711"/>
      <c r="BB137" s="711"/>
      <c r="BC137" s="711"/>
      <c r="BD137" s="711"/>
      <c r="BE137" s="711"/>
      <c r="BF137" s="711"/>
      <c r="BH137" s="711"/>
      <c r="BI137" s="711"/>
      <c r="BJ137" s="711"/>
      <c r="BK137" s="714"/>
      <c r="BL137" s="658"/>
      <c r="BM137" s="711"/>
      <c r="BN137" s="711"/>
      <c r="BO137" s="711"/>
      <c r="BP137" s="711"/>
      <c r="BQ137" s="714"/>
      <c r="BR137" s="808"/>
      <c r="BS137" s="715"/>
      <c r="BT137" s="715"/>
      <c r="BU137" s="715"/>
      <c r="BV137" s="715"/>
      <c r="BW137" s="715"/>
      <c r="BX137" s="711"/>
      <c r="BZ137" s="716"/>
      <c r="CA137" s="717"/>
      <c r="CB137" s="717"/>
      <c r="CC137" s="717"/>
      <c r="CD137" s="732"/>
      <c r="CE137" s="746"/>
      <c r="CF137" s="717"/>
      <c r="CG137" s="717"/>
      <c r="CH137" s="717"/>
      <c r="CI137" s="717"/>
      <c r="CJ137" s="732"/>
      <c r="CK137" s="746"/>
      <c r="CL137" s="717"/>
      <c r="CM137" s="717"/>
      <c r="CN137" s="717"/>
      <c r="CO137" s="717"/>
      <c r="CP137" s="717"/>
      <c r="CQ137" s="717"/>
      <c r="CS137" s="717"/>
      <c r="CT137" s="717"/>
      <c r="CU137" s="717"/>
      <c r="CV137" s="732"/>
      <c r="CW137" s="746"/>
      <c r="CX137" s="717"/>
      <c r="CY137" s="717"/>
      <c r="CZ137" s="717"/>
      <c r="DA137" s="717"/>
      <c r="DB137" s="732"/>
      <c r="DC137" s="746"/>
      <c r="DD137" s="717"/>
      <c r="DE137" s="717"/>
      <c r="DF137" s="711"/>
      <c r="DG137" s="718"/>
      <c r="DH137" s="711"/>
      <c r="DI137" s="711"/>
    </row>
    <row r="138" spans="3:114" s="506" customFormat="1" ht="15.75" thickBot="1" x14ac:dyDescent="0.3">
      <c r="C138" s="499"/>
      <c r="D138" s="499"/>
      <c r="E138" s="499"/>
      <c r="F138" s="500"/>
      <c r="G138" s="501"/>
      <c r="H138" s="501"/>
      <c r="I138" s="1328"/>
      <c r="J138" s="500"/>
      <c r="K138" s="501"/>
      <c r="L138" s="501"/>
      <c r="M138" s="501"/>
      <c r="N138" s="1404"/>
      <c r="O138" s="1328"/>
      <c r="P138" s="500"/>
      <c r="Q138" s="501"/>
      <c r="R138" s="501"/>
      <c r="S138" s="1404"/>
      <c r="T138" s="1404"/>
      <c r="U138" s="1404"/>
      <c r="V138" s="501"/>
      <c r="W138" s="503"/>
      <c r="X138" s="500"/>
      <c r="Y138" s="501"/>
      <c r="Z138" s="501"/>
      <c r="AA138" s="502"/>
      <c r="AB138" s="500"/>
      <c r="AC138" s="501"/>
      <c r="AD138" s="501"/>
      <c r="AE138" s="501"/>
      <c r="AF138" s="501"/>
      <c r="AG138" s="502"/>
      <c r="AH138" s="500"/>
      <c r="AI138" s="501"/>
      <c r="AJ138" s="501"/>
      <c r="AK138" s="501"/>
      <c r="AL138" s="501"/>
      <c r="AM138" s="501"/>
      <c r="AN138" s="501"/>
      <c r="AO138" s="504"/>
      <c r="AP138" s="501"/>
      <c r="AQ138" s="501"/>
      <c r="AR138" s="501"/>
      <c r="AS138" s="502"/>
      <c r="AT138" s="500"/>
      <c r="AU138" s="501"/>
      <c r="AV138" s="501"/>
      <c r="AW138" s="501"/>
      <c r="AX138" s="501"/>
      <c r="AY138" s="502"/>
      <c r="AZ138" s="500"/>
      <c r="BA138" s="501"/>
      <c r="BB138" s="501"/>
      <c r="BC138" s="501"/>
      <c r="BD138" s="501"/>
      <c r="BE138" s="501"/>
      <c r="BF138" s="501"/>
      <c r="BG138" s="504"/>
      <c r="BH138" s="501"/>
      <c r="BI138" s="501"/>
      <c r="BJ138" s="501"/>
      <c r="BK138" s="502"/>
      <c r="BL138" s="500"/>
      <c r="BM138" s="501"/>
      <c r="BN138" s="501"/>
      <c r="BO138" s="501"/>
      <c r="BP138" s="501"/>
      <c r="BQ138" s="502"/>
      <c r="BR138" s="809"/>
      <c r="BS138" s="595"/>
      <c r="BT138" s="595"/>
      <c r="BU138" s="595"/>
      <c r="BV138" s="595"/>
      <c r="BW138" s="595"/>
      <c r="BX138" s="501"/>
      <c r="BY138" s="504"/>
      <c r="BZ138" s="505"/>
      <c r="CA138" s="596"/>
      <c r="CB138" s="596"/>
      <c r="CC138" s="596"/>
      <c r="CD138" s="733"/>
      <c r="CE138" s="747"/>
      <c r="CF138" s="596"/>
      <c r="CG138" s="596"/>
      <c r="CH138" s="596"/>
      <c r="CI138" s="596"/>
      <c r="CJ138" s="733"/>
      <c r="CK138" s="747"/>
      <c r="CL138" s="596"/>
      <c r="CM138" s="596"/>
      <c r="CN138" s="596"/>
      <c r="CO138" s="596"/>
      <c r="CP138" s="596"/>
      <c r="CQ138" s="596"/>
      <c r="CR138" s="504"/>
      <c r="CS138" s="596"/>
      <c r="CT138" s="596"/>
      <c r="CU138" s="596"/>
      <c r="CV138" s="733"/>
      <c r="CW138" s="747"/>
      <c r="CX138" s="596"/>
      <c r="CY138" s="596"/>
      <c r="CZ138" s="596"/>
      <c r="DA138" s="596"/>
      <c r="DB138" s="733"/>
      <c r="DC138" s="747"/>
      <c r="DD138" s="596"/>
      <c r="DE138" s="596"/>
      <c r="DF138" s="501"/>
      <c r="DG138" s="579"/>
      <c r="DH138" s="501"/>
      <c r="DI138" s="501"/>
    </row>
    <row r="139" spans="3:114" ht="19.5" thickTop="1" x14ac:dyDescent="0.3">
      <c r="C139" s="593" t="s">
        <v>211</v>
      </c>
      <c r="D139" s="593"/>
      <c r="E139" s="593"/>
      <c r="F139" s="352"/>
      <c r="G139" s="234"/>
      <c r="H139" s="234"/>
      <c r="I139" s="1365"/>
      <c r="J139" s="352"/>
      <c r="K139" s="234"/>
      <c r="L139" s="234"/>
      <c r="M139" s="234"/>
      <c r="N139" s="1447"/>
      <c r="O139" s="1365"/>
      <c r="P139" s="352"/>
      <c r="Q139" s="234"/>
      <c r="R139" s="234"/>
      <c r="S139" s="1447"/>
      <c r="T139" s="1447"/>
      <c r="U139" s="1447"/>
      <c r="V139" s="234"/>
      <c r="W139" s="468"/>
      <c r="X139" s="352"/>
      <c r="Y139" s="234"/>
      <c r="Z139" s="234"/>
      <c r="AA139" s="235"/>
      <c r="AB139" s="352"/>
      <c r="AC139" s="1504" t="s">
        <v>884</v>
      </c>
      <c r="AD139" s="1504" t="s">
        <v>840</v>
      </c>
      <c r="AE139" s="1504" t="s">
        <v>841</v>
      </c>
      <c r="AF139" s="234"/>
      <c r="AG139" s="235"/>
      <c r="AH139" s="352"/>
      <c r="AI139" s="234"/>
      <c r="AJ139" s="234"/>
      <c r="AK139" s="234"/>
      <c r="AL139" s="234"/>
      <c r="AM139" s="234"/>
      <c r="AN139" s="234"/>
      <c r="AO139" s="486"/>
      <c r="AP139" s="234"/>
      <c r="AQ139" s="234"/>
      <c r="AR139" s="234"/>
      <c r="AS139" s="235"/>
      <c r="AT139" s="352"/>
      <c r="AU139" s="234"/>
      <c r="AV139" s="234"/>
      <c r="AW139" s="234"/>
      <c r="AX139" s="234"/>
      <c r="AY139" s="235"/>
      <c r="AZ139" s="352"/>
      <c r="BA139" s="234"/>
      <c r="BB139" s="234"/>
      <c r="BC139" s="234"/>
      <c r="BD139" s="234"/>
      <c r="BE139" s="234"/>
      <c r="BF139" s="234"/>
      <c r="BG139" s="486"/>
      <c r="BH139" s="234"/>
      <c r="BI139" s="234"/>
      <c r="BJ139" s="234"/>
      <c r="BK139" s="235"/>
      <c r="BL139" s="352"/>
      <c r="BM139" s="234"/>
      <c r="BN139" s="234"/>
      <c r="BO139" s="234"/>
      <c r="BP139" s="234"/>
      <c r="BQ139" s="235"/>
      <c r="BR139" s="810"/>
      <c r="BS139" s="469"/>
      <c r="BT139" s="469"/>
      <c r="BU139" s="469"/>
      <c r="BV139" s="469"/>
      <c r="BW139" s="469"/>
      <c r="BX139" s="234"/>
      <c r="BY139" s="486"/>
      <c r="BZ139" s="488"/>
      <c r="CA139" s="594"/>
      <c r="CB139" s="594"/>
      <c r="CC139" s="594"/>
      <c r="CD139" s="734"/>
      <c r="CE139" s="748"/>
      <c r="CF139" s="594"/>
      <c r="CG139" s="594"/>
      <c r="CH139" s="594"/>
      <c r="CI139" s="594"/>
      <c r="CJ139" s="734"/>
      <c r="CK139" s="748"/>
      <c r="CL139" s="594"/>
      <c r="CM139" s="594"/>
      <c r="CN139" s="594"/>
      <c r="CO139" s="594"/>
      <c r="CP139" s="594"/>
      <c r="CQ139" s="594"/>
      <c r="CR139" s="486"/>
      <c r="CS139" s="594"/>
      <c r="CT139" s="594"/>
      <c r="CU139" s="594"/>
      <c r="CV139" s="734"/>
      <c r="CW139" s="748"/>
      <c r="CX139" s="594"/>
      <c r="CY139" s="594"/>
      <c r="CZ139" s="594"/>
      <c r="DA139" s="594"/>
      <c r="DB139" s="734"/>
      <c r="DC139" s="748"/>
      <c r="DD139" s="594"/>
      <c r="DE139" s="594"/>
      <c r="DF139" s="234"/>
      <c r="DG139" s="356"/>
      <c r="DH139" s="234"/>
      <c r="DI139" s="234"/>
    </row>
    <row r="140" spans="3:114" x14ac:dyDescent="0.25">
      <c r="C140" s="1" t="s">
        <v>275</v>
      </c>
      <c r="F140" s="262">
        <f>((F$80-AP$80)/F$80)*100</f>
        <v>38.617032080432409</v>
      </c>
      <c r="G140" s="262">
        <f t="shared" ref="G140:V140" si="168">((G$80-AQ$80)/G$80)*100</f>
        <v>36.960459791175097</v>
      </c>
      <c r="H140" s="262">
        <f t="shared" si="168"/>
        <v>39.346283596715722</v>
      </c>
      <c r="I140" s="1373">
        <f t="shared" si="168"/>
        <v>39.106101437805535</v>
      </c>
      <c r="J140" s="332">
        <f t="shared" si="168"/>
        <v>69.515548902270027</v>
      </c>
      <c r="K140" s="262">
        <f t="shared" si="168"/>
        <v>64.603212456070878</v>
      </c>
      <c r="L140" s="262">
        <f t="shared" si="168"/>
        <v>66.089600096537808</v>
      </c>
      <c r="M140" s="262">
        <f t="shared" si="168"/>
        <v>65.198799755569965</v>
      </c>
      <c r="N140" s="1452">
        <f t="shared" si="168"/>
        <v>63.739784646471811</v>
      </c>
      <c r="O140" s="1373">
        <f>((O$80-AY$80)/O$80)*100</f>
        <v>63.158939021148072</v>
      </c>
      <c r="P140" s="332">
        <f t="shared" si="168"/>
        <v>64.894359645947233</v>
      </c>
      <c r="Q140" s="262">
        <f>((Q$80-BA$80)/Q$80)*100</f>
        <v>63.138261069506271</v>
      </c>
      <c r="R140" s="262">
        <f>((R$80-BB$80)/R$80)*100</f>
        <v>65.34042509661657</v>
      </c>
      <c r="S140" s="1452">
        <f t="shared" si="168"/>
        <v>67.909430253472095</v>
      </c>
      <c r="T140" s="1452">
        <f t="shared" si="168"/>
        <v>67.334069056274643</v>
      </c>
      <c r="U140" s="1452">
        <f t="shared" si="168"/>
        <v>67.217660188327102</v>
      </c>
      <c r="V140" s="262" t="e">
        <f t="shared" si="168"/>
        <v>#DIV/0!</v>
      </c>
      <c r="X140" s="320" t="s">
        <v>882</v>
      </c>
      <c r="Y140" s="279">
        <f>AVERAGE(K140:N140)</f>
        <v>64.907849238662621</v>
      </c>
      <c r="Z140" s="279">
        <f>AVERAGE(Q140:T140)</f>
        <v>65.930546368967384</v>
      </c>
      <c r="AA140" s="240" t="s">
        <v>295</v>
      </c>
      <c r="AC140" s="1465">
        <f>AVERAGE(H140:I140)</f>
        <v>39.226192517260628</v>
      </c>
      <c r="AD140" s="1465">
        <f>AVERAGE(M140:O140)</f>
        <v>64.032507807729942</v>
      </c>
      <c r="AE140" s="1465">
        <f>AVERAGE(R140:T140)</f>
        <v>66.861308135454436</v>
      </c>
      <c r="BR140" s="804"/>
      <c r="BS140" s="253"/>
      <c r="BT140" s="253"/>
      <c r="BU140" s="253"/>
      <c r="BV140" s="253"/>
      <c r="BW140" s="253"/>
      <c r="CA140" s="282"/>
      <c r="CB140" s="282"/>
      <c r="CC140" s="282"/>
      <c r="CD140" s="727"/>
      <c r="CE140" s="741"/>
      <c r="CF140" s="282"/>
      <c r="CG140" s="282"/>
      <c r="CH140" s="282"/>
      <c r="CI140" s="282"/>
      <c r="CJ140" s="727"/>
      <c r="CK140" s="741"/>
      <c r="CL140" s="282"/>
      <c r="CM140" s="282"/>
      <c r="CN140" s="282"/>
      <c r="CO140" s="282"/>
      <c r="CP140" s="282"/>
      <c r="CQ140" s="282"/>
      <c r="CS140" s="282"/>
      <c r="CT140" s="282"/>
      <c r="CU140" s="282"/>
      <c r="CV140" s="727"/>
      <c r="CW140" s="741"/>
      <c r="CX140" s="282"/>
      <c r="CY140" s="282"/>
      <c r="CZ140" s="282"/>
      <c r="DA140" s="282"/>
      <c r="DB140" s="727"/>
      <c r="DC140" s="741"/>
      <c r="DD140" s="282"/>
      <c r="DE140" s="282"/>
      <c r="DG140" s="252"/>
    </row>
    <row r="141" spans="3:114" x14ac:dyDescent="0.25">
      <c r="C141" s="1" t="s">
        <v>396</v>
      </c>
      <c r="F141" s="339">
        <f t="shared" ref="F141:K141" si="169">100*(1-EXP(F$64/F$65*LN(1-F$140/100)))</f>
        <v>40.236399796473002</v>
      </c>
      <c r="G141" s="406">
        <f t="shared" si="169"/>
        <v>37.550545135069903</v>
      </c>
      <c r="H141" s="406">
        <f t="shared" si="169"/>
        <v>39.437809785284742</v>
      </c>
      <c r="I141" s="1374">
        <f t="shared" si="169"/>
        <v>39.218744456434621</v>
      </c>
      <c r="J141" s="826">
        <f t="shared" si="169"/>
        <v>64.580152068300663</v>
      </c>
      <c r="K141" s="406">
        <f t="shared" si="169"/>
        <v>63.803542052005113</v>
      </c>
      <c r="L141" s="406">
        <f>100*(1-EXP(L$64/L$65*LN(1-L$140/100)))</f>
        <v>68.427254697774018</v>
      </c>
      <c r="M141" s="406">
        <f t="shared" ref="M141:U141" si="170">M140-EXP((M$64-M$66)/M$65*M$140)</f>
        <v>65.198799755569965</v>
      </c>
      <c r="N141" s="1453">
        <f t="shared" si="170"/>
        <v>63.739784646471811</v>
      </c>
      <c r="O141" s="1454">
        <f t="shared" si="170"/>
        <v>63.158939021148072</v>
      </c>
      <c r="P141" s="827">
        <f t="shared" si="170"/>
        <v>64.894359645947233</v>
      </c>
      <c r="Q141" s="827">
        <f t="shared" si="170"/>
        <v>63.138261069506271</v>
      </c>
      <c r="R141" s="827">
        <f t="shared" si="170"/>
        <v>65.34042509661657</v>
      </c>
      <c r="S141" s="1453">
        <f t="shared" si="170"/>
        <v>67.909430253472095</v>
      </c>
      <c r="T141" s="1453">
        <f t="shared" si="170"/>
        <v>67.334069056274643</v>
      </c>
      <c r="U141" s="1453">
        <f t="shared" si="170"/>
        <v>67.217660188327102</v>
      </c>
      <c r="V141" s="406" t="e">
        <f t="shared" ref="V141" si="171">1-EXP((V$64-V$66)/V$65*V$140)</f>
        <v>#DIV/0!</v>
      </c>
      <c r="AC141" s="674">
        <f>AVERAGE(H142:I142)</f>
        <v>40.200000000000003</v>
      </c>
      <c r="AD141" s="674">
        <f>AVERAGE(M142:O142)</f>
        <v>68.133333333333326</v>
      </c>
      <c r="AE141" s="674">
        <f>AVERAGE(R142:T142)</f>
        <v>67.600000000000009</v>
      </c>
      <c r="BR141" s="804"/>
      <c r="BS141" s="253"/>
      <c r="BT141" s="253"/>
      <c r="BU141" s="253"/>
      <c r="BV141" s="253"/>
      <c r="BW141" s="253"/>
      <c r="CA141" s="282"/>
      <c r="CB141" s="282"/>
      <c r="CC141" s="282"/>
      <c r="CD141" s="727"/>
      <c r="CE141" s="741"/>
      <c r="CF141" s="282"/>
      <c r="CG141" s="282"/>
      <c r="CH141" s="282"/>
      <c r="CI141" s="282"/>
      <c r="CJ141" s="727"/>
      <c r="CK141" s="741"/>
      <c r="CL141" s="282"/>
      <c r="CM141" s="282"/>
      <c r="CN141" s="282"/>
      <c r="CO141" s="282"/>
      <c r="CP141" s="282"/>
      <c r="CQ141" s="282"/>
      <c r="CS141" s="282"/>
      <c r="CT141" s="282"/>
      <c r="CU141" s="282"/>
      <c r="CV141" s="727"/>
      <c r="CW141" s="741"/>
      <c r="CX141" s="282"/>
      <c r="CY141" s="282"/>
      <c r="CZ141" s="282"/>
      <c r="DA141" s="282"/>
      <c r="DB141" s="727"/>
      <c r="DC141" s="741"/>
      <c r="DD141" s="282"/>
      <c r="DE141" s="282"/>
      <c r="DG141" s="252"/>
    </row>
    <row r="142" spans="3:114" x14ac:dyDescent="0.25">
      <c r="C142" s="637" t="s">
        <v>432</v>
      </c>
      <c r="D142" s="637"/>
      <c r="E142" s="637"/>
      <c r="F142" s="638">
        <v>44</v>
      </c>
      <c r="G142" s="639">
        <v>41.5</v>
      </c>
      <c r="H142" s="639">
        <v>40.5</v>
      </c>
      <c r="I142" s="1373">
        <v>39.9</v>
      </c>
      <c r="J142" s="638">
        <v>68</v>
      </c>
      <c r="K142" s="639">
        <v>67.5</v>
      </c>
      <c r="L142" s="639">
        <v>67.8</v>
      </c>
      <c r="M142" s="639">
        <v>68.2</v>
      </c>
      <c r="N142" s="1452">
        <v>68</v>
      </c>
      <c r="O142" s="1373">
        <v>68.2</v>
      </c>
      <c r="P142" s="638">
        <v>66.5</v>
      </c>
      <c r="Q142" s="639">
        <v>65.8</v>
      </c>
      <c r="R142" s="639">
        <v>66.2</v>
      </c>
      <c r="S142" s="1452">
        <v>68.2</v>
      </c>
      <c r="T142" s="1452">
        <v>68.400000000000006</v>
      </c>
      <c r="U142" s="1452">
        <v>68</v>
      </c>
      <c r="X142" s="320" t="s">
        <v>882</v>
      </c>
      <c r="Y142" s="279">
        <f>AVERAGE(K142:N142)</f>
        <v>67.875</v>
      </c>
      <c r="Z142" s="279">
        <f>AVERAGE(Q142:T142)</f>
        <v>67.150000000000006</v>
      </c>
      <c r="AA142" s="240" t="s">
        <v>616</v>
      </c>
      <c r="BR142" s="804"/>
      <c r="BS142" s="253"/>
      <c r="BT142" s="253"/>
      <c r="BU142" s="253"/>
      <c r="BV142" s="253"/>
      <c r="BW142" s="253"/>
      <c r="CA142" s="282"/>
      <c r="CB142" s="282"/>
      <c r="CC142" s="282"/>
      <c r="CD142" s="727"/>
      <c r="CE142" s="741"/>
      <c r="CF142" s="282"/>
      <c r="CG142" s="282"/>
      <c r="CH142" s="282"/>
      <c r="CI142" s="282"/>
      <c r="CJ142" s="727"/>
      <c r="CK142" s="741"/>
      <c r="CL142" s="282"/>
      <c r="CM142" s="282"/>
      <c r="CN142" s="282"/>
      <c r="CO142" s="282"/>
      <c r="CP142" s="282"/>
      <c r="CQ142" s="282"/>
      <c r="CS142" s="282"/>
      <c r="CT142" s="282"/>
      <c r="CU142" s="282"/>
      <c r="CV142" s="727"/>
      <c r="CW142" s="741"/>
      <c r="CX142" s="282"/>
      <c r="CY142" s="282"/>
      <c r="CZ142" s="282"/>
      <c r="DA142" s="282"/>
      <c r="DB142" s="727"/>
      <c r="DC142" s="741"/>
      <c r="DD142" s="282"/>
      <c r="DE142" s="282"/>
      <c r="DG142" s="252"/>
    </row>
    <row r="143" spans="3:114" x14ac:dyDescent="0.25">
      <c r="C143" s="1" t="s">
        <v>230</v>
      </c>
      <c r="F143" s="332">
        <f t="shared" ref="F143:U143" si="172">F$142*5%</f>
        <v>2.2000000000000002</v>
      </c>
      <c r="G143" s="262">
        <f t="shared" si="172"/>
        <v>2.0750000000000002</v>
      </c>
      <c r="H143" s="262">
        <f t="shared" si="172"/>
        <v>2.0249999999999999</v>
      </c>
      <c r="I143" s="1373">
        <f t="shared" si="172"/>
        <v>1.9950000000000001</v>
      </c>
      <c r="J143" s="332">
        <f t="shared" si="172"/>
        <v>3.4000000000000004</v>
      </c>
      <c r="K143" s="262">
        <f t="shared" si="172"/>
        <v>3.375</v>
      </c>
      <c r="L143" s="262">
        <f t="shared" si="172"/>
        <v>3.39</v>
      </c>
      <c r="M143" s="262">
        <f t="shared" si="172"/>
        <v>3.41</v>
      </c>
      <c r="N143" s="1452">
        <f t="shared" si="172"/>
        <v>3.4000000000000004</v>
      </c>
      <c r="O143" s="1373">
        <f t="shared" si="172"/>
        <v>3.41</v>
      </c>
      <c r="P143" s="332">
        <f t="shared" si="172"/>
        <v>3.3250000000000002</v>
      </c>
      <c r="Q143" s="262">
        <f t="shared" si="172"/>
        <v>3.29</v>
      </c>
      <c r="R143" s="262">
        <f t="shared" si="172"/>
        <v>3.3100000000000005</v>
      </c>
      <c r="S143" s="1452">
        <f t="shared" si="172"/>
        <v>3.41</v>
      </c>
      <c r="T143" s="1452">
        <f t="shared" si="172"/>
        <v>3.4200000000000004</v>
      </c>
      <c r="U143" s="1452">
        <f t="shared" si="172"/>
        <v>3.4000000000000004</v>
      </c>
      <c r="BR143" s="804"/>
      <c r="BS143" s="253"/>
      <c r="BT143" s="253"/>
      <c r="BU143" s="253"/>
      <c r="BV143" s="253"/>
      <c r="BW143" s="253"/>
      <c r="CA143" s="282"/>
      <c r="CB143" s="282"/>
      <c r="CC143" s="282"/>
      <c r="CD143" s="727"/>
      <c r="CE143" s="741"/>
      <c r="CF143" s="282"/>
      <c r="CG143" s="282"/>
      <c r="CH143" s="282"/>
      <c r="CI143" s="282"/>
      <c r="CJ143" s="727"/>
      <c r="CK143" s="741"/>
      <c r="CL143" s="282"/>
      <c r="CM143" s="282"/>
      <c r="CN143" s="282"/>
      <c r="CO143" s="282"/>
      <c r="CP143" s="282"/>
      <c r="CQ143" s="282"/>
      <c r="CS143" s="282"/>
      <c r="CT143" s="282"/>
      <c r="CU143" s="282"/>
      <c r="CV143" s="727"/>
      <c r="CW143" s="741"/>
      <c r="CX143" s="282"/>
      <c r="CY143" s="282"/>
      <c r="CZ143" s="282"/>
      <c r="DA143" s="282"/>
      <c r="DB143" s="727"/>
      <c r="DC143" s="741"/>
      <c r="DD143" s="282"/>
      <c r="DE143" s="282"/>
      <c r="DG143" s="252"/>
    </row>
    <row r="144" spans="3:114" x14ac:dyDescent="0.25">
      <c r="C144" s="166" t="s">
        <v>231</v>
      </c>
      <c r="D144" s="166"/>
      <c r="E144" s="166"/>
      <c r="F144" s="332">
        <f t="shared" ref="F144:U144" si="173">F$142+F$143</f>
        <v>46.2</v>
      </c>
      <c r="G144" s="262">
        <f t="shared" si="173"/>
        <v>43.575000000000003</v>
      </c>
      <c r="H144" s="262">
        <f t="shared" si="173"/>
        <v>42.524999999999999</v>
      </c>
      <c r="I144" s="1373">
        <f t="shared" si="173"/>
        <v>41.894999999999996</v>
      </c>
      <c r="J144" s="332">
        <f t="shared" si="173"/>
        <v>71.400000000000006</v>
      </c>
      <c r="K144" s="262">
        <f t="shared" si="173"/>
        <v>70.875</v>
      </c>
      <c r="L144" s="262">
        <f t="shared" si="173"/>
        <v>71.19</v>
      </c>
      <c r="M144" s="262">
        <f t="shared" si="173"/>
        <v>71.61</v>
      </c>
      <c r="N144" s="1452">
        <f t="shared" si="173"/>
        <v>71.400000000000006</v>
      </c>
      <c r="O144" s="1373">
        <f t="shared" si="173"/>
        <v>71.61</v>
      </c>
      <c r="P144" s="332">
        <f t="shared" si="173"/>
        <v>69.825000000000003</v>
      </c>
      <c r="Q144" s="262">
        <f t="shared" si="173"/>
        <v>69.09</v>
      </c>
      <c r="R144" s="262">
        <f t="shared" si="173"/>
        <v>69.510000000000005</v>
      </c>
      <c r="S144" s="1452">
        <f t="shared" si="173"/>
        <v>71.61</v>
      </c>
      <c r="T144" s="1452">
        <f t="shared" si="173"/>
        <v>71.820000000000007</v>
      </c>
      <c r="U144" s="1452">
        <f t="shared" si="173"/>
        <v>71.400000000000006</v>
      </c>
      <c r="BR144" s="804"/>
      <c r="BS144" s="253"/>
      <c r="BT144" s="253"/>
      <c r="BU144" s="253"/>
      <c r="BV144" s="253"/>
      <c r="BW144" s="253"/>
      <c r="CA144" s="282"/>
      <c r="CB144" s="282"/>
      <c r="CC144" s="282"/>
      <c r="CD144" s="727"/>
      <c r="CE144" s="741"/>
      <c r="CF144" s="282"/>
      <c r="CG144" s="282"/>
      <c r="CH144" s="282"/>
      <c r="CI144" s="282"/>
      <c r="CJ144" s="727"/>
      <c r="CK144" s="741"/>
      <c r="CL144" s="282"/>
      <c r="CM144" s="282"/>
      <c r="CN144" s="282"/>
      <c r="CO144" s="282"/>
      <c r="CP144" s="282"/>
      <c r="CQ144" s="282"/>
      <c r="CS144" s="282"/>
      <c r="CT144" s="282"/>
      <c r="CU144" s="282"/>
      <c r="CV144" s="727"/>
      <c r="CW144" s="741"/>
      <c r="CX144" s="282"/>
      <c r="CY144" s="282"/>
      <c r="CZ144" s="282"/>
      <c r="DA144" s="282"/>
      <c r="DB144" s="727"/>
      <c r="DC144" s="741"/>
      <c r="DD144" s="282"/>
      <c r="DE144" s="282"/>
      <c r="DG144" s="252"/>
    </row>
    <row r="145" spans="3:113" x14ac:dyDescent="0.25">
      <c r="C145" s="166" t="s">
        <v>232</v>
      </c>
      <c r="D145" s="166"/>
      <c r="E145" s="166"/>
      <c r="F145" s="332">
        <f t="shared" ref="F145:U145" si="174">F$142-F$143</f>
        <v>41.8</v>
      </c>
      <c r="G145" s="262">
        <f t="shared" si="174"/>
        <v>39.424999999999997</v>
      </c>
      <c r="H145" s="262">
        <f t="shared" si="174"/>
        <v>38.475000000000001</v>
      </c>
      <c r="I145" s="1373">
        <f t="shared" si="174"/>
        <v>37.905000000000001</v>
      </c>
      <c r="J145" s="332">
        <f t="shared" si="174"/>
        <v>64.599999999999994</v>
      </c>
      <c r="K145" s="262">
        <f t="shared" si="174"/>
        <v>64.125</v>
      </c>
      <c r="L145" s="262">
        <f t="shared" si="174"/>
        <v>64.41</v>
      </c>
      <c r="M145" s="262">
        <f t="shared" si="174"/>
        <v>64.790000000000006</v>
      </c>
      <c r="N145" s="1452">
        <f t="shared" si="174"/>
        <v>64.599999999999994</v>
      </c>
      <c r="O145" s="1373">
        <f t="shared" si="174"/>
        <v>64.790000000000006</v>
      </c>
      <c r="P145" s="332">
        <f t="shared" si="174"/>
        <v>63.174999999999997</v>
      </c>
      <c r="Q145" s="262">
        <f t="shared" si="174"/>
        <v>62.51</v>
      </c>
      <c r="R145" s="262">
        <f t="shared" si="174"/>
        <v>62.89</v>
      </c>
      <c r="S145" s="1452">
        <f t="shared" si="174"/>
        <v>64.790000000000006</v>
      </c>
      <c r="T145" s="1452">
        <f t="shared" si="174"/>
        <v>64.98</v>
      </c>
      <c r="U145" s="1452">
        <f t="shared" si="174"/>
        <v>64.599999999999994</v>
      </c>
      <c r="BR145" s="804"/>
      <c r="BS145" s="253"/>
      <c r="BT145" s="253"/>
      <c r="BU145" s="253"/>
      <c r="BV145" s="253"/>
      <c r="BW145" s="253"/>
      <c r="CA145" s="282"/>
      <c r="CB145" s="282"/>
      <c r="CC145" s="282"/>
      <c r="CD145" s="727"/>
      <c r="CE145" s="741"/>
      <c r="CF145" s="282"/>
      <c r="CG145" s="282"/>
      <c r="CH145" s="282"/>
      <c r="CI145" s="282"/>
      <c r="CJ145" s="727"/>
      <c r="CK145" s="741"/>
      <c r="CL145" s="282"/>
      <c r="CM145" s="282"/>
      <c r="CN145" s="282"/>
      <c r="CO145" s="282"/>
      <c r="CP145" s="282"/>
      <c r="CQ145" s="282"/>
      <c r="CS145" s="282"/>
      <c r="CT145" s="282"/>
      <c r="CU145" s="282"/>
      <c r="CV145" s="727"/>
      <c r="CW145" s="741"/>
      <c r="CX145" s="282"/>
      <c r="CY145" s="282"/>
      <c r="CZ145" s="282"/>
      <c r="DA145" s="282"/>
      <c r="DB145" s="727"/>
      <c r="DC145" s="741"/>
      <c r="DD145" s="282"/>
      <c r="DE145" s="282"/>
      <c r="DG145" s="252"/>
    </row>
    <row r="146" spans="3:113" ht="15.75" thickBot="1" x14ac:dyDescent="0.3">
      <c r="F146" s="353"/>
      <c r="G146" s="228"/>
      <c r="H146" s="228"/>
      <c r="I146" s="1361"/>
      <c r="J146" s="353"/>
      <c r="K146" s="228"/>
      <c r="L146" s="228"/>
      <c r="M146" s="228"/>
      <c r="N146" s="1443"/>
      <c r="O146" s="1361"/>
      <c r="P146" s="353"/>
      <c r="Q146" s="228"/>
      <c r="R146" s="228"/>
      <c r="S146" s="1443"/>
      <c r="T146" s="1443"/>
      <c r="U146" s="1443"/>
      <c r="V146" s="228"/>
      <c r="W146" s="476"/>
      <c r="X146" s="353"/>
      <c r="Y146" s="228"/>
      <c r="Z146" s="228"/>
      <c r="AA146" s="229"/>
      <c r="AB146" s="353"/>
      <c r="AC146" s="228"/>
      <c r="AD146" s="228"/>
      <c r="AE146" s="228"/>
      <c r="AF146" s="228"/>
      <c r="AG146" s="229"/>
      <c r="AH146" s="353"/>
      <c r="AI146" s="228"/>
      <c r="AJ146" s="228"/>
      <c r="AK146" s="228"/>
      <c r="AL146" s="228"/>
      <c r="AM146" s="228"/>
      <c r="AN146" s="228"/>
      <c r="AO146" s="463"/>
      <c r="AP146" s="228"/>
      <c r="AQ146" s="228"/>
      <c r="AR146" s="228"/>
      <c r="AS146" s="229"/>
      <c r="AT146" s="353"/>
      <c r="AU146" s="228"/>
      <c r="AV146" s="228"/>
      <c r="AW146" s="228"/>
      <c r="AX146" s="228"/>
      <c r="AY146" s="229"/>
      <c r="AZ146" s="353"/>
      <c r="BA146" s="228"/>
      <c r="BB146" s="228"/>
      <c r="BC146" s="228"/>
      <c r="BD146" s="228"/>
      <c r="BE146" s="228"/>
      <c r="BF146" s="228"/>
      <c r="BG146" s="463"/>
      <c r="BH146" s="228"/>
      <c r="BI146" s="228"/>
      <c r="BJ146" s="228"/>
      <c r="BK146" s="229"/>
      <c r="BL146" s="353"/>
      <c r="BM146" s="228"/>
      <c r="BN146" s="228"/>
      <c r="BO146" s="228"/>
      <c r="BP146" s="228"/>
      <c r="BQ146" s="229"/>
      <c r="BR146" s="353"/>
      <c r="BS146" s="228"/>
      <c r="BT146" s="228"/>
      <c r="BU146" s="228"/>
      <c r="BV146" s="228"/>
      <c r="BW146" s="228"/>
      <c r="BX146" s="228"/>
      <c r="BY146" s="463"/>
      <c r="BZ146" s="464"/>
      <c r="CA146" s="228"/>
      <c r="CB146" s="228"/>
      <c r="CC146" s="228"/>
      <c r="CD146" s="229"/>
      <c r="CE146" s="353"/>
      <c r="CF146" s="228"/>
      <c r="CG146" s="228"/>
      <c r="CH146" s="228"/>
      <c r="CI146" s="228"/>
      <c r="CJ146" s="229"/>
      <c r="CK146" s="353"/>
      <c r="CL146" s="228"/>
      <c r="CM146" s="228"/>
      <c r="CN146" s="228"/>
      <c r="CO146" s="228"/>
      <c r="CP146" s="228"/>
      <c r="CQ146" s="228"/>
      <c r="CR146" s="463"/>
      <c r="CS146" s="228"/>
      <c r="CT146" s="228"/>
      <c r="CU146" s="228"/>
      <c r="CV146" s="229"/>
      <c r="CW146" s="353"/>
      <c r="CX146" s="228"/>
      <c r="CY146" s="228"/>
      <c r="CZ146" s="583"/>
      <c r="DA146" s="583"/>
      <c r="DB146" s="728"/>
      <c r="DC146" s="742"/>
      <c r="DD146" s="583"/>
      <c r="DE146" s="583"/>
      <c r="DF146" s="228"/>
      <c r="DG146" s="228"/>
      <c r="DH146" s="228"/>
      <c r="DI146" s="228"/>
    </row>
    <row r="147" spans="3:113" s="528" customFormat="1" ht="19.5" thickTop="1" x14ac:dyDescent="0.3">
      <c r="C147" s="656"/>
      <c r="D147" s="597"/>
      <c r="E147" s="597"/>
      <c r="F147" s="481"/>
      <c r="G147" s="466"/>
      <c r="H147" s="466"/>
      <c r="I147" s="1371"/>
      <c r="J147" s="481"/>
      <c r="K147" s="466"/>
      <c r="L147" s="466"/>
      <c r="M147" s="466"/>
      <c r="N147" s="1420"/>
      <c r="O147" s="1371"/>
      <c r="P147" s="481"/>
      <c r="Q147" s="466"/>
      <c r="R147" s="466"/>
      <c r="S147" s="1420"/>
      <c r="T147" s="1420"/>
      <c r="U147" s="1420"/>
      <c r="V147" s="466"/>
      <c r="W147" s="480"/>
      <c r="X147" s="481"/>
      <c r="Y147" s="466"/>
      <c r="Z147" s="466"/>
      <c r="AA147" s="519"/>
      <c r="AB147" s="481"/>
      <c r="AC147" s="466"/>
      <c r="AD147" s="466"/>
      <c r="AE147" s="466"/>
      <c r="AF147" s="466"/>
      <c r="AG147" s="519"/>
      <c r="AH147" s="481"/>
      <c r="AI147" s="466"/>
      <c r="AJ147" s="466"/>
      <c r="AK147" s="466"/>
      <c r="AL147" s="466"/>
      <c r="AM147" s="466"/>
      <c r="AN147" s="466"/>
      <c r="AO147" s="482"/>
      <c r="AP147" s="466"/>
      <c r="AQ147" s="466"/>
      <c r="AR147" s="466"/>
      <c r="AS147" s="519"/>
      <c r="AT147" s="481"/>
      <c r="AU147" s="466"/>
      <c r="AV147" s="466"/>
      <c r="AW147" s="466"/>
      <c r="AX147" s="466"/>
      <c r="AY147" s="519"/>
      <c r="AZ147" s="481"/>
      <c r="BA147" s="466"/>
      <c r="BB147" s="466"/>
      <c r="BC147" s="466"/>
      <c r="BD147" s="466"/>
      <c r="BE147" s="466"/>
      <c r="BF147" s="466"/>
      <c r="BG147" s="482"/>
      <c r="BH147" s="466"/>
      <c r="BI147" s="466"/>
      <c r="BJ147" s="466"/>
      <c r="BK147" s="519"/>
      <c r="BL147" s="481"/>
      <c r="BM147" s="466"/>
      <c r="BN147" s="466"/>
      <c r="BO147" s="466"/>
      <c r="BP147" s="466"/>
      <c r="BQ147" s="519"/>
      <c r="BR147" s="481"/>
      <c r="BS147" s="466"/>
      <c r="BT147" s="466"/>
      <c r="BU147" s="466"/>
      <c r="BV147" s="466"/>
      <c r="BW147" s="466"/>
      <c r="BX147" s="466"/>
      <c r="BY147" s="482"/>
      <c r="BZ147" s="485"/>
      <c r="CA147" s="466"/>
      <c r="CB147" s="466"/>
      <c r="CC147" s="466"/>
      <c r="CD147" s="519"/>
      <c r="CE147" s="481"/>
      <c r="CF147" s="466"/>
      <c r="CG147" s="466"/>
      <c r="CH147" s="466"/>
      <c r="CI147" s="466"/>
      <c r="CJ147" s="519"/>
      <c r="CK147" s="481"/>
      <c r="CL147" s="466"/>
      <c r="CM147" s="466"/>
      <c r="CN147" s="466"/>
      <c r="CO147" s="466"/>
      <c r="CP147" s="466"/>
      <c r="CQ147" s="466"/>
      <c r="CR147" s="482"/>
      <c r="CS147" s="466"/>
      <c r="CT147" s="466"/>
      <c r="CU147" s="466"/>
      <c r="CV147" s="519"/>
      <c r="CW147" s="481"/>
      <c r="CX147" s="466"/>
      <c r="CY147" s="466"/>
      <c r="CZ147" s="466"/>
      <c r="DA147" s="466"/>
      <c r="DB147" s="519"/>
      <c r="DC147" s="481"/>
      <c r="DD147" s="466"/>
      <c r="DE147" s="466"/>
      <c r="DF147" s="466"/>
      <c r="DG147" s="466"/>
      <c r="DH147" s="466"/>
      <c r="DI147" s="466"/>
    </row>
    <row r="148" spans="3:113" x14ac:dyDescent="0.25">
      <c r="C148" s="1" t="s">
        <v>309</v>
      </c>
      <c r="F148" s="833">
        <f>((F$85-(AP$85))/F$85)*100</f>
        <v>63.483696206104412</v>
      </c>
      <c r="G148" s="261">
        <f t="shared" ref="G148:U148" si="175">((G$85-(AQ$85))/G$85)*100</f>
        <v>66.921826335884944</v>
      </c>
      <c r="H148" s="261">
        <f t="shared" si="175"/>
        <v>68.105223112220841</v>
      </c>
      <c r="I148" s="612">
        <f t="shared" si="175"/>
        <v>68.779565541382766</v>
      </c>
      <c r="J148" s="833">
        <f t="shared" si="175"/>
        <v>88.242298247189183</v>
      </c>
      <c r="K148" s="261">
        <f t="shared" si="175"/>
        <v>85.395424396041761</v>
      </c>
      <c r="L148" s="261">
        <f t="shared" si="175"/>
        <v>82.969707944065775</v>
      </c>
      <c r="M148" s="261">
        <f t="shared" si="175"/>
        <v>83.743211773475849</v>
      </c>
      <c r="N148" s="261">
        <f t="shared" si="175"/>
        <v>80.826769181676411</v>
      </c>
      <c r="O148" s="612">
        <f t="shared" si="175"/>
        <v>81.67472007562202</v>
      </c>
      <c r="P148" s="833">
        <f t="shared" si="175"/>
        <v>88.155430386603769</v>
      </c>
      <c r="Q148" s="261">
        <f t="shared" si="175"/>
        <v>85.25636919457601</v>
      </c>
      <c r="R148" s="261">
        <f t="shared" si="175"/>
        <v>79.947621851013636</v>
      </c>
      <c r="S148" s="261">
        <f t="shared" si="175"/>
        <v>83.308083302829374</v>
      </c>
      <c r="T148" s="261">
        <f t="shared" si="175"/>
        <v>76.034078623455301</v>
      </c>
      <c r="U148" s="612">
        <f t="shared" si="175"/>
        <v>82.094639950265218</v>
      </c>
      <c r="V148" s="261" t="e">
        <f t="shared" ref="V148" si="176">((V$85-(AN$85+BF$85))/V$85)*100</f>
        <v>#DIV/0!</v>
      </c>
    </row>
    <row r="149" spans="3:113" x14ac:dyDescent="0.25">
      <c r="C149" s="637" t="s">
        <v>310</v>
      </c>
      <c r="D149" s="637"/>
      <c r="E149" s="637"/>
      <c r="F149" s="640">
        <v>77</v>
      </c>
      <c r="G149" s="641">
        <v>71.2</v>
      </c>
      <c r="H149" s="641">
        <v>69.099999999999994</v>
      </c>
      <c r="I149" s="1337">
        <v>67.7</v>
      </c>
      <c r="J149" s="640">
        <v>94</v>
      </c>
      <c r="K149" s="641">
        <v>90.5</v>
      </c>
      <c r="L149" s="641">
        <v>89.8</v>
      </c>
      <c r="M149" s="641">
        <v>89</v>
      </c>
      <c r="N149" s="1418">
        <v>88.2</v>
      </c>
      <c r="O149" s="1337">
        <v>87.1</v>
      </c>
      <c r="P149" s="640">
        <v>88.5</v>
      </c>
      <c r="Q149" s="641">
        <v>83.2</v>
      </c>
      <c r="R149" s="641">
        <v>83</v>
      </c>
      <c r="S149" s="1418">
        <v>84.1</v>
      </c>
      <c r="T149" s="1418">
        <v>83</v>
      </c>
      <c r="U149" s="1418">
        <v>82.9</v>
      </c>
    </row>
    <row r="150" spans="3:113" s="506" customFormat="1" ht="15.75" thickBot="1" x14ac:dyDescent="0.3">
      <c r="C150" s="599">
        <v>0.95</v>
      </c>
      <c r="D150" s="599"/>
      <c r="E150" s="599"/>
      <c r="F150" s="520">
        <f>$C$150*F$149</f>
        <v>73.149999999999991</v>
      </c>
      <c r="G150" s="521">
        <f>$C$150*G$149</f>
        <v>67.64</v>
      </c>
      <c r="H150" s="521">
        <f t="shared" ref="H150:K150" si="177">$C$150*H$149</f>
        <v>65.644999999999996</v>
      </c>
      <c r="I150" s="1375">
        <f t="shared" si="177"/>
        <v>64.314999999999998</v>
      </c>
      <c r="J150" s="520">
        <f t="shared" si="177"/>
        <v>89.3</v>
      </c>
      <c r="K150" s="521">
        <f t="shared" si="177"/>
        <v>85.974999999999994</v>
      </c>
      <c r="L150" s="521">
        <f>$C$150*L$149</f>
        <v>85.309999999999988</v>
      </c>
      <c r="M150" s="521">
        <f t="shared" ref="M150:T150" si="178">$C$150*M$149</f>
        <v>84.55</v>
      </c>
      <c r="N150" s="1455">
        <f t="shared" si="178"/>
        <v>83.789999999999992</v>
      </c>
      <c r="O150" s="1455">
        <f t="shared" si="178"/>
        <v>82.74499999999999</v>
      </c>
      <c r="P150" s="521">
        <f t="shared" si="178"/>
        <v>84.075000000000003</v>
      </c>
      <c r="Q150" s="521">
        <f t="shared" si="178"/>
        <v>79.039999999999992</v>
      </c>
      <c r="R150" s="521">
        <f t="shared" si="178"/>
        <v>78.849999999999994</v>
      </c>
      <c r="S150" s="1455">
        <f t="shared" si="178"/>
        <v>79.894999999999996</v>
      </c>
      <c r="T150" s="1455">
        <f t="shared" si="178"/>
        <v>78.849999999999994</v>
      </c>
      <c r="U150" s="1455">
        <f>$C$150*U$149</f>
        <v>78.754999999999995</v>
      </c>
      <c r="V150" s="501"/>
      <c r="W150" s="503"/>
      <c r="X150" s="500"/>
      <c r="Y150" s="501"/>
      <c r="Z150" s="501"/>
      <c r="AA150" s="502"/>
      <c r="AB150" s="500"/>
      <c r="AC150" s="501"/>
      <c r="AD150" s="501"/>
      <c r="AE150" s="501"/>
      <c r="AF150" s="501"/>
      <c r="AG150" s="502"/>
      <c r="AH150" s="500"/>
      <c r="AI150" s="501"/>
      <c r="AJ150" s="501"/>
      <c r="AK150" s="501"/>
      <c r="AL150" s="501"/>
      <c r="AM150" s="501"/>
      <c r="AN150" s="501"/>
      <c r="AO150" s="504"/>
      <c r="AP150" s="501"/>
      <c r="AQ150" s="501"/>
      <c r="AR150" s="501"/>
      <c r="AS150" s="502"/>
      <c r="AT150" s="500"/>
      <c r="AU150" s="501"/>
      <c r="AV150" s="501"/>
      <c r="AW150" s="501"/>
      <c r="AX150" s="501"/>
      <c r="AY150" s="502"/>
      <c r="AZ150" s="500"/>
      <c r="BA150" s="501"/>
      <c r="BB150" s="501"/>
      <c r="BC150" s="501"/>
      <c r="BD150" s="501"/>
      <c r="BE150" s="501"/>
      <c r="BF150" s="501"/>
      <c r="BG150" s="504"/>
      <c r="BH150" s="501"/>
      <c r="BI150" s="501"/>
      <c r="BJ150" s="501"/>
      <c r="BK150" s="502"/>
      <c r="BL150" s="500"/>
      <c r="BM150" s="501"/>
      <c r="BN150" s="501"/>
      <c r="BO150" s="501"/>
      <c r="BP150" s="501"/>
      <c r="BQ150" s="502"/>
      <c r="BR150" s="500"/>
      <c r="BS150" s="501"/>
      <c r="BT150" s="501"/>
      <c r="BU150" s="501"/>
      <c r="BV150" s="501"/>
      <c r="BW150" s="501"/>
      <c r="BX150" s="501"/>
      <c r="BY150" s="504"/>
      <c r="BZ150" s="505"/>
      <c r="CA150" s="501"/>
      <c r="CB150" s="501"/>
      <c r="CC150" s="501"/>
      <c r="CD150" s="502"/>
      <c r="CE150" s="500"/>
      <c r="CF150" s="501"/>
      <c r="CG150" s="501"/>
      <c r="CH150" s="501"/>
      <c r="CI150" s="501"/>
      <c r="CJ150" s="502"/>
      <c r="CK150" s="500"/>
      <c r="CL150" s="501"/>
      <c r="CM150" s="501"/>
      <c r="CN150" s="501"/>
      <c r="CO150" s="501"/>
      <c r="CP150" s="501"/>
      <c r="CQ150" s="501"/>
      <c r="CR150" s="504"/>
      <c r="CS150" s="501"/>
      <c r="CT150" s="501"/>
      <c r="CU150" s="501"/>
      <c r="CV150" s="502"/>
      <c r="CW150" s="500"/>
      <c r="CX150" s="501"/>
      <c r="CY150" s="501"/>
      <c r="CZ150" s="501"/>
      <c r="DA150" s="501"/>
      <c r="DB150" s="502"/>
      <c r="DC150" s="500"/>
      <c r="DD150" s="501"/>
      <c r="DE150" s="501"/>
      <c r="DF150" s="501"/>
      <c r="DG150" s="501"/>
      <c r="DH150" s="501"/>
      <c r="DI150" s="501"/>
    </row>
    <row r="151" spans="3:113" ht="15.75" thickTop="1" x14ac:dyDescent="0.25">
      <c r="C151" s="598"/>
      <c r="D151" s="598"/>
      <c r="E151" s="598"/>
      <c r="F151" s="384"/>
      <c r="G151" s="383"/>
      <c r="H151" s="383"/>
      <c r="I151" s="1335"/>
      <c r="J151" s="384"/>
      <c r="K151" s="383"/>
      <c r="L151" s="383"/>
      <c r="M151" s="383"/>
      <c r="N151" s="1416"/>
      <c r="O151" s="1335"/>
      <c r="P151" s="384"/>
      <c r="Q151" s="383"/>
      <c r="R151" s="383"/>
      <c r="S151" s="1416"/>
      <c r="T151" s="1416"/>
      <c r="U151" s="1416"/>
      <c r="V151" s="234"/>
      <c r="W151" s="468"/>
      <c r="X151" s="352"/>
      <c r="Y151" s="234"/>
      <c r="Z151" s="234"/>
      <c r="AA151" s="235"/>
      <c r="AB151" s="352"/>
      <c r="AC151" s="234"/>
      <c r="AD151" s="234"/>
      <c r="AE151" s="234"/>
      <c r="AF151" s="234"/>
      <c r="AG151" s="235"/>
      <c r="AH151" s="352"/>
      <c r="AI151" s="234"/>
      <c r="AJ151" s="234"/>
      <c r="AK151" s="234"/>
      <c r="AL151" s="234"/>
      <c r="AM151" s="234"/>
      <c r="AN151" s="234"/>
      <c r="AO151" s="486"/>
      <c r="AP151" s="234"/>
      <c r="AQ151" s="234"/>
      <c r="AR151" s="234"/>
      <c r="AS151" s="235"/>
      <c r="AT151" s="352"/>
      <c r="AU151" s="234"/>
      <c r="AV151" s="234"/>
      <c r="AW151" s="234"/>
      <c r="AX151" s="234"/>
      <c r="AY151" s="235"/>
      <c r="AZ151" s="352"/>
      <c r="BA151" s="234"/>
      <c r="BB151" s="234"/>
      <c r="BC151" s="234"/>
      <c r="BD151" s="234"/>
      <c r="BE151" s="234"/>
      <c r="BF151" s="234"/>
      <c r="BG151" s="486"/>
      <c r="BH151" s="234"/>
      <c r="BI151" s="234"/>
      <c r="BJ151" s="234"/>
      <c r="BK151" s="235"/>
      <c r="BL151" s="352"/>
      <c r="BM151" s="234"/>
      <c r="BN151" s="234"/>
      <c r="BO151" s="234"/>
      <c r="BP151" s="234"/>
      <c r="BQ151" s="235"/>
      <c r="BR151" s="352"/>
      <c r="BS151" s="234"/>
      <c r="BT151" s="234"/>
      <c r="BU151" s="234"/>
      <c r="BV151" s="234"/>
      <c r="BW151" s="234"/>
      <c r="BX151" s="234"/>
      <c r="BY151" s="486"/>
      <c r="BZ151" s="488"/>
      <c r="CA151" s="234"/>
      <c r="CB151" s="234"/>
      <c r="CC151" s="234"/>
      <c r="CD151" s="235"/>
      <c r="CE151" s="352"/>
      <c r="CF151" s="234"/>
      <c r="CG151" s="234"/>
      <c r="CH151" s="234"/>
      <c r="CI151" s="234"/>
      <c r="CJ151" s="235"/>
      <c r="CK151" s="352"/>
      <c r="CL151" s="234"/>
      <c r="CM151" s="234"/>
      <c r="CN151" s="234"/>
      <c r="CO151" s="234"/>
      <c r="CP151" s="234"/>
      <c r="CQ151" s="234"/>
      <c r="CR151" s="486"/>
      <c r="CS151" s="234"/>
      <c r="CT151" s="234"/>
      <c r="CU151" s="234"/>
      <c r="CV151" s="235"/>
      <c r="CW151" s="352"/>
      <c r="CX151" s="234"/>
      <c r="CY151" s="234"/>
      <c r="CZ151" s="234"/>
      <c r="DA151" s="234"/>
      <c r="DB151" s="235"/>
      <c r="DC151" s="352"/>
      <c r="DD151" s="234"/>
      <c r="DE151" s="234"/>
      <c r="DF151" s="234"/>
      <c r="DG151" s="234"/>
      <c r="DH151" s="234"/>
      <c r="DI151" s="234"/>
    </row>
    <row r="152" spans="3:113" x14ac:dyDescent="0.25">
      <c r="C152" s="1" t="s">
        <v>307</v>
      </c>
      <c r="F152" s="833">
        <f>((F$88-(AP$88))/F$88)*100</f>
        <v>82.393196663352413</v>
      </c>
      <c r="G152" s="261">
        <f t="shared" ref="G152:T152" si="179">((G$88-(AQ$88))/G$88)*100</f>
        <v>83.745417317250343</v>
      </c>
      <c r="H152" s="261">
        <f t="shared" si="179"/>
        <v>83.673356241923699</v>
      </c>
      <c r="I152" s="612">
        <f t="shared" si="179"/>
        <v>84.120775648935904</v>
      </c>
      <c r="J152" s="833">
        <f t="shared" si="179"/>
        <v>96.437785995494835</v>
      </c>
      <c r="K152" s="261">
        <f t="shared" si="179"/>
        <v>95.098931432876725</v>
      </c>
      <c r="L152" s="261">
        <f t="shared" si="179"/>
        <v>93.544451041530891</v>
      </c>
      <c r="M152" s="261">
        <f t="shared" si="179"/>
        <v>94.195798984056921</v>
      </c>
      <c r="N152" s="261">
        <f t="shared" si="179"/>
        <v>92.583861588607917</v>
      </c>
      <c r="O152" s="612">
        <f t="shared" si="179"/>
        <v>92.564441410955297</v>
      </c>
      <c r="P152" s="833">
        <f t="shared" si="179"/>
        <v>96.170295347279151</v>
      </c>
      <c r="Q152" s="261">
        <f t="shared" si="179"/>
        <v>94.569944887125672</v>
      </c>
      <c r="R152" s="261">
        <f t="shared" si="179"/>
        <v>91.338075818996401</v>
      </c>
      <c r="S152" s="261">
        <f t="shared" si="179"/>
        <v>93.785761888483108</v>
      </c>
      <c r="T152" s="261">
        <f t="shared" si="179"/>
        <v>88.734090659631264</v>
      </c>
      <c r="U152" s="612">
        <f>((U$88-(BE$88))/U$88)*100</f>
        <v>91.726677632133274</v>
      </c>
      <c r="V152" s="261" t="e">
        <f t="shared" ref="V152" si="180">((V$88-(AN$88+BF$88))/V$88)*100</f>
        <v>#DIV/0!</v>
      </c>
      <c r="X152" s="320">
        <v>95.93</v>
      </c>
      <c r="CE152" s="348" t="s">
        <v>222</v>
      </c>
      <c r="CW152" s="348" t="s">
        <v>218</v>
      </c>
    </row>
    <row r="153" spans="3:113" x14ac:dyDescent="0.25">
      <c r="C153" s="637" t="s">
        <v>308</v>
      </c>
      <c r="D153" s="637"/>
      <c r="E153" s="637"/>
      <c r="F153" s="640">
        <v>92</v>
      </c>
      <c r="G153" s="641">
        <v>88.5</v>
      </c>
      <c r="H153" s="641">
        <v>86.2</v>
      </c>
      <c r="I153" s="1337">
        <v>85.2</v>
      </c>
      <c r="J153" s="640">
        <v>98.5</v>
      </c>
      <c r="K153" s="641">
        <v>98.2</v>
      </c>
      <c r="L153" s="641">
        <v>98</v>
      </c>
      <c r="M153" s="641">
        <v>97.8</v>
      </c>
      <c r="N153" s="1418">
        <v>97.6</v>
      </c>
      <c r="O153" s="1337">
        <v>97.4</v>
      </c>
      <c r="P153" s="640">
        <v>97</v>
      </c>
      <c r="Q153" s="641">
        <v>94.4</v>
      </c>
      <c r="R153" s="641">
        <v>94</v>
      </c>
      <c r="S153" s="1418">
        <v>95</v>
      </c>
      <c r="T153" s="1418">
        <v>94.5</v>
      </c>
      <c r="U153" s="1418">
        <v>93.9</v>
      </c>
      <c r="CE153" s="348"/>
      <c r="CW153" s="348"/>
    </row>
    <row r="154" spans="3:113" ht="15.75" thickBot="1" x14ac:dyDescent="0.3">
      <c r="C154" s="167">
        <v>0.95</v>
      </c>
      <c r="D154" s="167"/>
      <c r="E154" s="167"/>
      <c r="F154" s="388">
        <f>$C$154*F$153</f>
        <v>87.399999999999991</v>
      </c>
      <c r="G154" s="387">
        <f t="shared" ref="G154:T154" si="181">$C$154*G$153</f>
        <v>84.075000000000003</v>
      </c>
      <c r="H154" s="387">
        <f t="shared" si="181"/>
        <v>81.89</v>
      </c>
      <c r="I154" s="1336">
        <f t="shared" si="181"/>
        <v>80.94</v>
      </c>
      <c r="J154" s="388">
        <f t="shared" si="181"/>
        <v>93.574999999999989</v>
      </c>
      <c r="K154" s="387">
        <f t="shared" si="181"/>
        <v>93.289999999999992</v>
      </c>
      <c r="L154" s="387">
        <f t="shared" si="181"/>
        <v>93.1</v>
      </c>
      <c r="M154" s="387">
        <f t="shared" si="181"/>
        <v>92.91</v>
      </c>
      <c r="N154" s="1417">
        <f t="shared" si="181"/>
        <v>92.719999999999985</v>
      </c>
      <c r="O154" s="1336">
        <f t="shared" si="181"/>
        <v>92.53</v>
      </c>
      <c r="P154" s="388">
        <f t="shared" si="181"/>
        <v>92.149999999999991</v>
      </c>
      <c r="Q154" s="387">
        <f t="shared" si="181"/>
        <v>89.68</v>
      </c>
      <c r="R154" s="387">
        <f t="shared" si="181"/>
        <v>89.3</v>
      </c>
      <c r="S154" s="1417">
        <f t="shared" si="181"/>
        <v>90.25</v>
      </c>
      <c r="T154" s="1417">
        <f t="shared" si="181"/>
        <v>89.774999999999991</v>
      </c>
      <c r="U154" s="1417">
        <f>$C$154*U$153</f>
        <v>89.204999999999998</v>
      </c>
      <c r="V154" s="228"/>
      <c r="W154" s="476"/>
      <c r="X154" s="353"/>
      <c r="Y154" s="228"/>
      <c r="Z154" s="228"/>
      <c r="AA154" s="229"/>
      <c r="AB154" s="353"/>
      <c r="AC154" s="228"/>
      <c r="AD154" s="228"/>
      <c r="AE154" s="228"/>
      <c r="AF154" s="228"/>
      <c r="AG154" s="229"/>
      <c r="AH154" s="353"/>
      <c r="AI154" s="228"/>
      <c r="AJ154" s="228"/>
      <c r="AK154" s="228"/>
      <c r="AL154" s="228"/>
      <c r="AM154" s="228"/>
      <c r="AN154" s="228"/>
      <c r="AO154" s="463"/>
      <c r="AP154" s="228"/>
      <c r="AQ154" s="228"/>
      <c r="AR154" s="228"/>
      <c r="AS154" s="229"/>
      <c r="AT154" s="353"/>
      <c r="AU154" s="228"/>
      <c r="AV154" s="228"/>
      <c r="AW154" s="228"/>
      <c r="AX154" s="228"/>
      <c r="AY154" s="229"/>
      <c r="AZ154" s="353"/>
      <c r="BA154" s="228"/>
      <c r="BB154" s="228"/>
      <c r="BC154" s="228"/>
      <c r="BD154" s="228"/>
      <c r="BE154" s="228"/>
      <c r="BF154" s="228"/>
      <c r="BG154" s="463"/>
      <c r="BH154" s="228"/>
      <c r="BI154" s="228"/>
      <c r="BJ154" s="228"/>
      <c r="BK154" s="229"/>
      <c r="BL154" s="353"/>
      <c r="BM154" s="228"/>
      <c r="BN154" s="228"/>
      <c r="BO154" s="228"/>
      <c r="BP154" s="228"/>
      <c r="BQ154" s="229"/>
      <c r="BR154" s="353"/>
      <c r="BS154" s="228"/>
      <c r="BT154" s="228"/>
      <c r="BU154" s="228"/>
      <c r="BV154" s="228"/>
      <c r="BW154" s="228"/>
      <c r="BX154" s="228"/>
      <c r="BY154" s="463"/>
      <c r="BZ154" s="464"/>
      <c r="CA154" s="228"/>
      <c r="CB154" s="228"/>
      <c r="CC154" s="228"/>
      <c r="CD154" s="229"/>
      <c r="CE154" s="738"/>
      <c r="CF154" s="228"/>
      <c r="CG154" s="228"/>
      <c r="CH154" s="228"/>
      <c r="CI154" s="228"/>
      <c r="CJ154" s="229"/>
      <c r="CK154" s="353"/>
      <c r="CL154" s="228"/>
      <c r="CM154" s="228"/>
      <c r="CN154" s="228"/>
      <c r="CO154" s="228"/>
      <c r="CP154" s="228"/>
      <c r="CQ154" s="228"/>
      <c r="CR154" s="463"/>
      <c r="CS154" s="228"/>
      <c r="CT154" s="228"/>
      <c r="CU154" s="228"/>
      <c r="CV154" s="229"/>
      <c r="CW154" s="738"/>
      <c r="CX154" s="228"/>
      <c r="CY154" s="228"/>
      <c r="CZ154" s="228"/>
      <c r="DA154" s="228"/>
      <c r="DB154" s="229"/>
      <c r="DC154" s="353"/>
      <c r="DD154" s="228"/>
      <c r="DE154" s="228"/>
      <c r="DF154" s="228"/>
      <c r="DG154" s="228"/>
      <c r="DH154" s="228"/>
      <c r="DI154" s="228"/>
    </row>
    <row r="155" spans="3:113" s="528" customFormat="1" ht="15.75" thickTop="1" x14ac:dyDescent="0.25">
      <c r="C155" s="600"/>
      <c r="D155" s="600"/>
      <c r="E155" s="600"/>
      <c r="F155" s="517"/>
      <c r="G155" s="511"/>
      <c r="H155" s="511"/>
      <c r="I155" s="1376"/>
      <c r="J155" s="517"/>
      <c r="K155" s="511"/>
      <c r="L155" s="511"/>
      <c r="M155" s="511"/>
      <c r="N155" s="1456"/>
      <c r="O155" s="1376"/>
      <c r="P155" s="517"/>
      <c r="Q155" s="511"/>
      <c r="R155" s="511"/>
      <c r="S155" s="1456"/>
      <c r="T155" s="1456"/>
      <c r="U155" s="1456"/>
      <c r="V155" s="466"/>
      <c r="W155" s="480"/>
      <c r="X155" s="481"/>
      <c r="Y155" s="466"/>
      <c r="Z155" s="466"/>
      <c r="AA155" s="519"/>
      <c r="AB155" s="481"/>
      <c r="AC155" s="466"/>
      <c r="AD155" s="466"/>
      <c r="AE155" s="466"/>
      <c r="AF155" s="466"/>
      <c r="AG155" s="519"/>
      <c r="AH155" s="481"/>
      <c r="AI155" s="466"/>
      <c r="AJ155" s="466"/>
      <c r="AK155" s="466"/>
      <c r="AL155" s="466"/>
      <c r="AM155" s="466"/>
      <c r="AN155" s="466"/>
      <c r="AO155" s="482"/>
      <c r="AP155" s="466"/>
      <c r="AQ155" s="466"/>
      <c r="AR155" s="466"/>
      <c r="AS155" s="519"/>
      <c r="AT155" s="481"/>
      <c r="AU155" s="466"/>
      <c r="AV155" s="466"/>
      <c r="AW155" s="466"/>
      <c r="AX155" s="466"/>
      <c r="AY155" s="519"/>
      <c r="AZ155" s="481"/>
      <c r="BA155" s="466"/>
      <c r="BB155" s="466"/>
      <c r="BC155" s="466"/>
      <c r="BD155" s="466"/>
      <c r="BE155" s="466"/>
      <c r="BF155" s="466"/>
      <c r="BG155" s="482"/>
      <c r="BH155" s="466"/>
      <c r="BI155" s="466"/>
      <c r="BJ155" s="466"/>
      <c r="BK155" s="519"/>
      <c r="BL155" s="481"/>
      <c r="BM155" s="466"/>
      <c r="BN155" s="466"/>
      <c r="BO155" s="466"/>
      <c r="BP155" s="466"/>
      <c r="BQ155" s="519"/>
      <c r="BR155" s="481"/>
      <c r="BS155" s="466"/>
      <c r="BT155" s="466"/>
      <c r="BU155" s="466"/>
      <c r="BV155" s="466"/>
      <c r="BW155" s="466"/>
      <c r="BX155" s="466"/>
      <c r="BY155" s="482"/>
      <c r="BZ155" s="485"/>
      <c r="CA155" s="466"/>
      <c r="CB155" s="466"/>
      <c r="CC155" s="466"/>
      <c r="CD155" s="519"/>
      <c r="CE155" s="739"/>
      <c r="CF155" s="466"/>
      <c r="CG155" s="466"/>
      <c r="CH155" s="466"/>
      <c r="CI155" s="466"/>
      <c r="CJ155" s="519"/>
      <c r="CK155" s="481"/>
      <c r="CL155" s="466"/>
      <c r="CM155" s="466"/>
      <c r="CN155" s="466"/>
      <c r="CO155" s="466"/>
      <c r="CP155" s="466"/>
      <c r="CQ155" s="466"/>
      <c r="CR155" s="482"/>
      <c r="CS155" s="466"/>
      <c r="CT155" s="466"/>
      <c r="CU155" s="466"/>
      <c r="CV155" s="519"/>
      <c r="CW155" s="739"/>
      <c r="CX155" s="466"/>
      <c r="CY155" s="466"/>
      <c r="CZ155" s="466"/>
      <c r="DA155" s="466"/>
      <c r="DB155" s="519"/>
      <c r="DC155" s="481"/>
      <c r="DD155" s="466"/>
      <c r="DE155" s="466"/>
      <c r="DF155" s="466"/>
      <c r="DG155" s="466"/>
      <c r="DH155" s="466"/>
      <c r="DI155" s="466"/>
    </row>
    <row r="156" spans="3:113" x14ac:dyDescent="0.25">
      <c r="C156" s="1" t="s">
        <v>305</v>
      </c>
      <c r="F156" s="328">
        <f>F$148*F$85/100</f>
        <v>1.2404152340425531E-2</v>
      </c>
      <c r="G156" s="263">
        <f t="shared" ref="G156:V156" si="182">G$148*G$85/100</f>
        <v>1.2649490000000001E-2</v>
      </c>
      <c r="H156" s="263">
        <f t="shared" si="182"/>
        <v>1.2654132925531919E-2</v>
      </c>
      <c r="I156" s="1359">
        <f t="shared" si="182"/>
        <v>1.2788503225806451E-2</v>
      </c>
      <c r="J156" s="328">
        <f t="shared" si="182"/>
        <v>1.6100425096000005E-2</v>
      </c>
      <c r="K156" s="263">
        <f t="shared" si="182"/>
        <v>1.7450018840579708E-2</v>
      </c>
      <c r="L156" s="263">
        <f t="shared" si="182"/>
        <v>1.8471478260869565E-2</v>
      </c>
      <c r="M156" s="263">
        <f t="shared" si="182"/>
        <v>1.7302262173913049E-2</v>
      </c>
      <c r="N156" s="1441">
        <f t="shared" si="182"/>
        <v>1.6588149528985505E-2</v>
      </c>
      <c r="O156" s="1359">
        <f t="shared" si="182"/>
        <v>1.6987603152173913E-2</v>
      </c>
      <c r="P156" s="328">
        <f t="shared" si="182"/>
        <v>2.7936896666666669E-2</v>
      </c>
      <c r="Q156" s="263">
        <f t="shared" si="182"/>
        <v>2.7151514347826092E-2</v>
      </c>
      <c r="R156" s="263">
        <f t="shared" si="182"/>
        <v>2.6729121304347823E-2</v>
      </c>
      <c r="S156" s="1441">
        <f t="shared" si="182"/>
        <v>2.661791057971015E-2</v>
      </c>
      <c r="T156" s="1441">
        <f t="shared" si="182"/>
        <v>2.3558313382352938E-2</v>
      </c>
      <c r="U156" s="1441">
        <f t="shared" si="182"/>
        <v>2.5983749230769231E-2</v>
      </c>
      <c r="V156" s="256" t="e">
        <f t="shared" si="182"/>
        <v>#DIV/0!</v>
      </c>
      <c r="CA156" s="263">
        <f>SUM(CA124:CA129)</f>
        <v>1.6715022827748554</v>
      </c>
      <c r="CB156" s="263">
        <f t="shared" ref="CB156:CP156" si="183">SUM(CB124:CB133)</f>
        <v>11.856143676216858</v>
      </c>
      <c r="CC156" s="263">
        <f t="shared" si="183"/>
        <v>7.6739271407620713</v>
      </c>
      <c r="CD156" s="242">
        <f t="shared" si="183"/>
        <v>6.1712742791392721</v>
      </c>
      <c r="CE156" s="328">
        <f t="shared" si="183"/>
        <v>9.2329806671283805</v>
      </c>
      <c r="CF156" s="263">
        <f t="shared" si="183"/>
        <v>7.3202832474808224</v>
      </c>
      <c r="CG156" s="263">
        <f t="shared" si="183"/>
        <v>7.5677746432437836</v>
      </c>
      <c r="CH156" s="263">
        <f t="shared" si="183"/>
        <v>7.4124285241498775</v>
      </c>
      <c r="CI156" s="263">
        <f t="shared" si="183"/>
        <v>7.8371193169971569</v>
      </c>
      <c r="CJ156" s="242">
        <f t="shared" si="183"/>
        <v>7.9655237525060141</v>
      </c>
      <c r="CK156" s="328">
        <f t="shared" si="183"/>
        <v>8.4009896564482034</v>
      </c>
      <c r="CL156" s="263">
        <f t="shared" si="183"/>
        <v>8.0878859532716909</v>
      </c>
      <c r="CM156" s="263">
        <f t="shared" si="183"/>
        <v>8.0202194322191431</v>
      </c>
      <c r="CN156" s="263">
        <f t="shared" si="183"/>
        <v>8.2273974951358007</v>
      </c>
      <c r="CO156" s="263">
        <f t="shared" si="183"/>
        <v>8.5344355378160106</v>
      </c>
      <c r="CP156" s="263">
        <f t="shared" si="183"/>
        <v>8.1543304256275668</v>
      </c>
      <c r="CQ156" s="263"/>
      <c r="CR156" s="422"/>
      <c r="CS156" s="263">
        <f t="shared" ref="CS156:CY156" si="184">SUM(CS124:CS133)</f>
        <v>3.1761313774634883</v>
      </c>
      <c r="CT156" s="263">
        <f t="shared" si="184"/>
        <v>0.43930631598746078</v>
      </c>
      <c r="CU156" s="263">
        <f t="shared" si="184"/>
        <v>0.69933868132001664</v>
      </c>
      <c r="CV156" s="242">
        <f t="shared" si="184"/>
        <v>1.9348632403659954E-2</v>
      </c>
      <c r="CW156" s="328">
        <f t="shared" si="184"/>
        <v>1.3428205392943064</v>
      </c>
      <c r="CX156" s="263">
        <f t="shared" si="184"/>
        <v>1.3983058813475573</v>
      </c>
      <c r="CY156" s="263">
        <f t="shared" si="184"/>
        <v>1.2252865283356822</v>
      </c>
      <c r="CZ156" s="263">
        <f t="shared" ref="CZ156:DH156" si="185">SUM(CZ124:CZ146)</f>
        <v>1.0172376282714879</v>
      </c>
      <c r="DA156" s="263">
        <f t="shared" si="185"/>
        <v>0.58745105332798719</v>
      </c>
      <c r="DB156" s="242">
        <f t="shared" si="185"/>
        <v>2.1662073481405878E-3</v>
      </c>
      <c r="DC156" s="328">
        <f t="shared" si="185"/>
        <v>1.1413923024349348</v>
      </c>
      <c r="DD156" s="263">
        <f t="shared" si="185"/>
        <v>2.685080733253749</v>
      </c>
      <c r="DE156" s="263">
        <f t="shared" si="185"/>
        <v>2.7040257793198625</v>
      </c>
      <c r="DF156" s="263">
        <f t="shared" si="185"/>
        <v>1.4303978441441276</v>
      </c>
      <c r="DG156" s="263">
        <f t="shared" si="185"/>
        <v>0.56174180164587528</v>
      </c>
      <c r="DH156" s="263">
        <f t="shared" si="185"/>
        <v>1.375204712957852</v>
      </c>
    </row>
    <row r="157" spans="3:113" x14ac:dyDescent="0.25">
      <c r="C157" s="1" t="s">
        <v>306</v>
      </c>
      <c r="F157" s="322">
        <f t="shared" ref="F157:V157" si="186">F$152*F$88/100</f>
        <v>5.4354076595744684E-2</v>
      </c>
      <c r="G157" s="261">
        <f t="shared" si="186"/>
        <v>5.3444395000000006E-2</v>
      </c>
      <c r="H157" s="261">
        <f t="shared" si="186"/>
        <v>5.2489815257092204E-2</v>
      </c>
      <c r="I157" s="1337">
        <f t="shared" si="186"/>
        <v>5.2807966021505365E-2</v>
      </c>
      <c r="J157" s="322">
        <f t="shared" si="186"/>
        <v>4.4386736456000005E-2</v>
      </c>
      <c r="K157" s="261">
        <f t="shared" si="186"/>
        <v>4.9021024927536239E-2</v>
      </c>
      <c r="L157" s="261">
        <f t="shared" si="186"/>
        <v>5.2534617391304342E-2</v>
      </c>
      <c r="M157" s="261">
        <f t="shared" si="186"/>
        <v>4.9094208260869562E-2</v>
      </c>
      <c r="N157" s="1418">
        <f t="shared" si="186"/>
        <v>4.7931769710144921E-2</v>
      </c>
      <c r="O157" s="1337">
        <f t="shared" si="186"/>
        <v>4.8566195978260868E-2</v>
      </c>
      <c r="P157" s="322">
        <f t="shared" si="186"/>
        <v>8.5648303333333328E-2</v>
      </c>
      <c r="Q157" s="261">
        <f t="shared" si="186"/>
        <v>8.4638719130434761E-2</v>
      </c>
      <c r="R157" s="261">
        <f t="shared" si="186"/>
        <v>8.581826173913043E-2</v>
      </c>
      <c r="S157" s="1418">
        <f t="shared" si="186"/>
        <v>8.4211703550724618E-2</v>
      </c>
      <c r="T157" s="1418">
        <f t="shared" si="186"/>
        <v>7.7263634411764703E-2</v>
      </c>
      <c r="U157" s="1418">
        <f t="shared" si="186"/>
        <v>8.1588960549450557E-2</v>
      </c>
      <c r="V157" s="261" t="e">
        <f t="shared" si="186"/>
        <v>#DIV/0!</v>
      </c>
    </row>
    <row r="158" spans="3:113" ht="15.6" customHeight="1" x14ac:dyDescent="0.25">
      <c r="C158" s="1" t="s">
        <v>311</v>
      </c>
      <c r="F158" s="1281">
        <f t="shared" ref="F158" si="187">F156+F157</f>
        <v>6.6758228936170214E-2</v>
      </c>
      <c r="G158" s="261">
        <f t="shared" ref="G158:U158" si="188">G156+G157</f>
        <v>6.6093885000000005E-2</v>
      </c>
      <c r="H158" s="261">
        <f t="shared" si="188"/>
        <v>6.5143948182624117E-2</v>
      </c>
      <c r="I158" s="1337">
        <f t="shared" si="188"/>
        <v>6.5596469247311814E-2</v>
      </c>
      <c r="J158" s="322">
        <f t="shared" si="188"/>
        <v>6.0487161552000013E-2</v>
      </c>
      <c r="K158" s="261">
        <f t="shared" si="188"/>
        <v>6.6471043768115939E-2</v>
      </c>
      <c r="L158" s="261">
        <f t="shared" si="188"/>
        <v>7.1006095652173903E-2</v>
      </c>
      <c r="M158" s="261">
        <f t="shared" si="188"/>
        <v>6.6396470434782612E-2</v>
      </c>
      <c r="N158" s="1418">
        <f t="shared" si="188"/>
        <v>6.4519919239130419E-2</v>
      </c>
      <c r="O158" s="1337">
        <f t="shared" si="188"/>
        <v>6.5553799130434784E-2</v>
      </c>
      <c r="P158" s="322">
        <f t="shared" si="188"/>
        <v>0.1135852</v>
      </c>
      <c r="Q158" s="261">
        <f t="shared" si="188"/>
        <v>0.11179023347826085</v>
      </c>
      <c r="R158" s="261">
        <f t="shared" si="188"/>
        <v>0.11254738304347825</v>
      </c>
      <c r="S158" s="1418">
        <f t="shared" si="188"/>
        <v>0.11082961413043477</v>
      </c>
      <c r="T158" s="1418">
        <f t="shared" si="188"/>
        <v>0.10082194779411764</v>
      </c>
      <c r="U158" s="1418">
        <f t="shared" si="188"/>
        <v>0.10757270978021979</v>
      </c>
      <c r="V158" s="261" t="e">
        <f t="shared" ref="V158" si="189">V156+V157</f>
        <v>#DIV/0!</v>
      </c>
    </row>
    <row r="159" spans="3:113" ht="15.6" customHeight="1" x14ac:dyDescent="0.25">
      <c r="C159" s="1" t="s">
        <v>854</v>
      </c>
      <c r="F159" s="322">
        <f>F$158*24</f>
        <v>1.602197494468085</v>
      </c>
      <c r="G159" s="261">
        <f>G$158*24</f>
        <v>1.58625324</v>
      </c>
      <c r="H159" s="261">
        <f>H$158*24</f>
        <v>1.5634547563829788</v>
      </c>
      <c r="I159" s="1337">
        <f>I$158*24</f>
        <v>1.5743152619354834</v>
      </c>
      <c r="J159" s="310">
        <f t="shared" ref="J159:V159" si="190">J$158*24</f>
        <v>1.4516918772480003</v>
      </c>
      <c r="K159" s="310">
        <f t="shared" si="190"/>
        <v>1.5953050504347825</v>
      </c>
      <c r="L159" s="310">
        <f t="shared" si="190"/>
        <v>1.7041462956521736</v>
      </c>
      <c r="M159" s="310">
        <f t="shared" si="190"/>
        <v>1.5935152904347827</v>
      </c>
      <c r="N159" s="1337">
        <f t="shared" si="190"/>
        <v>1.5484780617391301</v>
      </c>
      <c r="O159" s="1337">
        <f t="shared" si="190"/>
        <v>1.5732911791304347</v>
      </c>
      <c r="P159" s="310">
        <f t="shared" si="190"/>
        <v>2.7260447999999999</v>
      </c>
      <c r="Q159" s="310">
        <f t="shared" si="190"/>
        <v>2.6829656034782605</v>
      </c>
      <c r="R159" s="310">
        <f t="shared" si="190"/>
        <v>2.7011371930434782</v>
      </c>
      <c r="S159" s="1337">
        <f t="shared" si="190"/>
        <v>2.6599107391304342</v>
      </c>
      <c r="T159" s="1337">
        <f t="shared" si="190"/>
        <v>2.4197267470588235</v>
      </c>
      <c r="U159" s="1337">
        <f t="shared" si="190"/>
        <v>2.5817450347252748</v>
      </c>
      <c r="V159" s="310" t="e">
        <f t="shared" si="190"/>
        <v>#DIV/0!</v>
      </c>
    </row>
    <row r="160" spans="3:113" ht="15.6" customHeight="1" x14ac:dyDescent="0.25">
      <c r="C160" s="1" t="s">
        <v>856</v>
      </c>
      <c r="F160" s="322">
        <f>F159</f>
        <v>1.602197494468085</v>
      </c>
      <c r="G160" s="261">
        <f>F160+G159</f>
        <v>3.188450734468085</v>
      </c>
      <c r="H160" s="261">
        <f t="shared" ref="H160:V160" si="191">G160+H159</f>
        <v>4.7519054908510636</v>
      </c>
      <c r="I160" s="261">
        <f t="shared" si="191"/>
        <v>6.3262207527865471</v>
      </c>
      <c r="J160" s="261">
        <f t="shared" si="191"/>
        <v>7.7779126300345478</v>
      </c>
      <c r="K160" s="261">
        <f t="shared" si="191"/>
        <v>9.373217680469331</v>
      </c>
      <c r="L160" s="261">
        <f t="shared" si="191"/>
        <v>11.077363976121504</v>
      </c>
      <c r="M160" s="261">
        <f t="shared" si="191"/>
        <v>12.670879266556286</v>
      </c>
      <c r="N160" s="261">
        <f t="shared" si="191"/>
        <v>14.219357328295416</v>
      </c>
      <c r="O160" s="261">
        <f t="shared" si="191"/>
        <v>15.79264850742585</v>
      </c>
      <c r="P160" s="261">
        <f t="shared" si="191"/>
        <v>18.518693307425849</v>
      </c>
      <c r="Q160" s="261">
        <f t="shared" si="191"/>
        <v>21.201658910904108</v>
      </c>
      <c r="R160" s="261">
        <f t="shared" si="191"/>
        <v>23.902796103947587</v>
      </c>
      <c r="S160" s="261">
        <f t="shared" si="191"/>
        <v>26.562706843078022</v>
      </c>
      <c r="T160" s="261">
        <f t="shared" si="191"/>
        <v>28.982433590136846</v>
      </c>
      <c r="U160" s="261">
        <f t="shared" si="191"/>
        <v>31.564178624862123</v>
      </c>
      <c r="V160" s="261" t="e">
        <f t="shared" si="191"/>
        <v>#DIV/0!</v>
      </c>
    </row>
    <row r="161" spans="3:113" ht="15.6" customHeight="1" x14ac:dyDescent="0.25">
      <c r="C161" s="1" t="s">
        <v>417</v>
      </c>
      <c r="F161" s="322">
        <v>172.26</v>
      </c>
      <c r="G161" s="261">
        <v>172.26</v>
      </c>
      <c r="H161" s="255">
        <v>172.26</v>
      </c>
      <c r="I161" s="1377">
        <v>172.26</v>
      </c>
      <c r="J161" s="322">
        <v>172.26</v>
      </c>
      <c r="K161" s="255">
        <v>172.26</v>
      </c>
      <c r="L161" s="255">
        <v>172.26</v>
      </c>
      <c r="M161" s="261">
        <v>172.26</v>
      </c>
      <c r="N161" s="1418">
        <v>172.26</v>
      </c>
      <c r="O161" s="1337">
        <v>172.26</v>
      </c>
      <c r="P161" s="322">
        <v>172.26</v>
      </c>
      <c r="Q161" s="255">
        <v>172.26</v>
      </c>
      <c r="R161" s="261">
        <v>172.26</v>
      </c>
      <c r="S161" s="1418">
        <v>172.26</v>
      </c>
      <c r="T161" s="1460">
        <v>172.26</v>
      </c>
      <c r="U161" s="1418">
        <v>172.26</v>
      </c>
      <c r="V161" s="261">
        <v>172.26</v>
      </c>
    </row>
    <row r="162" spans="3:113" ht="15.6" customHeight="1" x14ac:dyDescent="0.25">
      <c r="C162" s="1" t="s">
        <v>855</v>
      </c>
      <c r="F162" s="1018">
        <f>F160*100/F161</f>
        <v>0.93010419973765535</v>
      </c>
      <c r="G162" s="261">
        <f t="shared" ref="G162:V162" si="192">G160*100/G161</f>
        <v>1.8509524755997244</v>
      </c>
      <c r="H162" s="261">
        <f t="shared" si="192"/>
        <v>2.7585658254098826</v>
      </c>
      <c r="I162" s="1019">
        <f t="shared" si="192"/>
        <v>3.6724838922480831</v>
      </c>
      <c r="J162" s="1018">
        <f t="shared" si="192"/>
        <v>4.5152168988938515</v>
      </c>
      <c r="K162" s="261">
        <f t="shared" si="192"/>
        <v>5.4413199120337463</v>
      </c>
      <c r="L162" s="261">
        <f t="shared" si="192"/>
        <v>6.4306072077798113</v>
      </c>
      <c r="M162" s="261">
        <f t="shared" si="192"/>
        <v>7.3556712333427878</v>
      </c>
      <c r="N162" s="261">
        <f t="shared" si="192"/>
        <v>8.2545903449990803</v>
      </c>
      <c r="O162" s="1019">
        <f t="shared" si="192"/>
        <v>9.1679139135178502</v>
      </c>
      <c r="P162" s="1018">
        <f t="shared" si="192"/>
        <v>10.750431503207855</v>
      </c>
      <c r="Q162" s="261">
        <f t="shared" si="192"/>
        <v>12.307940851563977</v>
      </c>
      <c r="R162" s="261">
        <f t="shared" si="192"/>
        <v>13.875999131514911</v>
      </c>
      <c r="S162" s="261">
        <f t="shared" si="192"/>
        <v>15.420124720235703</v>
      </c>
      <c r="T162" s="261">
        <f t="shared" si="192"/>
        <v>16.824819221024526</v>
      </c>
      <c r="U162" s="261">
        <f t="shared" si="192"/>
        <v>18.323568225276979</v>
      </c>
      <c r="V162" s="1019" t="e">
        <f t="shared" si="192"/>
        <v>#DIV/0!</v>
      </c>
      <c r="W162" s="476"/>
      <c r="X162" s="353"/>
      <c r="Y162" s="228"/>
      <c r="Z162" s="228"/>
      <c r="AA162" s="229"/>
      <c r="AB162" s="353"/>
      <c r="AC162" s="228" t="s">
        <v>884</v>
      </c>
      <c r="AD162" s="228" t="s">
        <v>840</v>
      </c>
      <c r="AE162" s="228" t="s">
        <v>841</v>
      </c>
      <c r="AF162" s="228"/>
      <c r="AG162" s="229"/>
      <c r="AH162" s="353"/>
      <c r="AI162" s="228"/>
      <c r="AJ162" s="228"/>
      <c r="AK162" s="228"/>
      <c r="AL162" s="228"/>
      <c r="AM162" s="228"/>
      <c r="AN162" s="228"/>
      <c r="AO162" s="463"/>
      <c r="AP162" s="228"/>
      <c r="AQ162" s="228"/>
      <c r="AR162" s="228"/>
      <c r="AS162" s="229"/>
      <c r="AT162" s="353"/>
      <c r="AU162" s="228"/>
      <c r="AV162" s="228"/>
      <c r="AW162" s="228"/>
      <c r="AX162" s="228"/>
      <c r="AY162" s="229"/>
      <c r="AZ162" s="353"/>
      <c r="BA162" s="228"/>
      <c r="BB162" s="228"/>
      <c r="BC162" s="228"/>
      <c r="BD162" s="228"/>
      <c r="BE162" s="228"/>
      <c r="BF162" s="228"/>
      <c r="BG162" s="463"/>
      <c r="BH162" s="228"/>
      <c r="BI162" s="228"/>
      <c r="BJ162" s="228"/>
      <c r="BK162" s="229"/>
      <c r="BL162" s="353"/>
      <c r="BM162" s="228"/>
      <c r="BN162" s="228"/>
      <c r="BO162" s="228"/>
      <c r="BP162" s="228"/>
      <c r="BQ162" s="229"/>
      <c r="BR162" s="353"/>
      <c r="BS162" s="228"/>
      <c r="BT162" s="228"/>
      <c r="BU162" s="228"/>
      <c r="BV162" s="228"/>
      <c r="BW162" s="228"/>
      <c r="BX162" s="228"/>
      <c r="BY162" s="463"/>
      <c r="BZ162" s="464"/>
      <c r="CA162" s="228"/>
      <c r="CB162" s="228"/>
      <c r="CC162" s="228"/>
      <c r="CD162" s="229"/>
      <c r="CE162" s="353"/>
      <c r="CF162" s="228"/>
      <c r="CG162" s="228"/>
      <c r="CH162" s="228"/>
      <c r="CI162" s="228"/>
      <c r="CJ162" s="229"/>
      <c r="CK162" s="353"/>
      <c r="CL162" s="228"/>
      <c r="CM162" s="228"/>
      <c r="CN162" s="228"/>
      <c r="CO162" s="228"/>
      <c r="CP162" s="228"/>
      <c r="CQ162" s="228"/>
      <c r="CR162" s="463"/>
      <c r="CS162" s="228"/>
      <c r="CT162" s="228"/>
      <c r="CU162" s="228"/>
      <c r="CV162" s="229"/>
      <c r="CW162" s="353"/>
      <c r="CX162" s="228"/>
      <c r="CY162" s="228"/>
      <c r="CZ162" s="228"/>
      <c r="DA162" s="228"/>
      <c r="DB162" s="229"/>
      <c r="DC162" s="353"/>
      <c r="DD162" s="228"/>
      <c r="DE162" s="228"/>
      <c r="DF162" s="228"/>
      <c r="DG162" s="228"/>
      <c r="DH162" s="228"/>
      <c r="DI162" s="228"/>
    </row>
    <row r="163" spans="3:113" ht="15.6" customHeight="1" x14ac:dyDescent="0.25">
      <c r="C163" s="1" t="s">
        <v>304</v>
      </c>
      <c r="F163" s="1014">
        <f>100*F$158/(F$85+F$88)</f>
        <v>78.072269550409914</v>
      </c>
      <c r="G163" s="1015">
        <f t="shared" ref="G163:V163" si="193">100*G$158/(G$85+G$88)</f>
        <v>79.901132240931815</v>
      </c>
      <c r="H163" s="1015">
        <f t="shared" si="193"/>
        <v>80.115950339524659</v>
      </c>
      <c r="I163" s="1336">
        <f t="shared" si="193"/>
        <v>80.61522293225029</v>
      </c>
      <c r="J163" s="1014">
        <f t="shared" si="193"/>
        <v>94.111229621789718</v>
      </c>
      <c r="K163" s="1015">
        <f t="shared" si="193"/>
        <v>92.344274622059316</v>
      </c>
      <c r="L163" s="1015">
        <f t="shared" si="193"/>
        <v>90.542465472241489</v>
      </c>
      <c r="M163" s="1015">
        <f t="shared" si="193"/>
        <v>91.228491345592857</v>
      </c>
      <c r="N163" s="1417">
        <f t="shared" si="193"/>
        <v>89.246227622741543</v>
      </c>
      <c r="O163" s="1336">
        <f t="shared" si="193"/>
        <v>89.473039000423952</v>
      </c>
      <c r="P163" s="1014">
        <f t="shared" si="193"/>
        <v>94.066807730052702</v>
      </c>
      <c r="Q163" s="1015">
        <f t="shared" si="193"/>
        <v>92.125612856891621</v>
      </c>
      <c r="R163" s="1015">
        <f t="shared" si="193"/>
        <v>88.348670633282524</v>
      </c>
      <c r="S163" s="1417">
        <f t="shared" si="193"/>
        <v>91.035913042577661</v>
      </c>
      <c r="T163" s="1417">
        <f t="shared" si="193"/>
        <v>85.400994196023262</v>
      </c>
      <c r="U163" s="1417">
        <f t="shared" si="193"/>
        <v>89.198765796827644</v>
      </c>
      <c r="V163" s="1015" t="e">
        <f t="shared" si="193"/>
        <v>#DIV/0!</v>
      </c>
      <c r="W163" s="476"/>
      <c r="X163" s="353"/>
      <c r="Y163" s="515"/>
      <c r="Z163" s="228"/>
      <c r="AA163" s="229"/>
      <c r="AB163" s="353" t="s">
        <v>56</v>
      </c>
      <c r="AC163" s="1505">
        <f>AVERAGE(H163:I163)</f>
        <v>80.365586635887468</v>
      </c>
      <c r="AD163" s="1505">
        <f>AVERAGE(M163:O163)</f>
        <v>89.982585989586127</v>
      </c>
      <c r="AE163" s="1505">
        <f>AVERAGE(R163:T163)</f>
        <v>88.261859290627811</v>
      </c>
      <c r="AF163" s="228"/>
      <c r="AG163" s="229"/>
      <c r="AH163" s="353"/>
      <c r="AI163" s="228"/>
      <c r="AJ163" s="228"/>
      <c r="AK163" s="228"/>
      <c r="AL163" s="228"/>
      <c r="AM163" s="228"/>
      <c r="AN163" s="228"/>
      <c r="AO163" s="463"/>
      <c r="AP163" s="515"/>
      <c r="AQ163" s="228"/>
      <c r="AR163" s="228"/>
      <c r="AS163" s="229"/>
      <c r="AT163" s="353"/>
      <c r="AU163" s="228"/>
      <c r="AV163" s="228"/>
      <c r="AW163" s="228"/>
      <c r="AX163" s="228"/>
      <c r="AY163" s="229"/>
      <c r="AZ163" s="353"/>
      <c r="BA163" s="228"/>
      <c r="BB163" s="228"/>
      <c r="BC163" s="228"/>
      <c r="BD163" s="228"/>
      <c r="BE163" s="228"/>
      <c r="BF163" s="228"/>
      <c r="BG163" s="463"/>
      <c r="BH163" s="228"/>
      <c r="BI163" s="228"/>
      <c r="BJ163" s="228"/>
      <c r="BK163" s="229"/>
      <c r="BL163" s="353"/>
      <c r="BM163" s="228"/>
      <c r="BN163" s="228"/>
      <c r="BO163" s="228"/>
      <c r="BP163" s="228"/>
      <c r="BQ163" s="229"/>
      <c r="BR163" s="353"/>
      <c r="BS163" s="228"/>
      <c r="BT163" s="228"/>
      <c r="BU163" s="228"/>
      <c r="BV163" s="228"/>
      <c r="BW163" s="228"/>
      <c r="BX163" s="228"/>
      <c r="BY163" s="463"/>
      <c r="BZ163" s="464"/>
      <c r="CA163" s="228"/>
      <c r="CB163" s="228"/>
      <c r="CC163" s="228"/>
      <c r="CD163" s="229"/>
      <c r="CE163" s="353"/>
      <c r="CF163" s="228"/>
      <c r="CG163" s="228"/>
      <c r="CH163" s="228"/>
      <c r="CI163" s="228"/>
      <c r="CJ163" s="229"/>
      <c r="CK163" s="353"/>
      <c r="CL163" s="228"/>
      <c r="CM163" s="228"/>
      <c r="CN163" s="228"/>
      <c r="CO163" s="228"/>
      <c r="CP163" s="228"/>
      <c r="CQ163" s="228"/>
      <c r="CR163" s="463"/>
      <c r="CS163" s="228"/>
      <c r="CT163" s="228"/>
      <c r="CU163" s="228"/>
      <c r="CV163" s="229"/>
      <c r="CW163" s="353"/>
      <c r="CX163" s="228"/>
      <c r="CY163" s="228"/>
      <c r="CZ163" s="228"/>
      <c r="DA163" s="228"/>
      <c r="DB163" s="229"/>
      <c r="DC163" s="353"/>
      <c r="DD163" s="228"/>
      <c r="DE163" s="228"/>
      <c r="DF163" s="228"/>
      <c r="DG163" s="228"/>
      <c r="DH163" s="228"/>
      <c r="DI163" s="228"/>
    </row>
    <row r="164" spans="3:113" s="227" customFormat="1" ht="15.6" customHeight="1" x14ac:dyDescent="0.25">
      <c r="C164" s="1016" t="s">
        <v>632</v>
      </c>
      <c r="D164" s="1017">
        <v>0.65</v>
      </c>
      <c r="E164" s="1017"/>
      <c r="F164" s="833">
        <f>24*F158*$D$164</f>
        <v>1.0414283714042554</v>
      </c>
      <c r="G164" s="261">
        <f t="shared" ref="G164:U164" si="194">24*G158*$D$164</f>
        <v>1.0310646059999999</v>
      </c>
      <c r="H164" s="261">
        <f t="shared" si="194"/>
        <v>1.0162455916489364</v>
      </c>
      <c r="I164" s="1022">
        <f t="shared" si="194"/>
        <v>1.0233049202580642</v>
      </c>
      <c r="J164" s="833">
        <f t="shared" si="194"/>
        <v>0.9435997202112002</v>
      </c>
      <c r="K164" s="261">
        <f t="shared" si="194"/>
        <v>1.0369482827826086</v>
      </c>
      <c r="L164" s="261">
        <f t="shared" si="194"/>
        <v>1.1076950921739128</v>
      </c>
      <c r="M164" s="261">
        <f t="shared" si="194"/>
        <v>1.0357849387826088</v>
      </c>
      <c r="N164" s="1418">
        <f t="shared" si="194"/>
        <v>1.0065107401304345</v>
      </c>
      <c r="O164" s="1022">
        <f t="shared" si="194"/>
        <v>1.0226392664347825</v>
      </c>
      <c r="P164" s="833">
        <f t="shared" si="194"/>
        <v>1.77192912</v>
      </c>
      <c r="Q164" s="261">
        <f t="shared" si="194"/>
        <v>1.7439276422608694</v>
      </c>
      <c r="R164" s="261">
        <f t="shared" si="194"/>
        <v>1.755739175478261</v>
      </c>
      <c r="S164" s="1418">
        <f t="shared" si="194"/>
        <v>1.7289419804347823</v>
      </c>
      <c r="T164" s="1418">
        <f t="shared" si="194"/>
        <v>1.5728223855882353</v>
      </c>
      <c r="U164" s="1418">
        <f t="shared" si="194"/>
        <v>1.6781342725714288</v>
      </c>
      <c r="V164" s="761" t="e">
        <f t="shared" ref="V164" si="195">24*(V158+V184)*$D$164</f>
        <v>#DIV/0!</v>
      </c>
      <c r="W164" s="444"/>
      <c r="X164" s="320"/>
      <c r="Y164" s="241"/>
      <c r="Z164" s="241"/>
      <c r="AA164" s="240"/>
      <c r="AB164" s="320"/>
      <c r="AC164" s="674">
        <f>AVERAGE(H179:I179)</f>
        <v>81.849999999999994</v>
      </c>
      <c r="AD164" s="674">
        <f>AVERAGE(M179:O179)</f>
        <v>95.033333333333346</v>
      </c>
      <c r="AE164" s="674">
        <f>AVERAGE(R179:T179)</f>
        <v>91.333333333333329</v>
      </c>
      <c r="AF164" s="241"/>
      <c r="AG164" s="240"/>
      <c r="AH164" s="320"/>
      <c r="AI164" s="241"/>
      <c r="AJ164" s="241"/>
      <c r="AK164" s="241"/>
      <c r="AL164" s="241"/>
      <c r="AM164" s="241"/>
      <c r="AN164" s="241"/>
      <c r="AO164" s="419"/>
      <c r="AP164" s="279"/>
      <c r="AQ164" s="241"/>
      <c r="AR164" s="241"/>
      <c r="AS164" s="240"/>
      <c r="AT164" s="320"/>
      <c r="AU164" s="241"/>
      <c r="AV164" s="241"/>
      <c r="AW164" s="241"/>
      <c r="AX164" s="241"/>
      <c r="AY164" s="240"/>
      <c r="AZ164" s="320"/>
      <c r="BA164" s="241"/>
      <c r="BB164" s="241"/>
      <c r="BC164" s="241"/>
      <c r="BD164" s="241"/>
      <c r="BE164" s="241"/>
      <c r="BF164" s="241"/>
      <c r="BG164" s="419"/>
      <c r="BH164" s="241"/>
      <c r="BI164" s="241"/>
      <c r="BJ164" s="241"/>
      <c r="BK164" s="240"/>
      <c r="BL164" s="320"/>
      <c r="BM164" s="241"/>
      <c r="BN164" s="241"/>
      <c r="BO164" s="241"/>
      <c r="BP164" s="241"/>
      <c r="BQ164" s="240"/>
      <c r="BR164" s="320"/>
      <c r="BS164" s="241"/>
      <c r="BT164" s="241"/>
      <c r="BU164" s="241"/>
      <c r="BV164" s="241"/>
      <c r="BW164" s="241"/>
      <c r="BX164" s="241"/>
      <c r="BY164" s="419"/>
      <c r="BZ164" s="250"/>
      <c r="CA164" s="241"/>
      <c r="CB164" s="241"/>
      <c r="CC164" s="241"/>
      <c r="CD164" s="240"/>
      <c r="CE164" s="320"/>
      <c r="CF164" s="241"/>
      <c r="CG164" s="241"/>
      <c r="CH164" s="241"/>
      <c r="CI164" s="241"/>
      <c r="CJ164" s="240"/>
      <c r="CK164" s="320"/>
      <c r="CL164" s="241"/>
      <c r="CM164" s="241"/>
      <c r="CN164" s="241"/>
      <c r="CO164" s="241"/>
      <c r="CP164" s="241"/>
      <c r="CQ164" s="241"/>
      <c r="CR164" s="419"/>
      <c r="CS164" s="241"/>
      <c r="CT164" s="241"/>
      <c r="CU164" s="241"/>
      <c r="CV164" s="240"/>
      <c r="CW164" s="320"/>
      <c r="CX164" s="241"/>
      <c r="CY164" s="241"/>
      <c r="CZ164" s="241"/>
      <c r="DA164" s="241"/>
      <c r="DB164" s="240"/>
      <c r="DC164" s="320"/>
      <c r="DD164" s="241"/>
      <c r="DE164" s="241"/>
      <c r="DF164" s="241"/>
      <c r="DG164" s="241"/>
      <c r="DH164" s="241"/>
      <c r="DI164" s="241"/>
    </row>
    <row r="165" spans="3:113" ht="15.6" customHeight="1" x14ac:dyDescent="0.25">
      <c r="C165" s="163" t="s">
        <v>633</v>
      </c>
      <c r="D165" s="601"/>
      <c r="E165" s="601"/>
      <c r="F165" s="833">
        <f>F164</f>
        <v>1.0414283714042554</v>
      </c>
      <c r="G165" s="261">
        <f>F$165+G$164</f>
        <v>2.0724929774042553</v>
      </c>
      <c r="H165" s="261">
        <f t="shared" ref="H165:I165" si="196">G$165+H$164</f>
        <v>3.0887385690531914</v>
      </c>
      <c r="I165" s="1022">
        <f t="shared" si="196"/>
        <v>4.1120434893112554</v>
      </c>
      <c r="J165" s="833">
        <f>I$165+J$164</f>
        <v>5.0556432095224553</v>
      </c>
      <c r="K165" s="261">
        <f t="shared" ref="K165:U165" si="197">J$165+K$164</f>
        <v>6.0925914923050639</v>
      </c>
      <c r="L165" s="261">
        <f t="shared" si="197"/>
        <v>7.2002865844789765</v>
      </c>
      <c r="M165" s="261">
        <f t="shared" si="197"/>
        <v>8.236071523261586</v>
      </c>
      <c r="N165" s="1418">
        <f t="shared" si="197"/>
        <v>9.2425822633920198</v>
      </c>
      <c r="O165" s="1022">
        <f t="shared" si="197"/>
        <v>10.265221529826803</v>
      </c>
      <c r="P165" s="833">
        <f t="shared" si="197"/>
        <v>12.037150649826803</v>
      </c>
      <c r="Q165" s="261">
        <f t="shared" si="197"/>
        <v>13.781078292087672</v>
      </c>
      <c r="R165" s="261">
        <f t="shared" si="197"/>
        <v>15.536817467565934</v>
      </c>
      <c r="S165" s="1418">
        <f t="shared" si="197"/>
        <v>17.265759448000715</v>
      </c>
      <c r="T165" s="1418">
        <f t="shared" si="197"/>
        <v>18.83858183358895</v>
      </c>
      <c r="U165" s="1022">
        <f t="shared" si="197"/>
        <v>20.516716106160381</v>
      </c>
      <c r="V165" s="612"/>
      <c r="AP165" s="279"/>
    </row>
    <row r="166" spans="3:113" ht="15.6" customHeight="1" x14ac:dyDescent="0.25">
      <c r="C166" s="163" t="s">
        <v>631</v>
      </c>
      <c r="D166" s="601"/>
      <c r="E166" s="601"/>
      <c r="F166" s="833">
        <v>53.049300000000002</v>
      </c>
      <c r="G166" s="261">
        <v>53.049300000000002</v>
      </c>
      <c r="H166" s="261">
        <v>53.049300000000002</v>
      </c>
      <c r="I166" s="1022">
        <v>53.049300000000002</v>
      </c>
      <c r="J166" s="833">
        <v>53.049300000000002</v>
      </c>
      <c r="K166" s="261">
        <v>53.049300000000002</v>
      </c>
      <c r="L166" s="261">
        <v>53.049300000000002</v>
      </c>
      <c r="M166" s="261">
        <v>53.049300000000002</v>
      </c>
      <c r="N166" s="1418">
        <v>53.049300000000002</v>
      </c>
      <c r="O166" s="1022">
        <v>53.049300000000002</v>
      </c>
      <c r="P166" s="833">
        <v>53.049300000000002</v>
      </c>
      <c r="Q166" s="261">
        <v>53.049300000000002</v>
      </c>
      <c r="R166" s="261">
        <v>53.049300000000002</v>
      </c>
      <c r="S166" s="1418">
        <v>53.049300000000002</v>
      </c>
      <c r="T166" s="1418">
        <v>53.049300000000002</v>
      </c>
      <c r="U166" s="1022">
        <v>53.049300000000002</v>
      </c>
      <c r="V166" s="612"/>
      <c r="AP166" s="279"/>
    </row>
    <row r="167" spans="3:113" ht="15.6" customHeight="1" x14ac:dyDescent="0.25">
      <c r="C167" s="163" t="s">
        <v>637</v>
      </c>
      <c r="D167" s="601"/>
      <c r="E167" s="601"/>
      <c r="F167" s="1021">
        <f>F165*100/F166</f>
        <v>1.9631331071366735</v>
      </c>
      <c r="G167" s="261">
        <f t="shared" ref="G167:U167" si="198">G165*100/G166</f>
        <v>3.9067301121866929</v>
      </c>
      <c r="H167" s="261">
        <f t="shared" si="198"/>
        <v>5.8223926970821314</v>
      </c>
      <c r="I167" s="1022">
        <f t="shared" si="198"/>
        <v>7.7513623917964143</v>
      </c>
      <c r="J167" s="833">
        <f t="shared" si="198"/>
        <v>9.5300846750521782</v>
      </c>
      <c r="K167" s="261">
        <f t="shared" si="198"/>
        <v>11.484772640364838</v>
      </c>
      <c r="L167" s="261">
        <f t="shared" si="198"/>
        <v>13.572821101275562</v>
      </c>
      <c r="M167" s="261">
        <f t="shared" si="198"/>
        <v>15.525316117765145</v>
      </c>
      <c r="N167" s="1418">
        <f t="shared" si="198"/>
        <v>17.42262812778306</v>
      </c>
      <c r="O167" s="1022">
        <f t="shared" si="198"/>
        <v>19.350343039072719</v>
      </c>
      <c r="P167" s="833">
        <f t="shared" si="198"/>
        <v>22.690498554791116</v>
      </c>
      <c r="Q167" s="261">
        <f t="shared" si="198"/>
        <v>25.977870192608897</v>
      </c>
      <c r="R167" s="261">
        <f t="shared" si="198"/>
        <v>29.287507031319798</v>
      </c>
      <c r="S167" s="1418">
        <f t="shared" si="198"/>
        <v>32.546630111991512</v>
      </c>
      <c r="T167" s="1418">
        <f t="shared" si="198"/>
        <v>35.511461666014348</v>
      </c>
      <c r="U167" s="1022">
        <f t="shared" si="198"/>
        <v>38.674810235310133</v>
      </c>
      <c r="V167" s="612" t="e">
        <f t="shared" ref="V167" si="199">(U$164+V$164)*100/V$161</f>
        <v>#DIV/0!</v>
      </c>
      <c r="AP167" s="279"/>
    </row>
    <row r="168" spans="3:113" ht="17.100000000000001" customHeight="1" x14ac:dyDescent="0.25">
      <c r="C168" s="163" t="s">
        <v>616</v>
      </c>
      <c r="D168" s="601"/>
      <c r="E168" s="601"/>
      <c r="F168" s="1018"/>
      <c r="G168" s="261"/>
      <c r="H168" s="261"/>
      <c r="I168" s="1378">
        <v>4.3</v>
      </c>
      <c r="J168" s="1018"/>
      <c r="K168" s="261"/>
      <c r="L168" s="261"/>
      <c r="M168" s="261"/>
      <c r="N168" s="1418"/>
      <c r="O168" s="1378">
        <v>17</v>
      </c>
      <c r="P168" s="1018"/>
      <c r="Q168" s="261"/>
      <c r="R168" s="261"/>
      <c r="S168" s="1418"/>
      <c r="T168" s="1418">
        <v>29.8</v>
      </c>
      <c r="U168" s="1378">
        <v>31</v>
      </c>
      <c r="V168" s="1019"/>
      <c r="W168" s="476"/>
      <c r="X168" s="353"/>
      <c r="Y168" s="228"/>
      <c r="Z168" s="228"/>
      <c r="AA168" s="229"/>
      <c r="AB168" s="353"/>
      <c r="AC168" s="228"/>
      <c r="AD168" s="228"/>
      <c r="AE168" s="228"/>
      <c r="AF168" s="228"/>
      <c r="AG168" s="229"/>
      <c r="AH168" s="353"/>
      <c r="AI168" s="228"/>
      <c r="AJ168" s="228"/>
      <c r="AK168" s="228"/>
      <c r="AL168" s="228"/>
      <c r="AM168" s="228"/>
      <c r="AN168" s="228"/>
      <c r="AO168" s="463"/>
      <c r="AP168" s="515"/>
      <c r="AQ168" s="228"/>
      <c r="AR168" s="228"/>
      <c r="AS168" s="229"/>
      <c r="AT168" s="353"/>
      <c r="AU168" s="228"/>
      <c r="AV168" s="228"/>
      <c r="AW168" s="228"/>
      <c r="AX168" s="228"/>
      <c r="AY168" s="229"/>
      <c r="AZ168" s="353"/>
      <c r="BA168" s="228"/>
      <c r="BB168" s="228"/>
      <c r="BC168" s="228"/>
      <c r="BD168" s="228"/>
      <c r="BE168" s="228"/>
      <c r="BF168" s="228"/>
      <c r="BG168" s="463"/>
      <c r="BH168" s="228"/>
      <c r="BI168" s="228"/>
      <c r="BJ168" s="228"/>
      <c r="BK168" s="229"/>
      <c r="BL168" s="353"/>
      <c r="BM168" s="228"/>
      <c r="BN168" s="228"/>
      <c r="BO168" s="228"/>
      <c r="BP168" s="228"/>
      <c r="BQ168" s="229"/>
      <c r="BR168" s="353"/>
      <c r="BS168" s="228"/>
      <c r="BT168" s="228"/>
      <c r="BU168" s="228"/>
      <c r="BV168" s="228"/>
      <c r="BW168" s="228"/>
      <c r="BX168" s="228"/>
      <c r="BY168" s="463"/>
      <c r="BZ168" s="464"/>
      <c r="CA168" s="228"/>
      <c r="CB168" s="228"/>
      <c r="CC168" s="228"/>
      <c r="CD168" s="229"/>
      <c r="CE168" s="353"/>
      <c r="CF168" s="228"/>
      <c r="CG168" s="228"/>
      <c r="CH168" s="228"/>
      <c r="CI168" s="228"/>
      <c r="CJ168" s="229"/>
      <c r="CK168" s="353"/>
      <c r="CL168" s="228"/>
      <c r="CM168" s="228"/>
      <c r="CN168" s="228"/>
      <c r="CO168" s="228"/>
      <c r="CP168" s="228"/>
      <c r="CQ168" s="228"/>
      <c r="CR168" s="463"/>
      <c r="CS168" s="228"/>
      <c r="CT168" s="228"/>
      <c r="CU168" s="228"/>
      <c r="CV168" s="229"/>
      <c r="CW168" s="353"/>
      <c r="CX168" s="228"/>
      <c r="CY168" s="228"/>
      <c r="CZ168" s="228"/>
      <c r="DA168" s="228"/>
      <c r="DB168" s="229"/>
      <c r="DC168" s="353"/>
      <c r="DD168" s="228"/>
      <c r="DE168" s="228"/>
      <c r="DF168" s="228"/>
      <c r="DG168" s="228"/>
      <c r="DH168" s="228"/>
      <c r="DI168" s="228"/>
    </row>
    <row r="169" spans="3:113" s="227" customFormat="1" ht="15.6" customHeight="1" x14ac:dyDescent="0.25">
      <c r="C169" s="1016" t="s">
        <v>634</v>
      </c>
      <c r="D169" s="1017">
        <v>0.25</v>
      </c>
      <c r="E169" s="1017">
        <v>0.7</v>
      </c>
      <c r="F169" s="833">
        <f>F158*24*$D$169</f>
        <v>0.40054937361702125</v>
      </c>
      <c r="G169" s="261">
        <f t="shared" ref="G169:U169" si="200">G158*24*$D$169</f>
        <v>0.39656331</v>
      </c>
      <c r="H169" s="261">
        <f t="shared" si="200"/>
        <v>0.3908636890957447</v>
      </c>
      <c r="I169" s="1022">
        <f t="shared" si="200"/>
        <v>0.39357881548387086</v>
      </c>
      <c r="J169" s="833">
        <f t="shared" si="200"/>
        <v>0.36292296931200008</v>
      </c>
      <c r="K169" s="261">
        <f t="shared" si="200"/>
        <v>0.39882626260869564</v>
      </c>
      <c r="L169" s="261">
        <f t="shared" si="200"/>
        <v>0.42603657391304339</v>
      </c>
      <c r="M169" s="261">
        <f t="shared" si="200"/>
        <v>0.39837882260869567</v>
      </c>
      <c r="N169" s="1418">
        <f t="shared" si="200"/>
        <v>0.38711951543478251</v>
      </c>
      <c r="O169" s="1022">
        <f t="shared" si="200"/>
        <v>0.39332279478260868</v>
      </c>
      <c r="P169" s="833">
        <f t="shared" si="200"/>
        <v>0.68151119999999998</v>
      </c>
      <c r="Q169" s="261">
        <f t="shared" si="200"/>
        <v>0.67074140086956513</v>
      </c>
      <c r="R169" s="261">
        <f t="shared" si="200"/>
        <v>0.67528429826086955</v>
      </c>
      <c r="S169" s="1418">
        <f t="shared" si="200"/>
        <v>0.66497768478260855</v>
      </c>
      <c r="T169" s="1418">
        <f t="shared" si="200"/>
        <v>0.60493168676470588</v>
      </c>
      <c r="U169" s="1022">
        <f t="shared" si="200"/>
        <v>0.64543625868131871</v>
      </c>
      <c r="V169" s="612">
        <f t="shared" ref="V169" si="201">24*($D$169*(V$83+V$86)+$E$169*(V$84+V$87))</f>
        <v>0</v>
      </c>
      <c r="W169" s="444"/>
      <c r="X169" s="320"/>
      <c r="Y169" s="241"/>
      <c r="Z169" s="241"/>
      <c r="AA169" s="240"/>
      <c r="AB169" s="320"/>
      <c r="AC169" s="241"/>
      <c r="AD169" s="241"/>
      <c r="AE169" s="241"/>
      <c r="AF169" s="241"/>
      <c r="AG169" s="240"/>
      <c r="AH169" s="320"/>
      <c r="AI169" s="241"/>
      <c r="AJ169" s="241"/>
      <c r="AK169" s="241"/>
      <c r="AL169" s="241"/>
      <c r="AM169" s="241"/>
      <c r="AN169" s="241"/>
      <c r="AO169" s="419"/>
      <c r="AP169" s="279"/>
      <c r="AQ169" s="241"/>
      <c r="AR169" s="241"/>
      <c r="AS169" s="240"/>
      <c r="AT169" s="320"/>
      <c r="AU169" s="241"/>
      <c r="AV169" s="241"/>
      <c r="AW169" s="241"/>
      <c r="AX169" s="241"/>
      <c r="AY169" s="240"/>
      <c r="AZ169" s="320"/>
      <c r="BA169" s="241"/>
      <c r="BB169" s="241"/>
      <c r="BC169" s="241"/>
      <c r="BD169" s="241"/>
      <c r="BE169" s="241"/>
      <c r="BF169" s="241"/>
      <c r="BG169" s="419"/>
      <c r="BH169" s="241"/>
      <c r="BI169" s="241"/>
      <c r="BJ169" s="241"/>
      <c r="BK169" s="240"/>
      <c r="BL169" s="320"/>
      <c r="BM169" s="241"/>
      <c r="BN169" s="241"/>
      <c r="BO169" s="241"/>
      <c r="BP169" s="241"/>
      <c r="BQ169" s="240"/>
      <c r="BR169" s="320"/>
      <c r="BS169" s="241"/>
      <c r="BT169" s="241"/>
      <c r="BU169" s="241"/>
      <c r="BV169" s="241"/>
      <c r="BW169" s="241"/>
      <c r="BX169" s="241"/>
      <c r="BY169" s="419"/>
      <c r="BZ169" s="250"/>
      <c r="CA169" s="241"/>
      <c r="CB169" s="241"/>
      <c r="CC169" s="241"/>
      <c r="CD169" s="240"/>
      <c r="CE169" s="320"/>
      <c r="CF169" s="241"/>
      <c r="CG169" s="241"/>
      <c r="CH169" s="241"/>
      <c r="CI169" s="241"/>
      <c r="CJ169" s="240"/>
      <c r="CK169" s="320"/>
      <c r="CL169" s="241"/>
      <c r="CM169" s="241"/>
      <c r="CN169" s="241"/>
      <c r="CO169" s="241"/>
      <c r="CP169" s="241"/>
      <c r="CQ169" s="241"/>
      <c r="CR169" s="419"/>
      <c r="CS169" s="241"/>
      <c r="CT169" s="241"/>
      <c r="CU169" s="241"/>
      <c r="CV169" s="240"/>
      <c r="CW169" s="320"/>
      <c r="CX169" s="241"/>
      <c r="CY169" s="241"/>
      <c r="CZ169" s="241"/>
      <c r="DA169" s="241"/>
      <c r="DB169" s="240"/>
      <c r="DC169" s="320"/>
      <c r="DD169" s="241"/>
      <c r="DE169" s="241"/>
      <c r="DF169" s="241"/>
      <c r="DG169" s="241"/>
      <c r="DH169" s="241"/>
      <c r="DI169" s="241"/>
    </row>
    <row r="170" spans="3:113" ht="15.6" customHeight="1" x14ac:dyDescent="0.25">
      <c r="C170" s="163" t="s">
        <v>633</v>
      </c>
      <c r="D170" s="601"/>
      <c r="E170" s="601"/>
      <c r="F170" s="833">
        <f>F169</f>
        <v>0.40054937361702125</v>
      </c>
      <c r="G170" s="261">
        <f>F$170+G$169</f>
        <v>0.79711268361702126</v>
      </c>
      <c r="H170" s="261">
        <f t="shared" ref="H170:I170" si="202">G$170+H$169</f>
        <v>1.1879763727127659</v>
      </c>
      <c r="I170" s="1022">
        <f t="shared" si="202"/>
        <v>1.5815551881966368</v>
      </c>
      <c r="J170" s="833">
        <f>I$170+J$169</f>
        <v>1.944478157508637</v>
      </c>
      <c r="K170" s="261">
        <f t="shared" ref="K170:U170" si="203">J$170+K$169</f>
        <v>2.3433044201173328</v>
      </c>
      <c r="L170" s="261">
        <f t="shared" si="203"/>
        <v>2.7693409940303759</v>
      </c>
      <c r="M170" s="261">
        <f t="shared" si="203"/>
        <v>3.1677198166390714</v>
      </c>
      <c r="N170" s="1418">
        <f t="shared" si="203"/>
        <v>3.5548393320738541</v>
      </c>
      <c r="O170" s="1022">
        <f t="shared" si="203"/>
        <v>3.9481621268564626</v>
      </c>
      <c r="P170" s="833">
        <f t="shared" si="203"/>
        <v>4.6296733268564623</v>
      </c>
      <c r="Q170" s="261">
        <f t="shared" si="203"/>
        <v>5.300414727726027</v>
      </c>
      <c r="R170" s="261">
        <f t="shared" si="203"/>
        <v>5.9756990259868967</v>
      </c>
      <c r="S170" s="1418">
        <f t="shared" si="203"/>
        <v>6.6406767107695055</v>
      </c>
      <c r="T170" s="1418">
        <f t="shared" si="203"/>
        <v>7.2456083975342116</v>
      </c>
      <c r="U170" s="1022">
        <f t="shared" si="203"/>
        <v>7.8910446562155308</v>
      </c>
      <c r="V170" s="612"/>
      <c r="AP170" s="279"/>
    </row>
    <row r="171" spans="3:113" ht="15.6" customHeight="1" x14ac:dyDescent="0.25">
      <c r="C171" s="163" t="s">
        <v>636</v>
      </c>
      <c r="D171" s="601"/>
      <c r="E171" s="601"/>
      <c r="F171" s="833">
        <v>59.604900000000001</v>
      </c>
      <c r="G171" s="261">
        <v>59.604900000000001</v>
      </c>
      <c r="H171" s="261">
        <v>59.604900000000001</v>
      </c>
      <c r="I171" s="1022">
        <v>59.604900000000001</v>
      </c>
      <c r="J171" s="833">
        <v>59.604900000000001</v>
      </c>
      <c r="K171" s="261">
        <v>59.604900000000001</v>
      </c>
      <c r="L171" s="261">
        <v>59.604900000000001</v>
      </c>
      <c r="M171" s="261">
        <v>59.604900000000001</v>
      </c>
      <c r="N171" s="1418">
        <v>59.604900000000001</v>
      </c>
      <c r="O171" s="1022">
        <v>59.604900000000001</v>
      </c>
      <c r="P171" s="833">
        <v>59.604900000000001</v>
      </c>
      <c r="Q171" s="261">
        <v>59.604900000000001</v>
      </c>
      <c r="R171" s="261">
        <v>59.604900000000001</v>
      </c>
      <c r="S171" s="1418">
        <v>59.604900000000001</v>
      </c>
      <c r="T171" s="1418">
        <v>59.604900000000001</v>
      </c>
      <c r="U171" s="1022">
        <v>59.604900000000001</v>
      </c>
      <c r="V171" s="612"/>
      <c r="AP171" s="279"/>
    </row>
    <row r="172" spans="3:113" ht="15.6" customHeight="1" x14ac:dyDescent="0.25">
      <c r="C172" s="163" t="s">
        <v>635</v>
      </c>
      <c r="D172" s="601"/>
      <c r="E172" s="601"/>
      <c r="F172" s="833">
        <f>100*F$170/F$171</f>
        <v>0.67200745847576493</v>
      </c>
      <c r="G172" s="261">
        <f t="shared" ref="G172:I172" si="204">100*G$170/G$171</f>
        <v>1.3373274405577751</v>
      </c>
      <c r="H172" s="261">
        <f t="shared" si="204"/>
        <v>1.9930850864824299</v>
      </c>
      <c r="I172" s="1022">
        <f t="shared" si="204"/>
        <v>2.6533979390899689</v>
      </c>
      <c r="J172" s="833">
        <f>100*J$170/J$171</f>
        <v>3.2622790366373184</v>
      </c>
      <c r="K172" s="261">
        <f t="shared" ref="K172:U172" si="205">100*K$170/K$171</f>
        <v>3.9313956069338811</v>
      </c>
      <c r="L172" s="261">
        <f t="shared" si="205"/>
        <v>4.6461633087722243</v>
      </c>
      <c r="M172" s="261">
        <f t="shared" si="205"/>
        <v>5.3145292025304487</v>
      </c>
      <c r="N172" s="1418">
        <f t="shared" si="205"/>
        <v>5.9640051943277381</v>
      </c>
      <c r="O172" s="1022">
        <f t="shared" si="205"/>
        <v>6.6238885173139499</v>
      </c>
      <c r="P172" s="833">
        <f t="shared" si="205"/>
        <v>7.7672696822852858</v>
      </c>
      <c r="Q172" s="261">
        <f t="shared" si="205"/>
        <v>8.8925821999970243</v>
      </c>
      <c r="R172" s="261">
        <f t="shared" si="205"/>
        <v>10.025516402153004</v>
      </c>
      <c r="S172" s="1418">
        <f t="shared" si="205"/>
        <v>11.141159050295371</v>
      </c>
      <c r="T172" s="1418">
        <f t="shared" si="205"/>
        <v>12.15606166193419</v>
      </c>
      <c r="U172" s="1022">
        <f t="shared" si="205"/>
        <v>13.238919377795334</v>
      </c>
      <c r="V172" s="612"/>
      <c r="AP172" s="279"/>
    </row>
    <row r="173" spans="3:113" ht="15.6" customHeight="1" x14ac:dyDescent="0.25">
      <c r="C173" s="163" t="s">
        <v>616</v>
      </c>
      <c r="D173" s="601"/>
      <c r="E173" s="601"/>
      <c r="F173" s="1018"/>
      <c r="G173" s="261"/>
      <c r="H173" s="261"/>
      <c r="I173" s="1378">
        <v>5.8</v>
      </c>
      <c r="J173" s="1018"/>
      <c r="K173" s="261"/>
      <c r="L173" s="261"/>
      <c r="M173" s="261"/>
      <c r="N173" s="1418"/>
      <c r="O173" s="1378">
        <v>8.6999999999999993</v>
      </c>
      <c r="P173" s="1018"/>
      <c r="Q173" s="261"/>
      <c r="R173" s="261"/>
      <c r="S173" s="1418"/>
      <c r="T173" s="1418">
        <v>13</v>
      </c>
      <c r="U173" s="1378">
        <v>13.7</v>
      </c>
      <c r="V173" s="1019"/>
      <c r="W173" s="476"/>
      <c r="X173" s="353"/>
      <c r="Y173" s="228"/>
      <c r="Z173" s="228"/>
      <c r="AA173" s="229"/>
      <c r="AB173" s="353"/>
      <c r="AC173" s="228"/>
      <c r="AD173" s="228"/>
      <c r="AE173" s="228"/>
      <c r="AF173" s="228"/>
      <c r="AG173" s="229"/>
      <c r="AH173" s="353"/>
      <c r="AI173" s="228"/>
      <c r="AJ173" s="228"/>
      <c r="AK173" s="228"/>
      <c r="AL173" s="228"/>
      <c r="AM173" s="228"/>
      <c r="AN173" s="228"/>
      <c r="AO173" s="463"/>
      <c r="AP173" s="515"/>
      <c r="AQ173" s="228"/>
      <c r="AR173" s="228"/>
      <c r="AS173" s="229"/>
      <c r="AT173" s="353"/>
      <c r="AU173" s="228"/>
      <c r="AV173" s="228"/>
      <c r="AW173" s="228"/>
      <c r="AX173" s="228"/>
      <c r="AY173" s="229"/>
      <c r="AZ173" s="353"/>
      <c r="BA173" s="228"/>
      <c r="BB173" s="228"/>
      <c r="BC173" s="228"/>
      <c r="BD173" s="228"/>
      <c r="BE173" s="228"/>
      <c r="BF173" s="228"/>
      <c r="BG173" s="463"/>
      <c r="BH173" s="228"/>
      <c r="BI173" s="228"/>
      <c r="BJ173" s="228"/>
      <c r="BK173" s="229"/>
      <c r="BL173" s="353"/>
      <c r="BM173" s="228"/>
      <c r="BN173" s="228"/>
      <c r="BO173" s="228"/>
      <c r="BP173" s="228"/>
      <c r="BQ173" s="229"/>
      <c r="BR173" s="353"/>
      <c r="BS173" s="228"/>
      <c r="BT173" s="228"/>
      <c r="BU173" s="228"/>
      <c r="BV173" s="228"/>
      <c r="BW173" s="228"/>
      <c r="BX173" s="228"/>
      <c r="BY173" s="463"/>
      <c r="BZ173" s="464"/>
      <c r="CA173" s="228"/>
      <c r="CB173" s="228"/>
      <c r="CC173" s="228"/>
      <c r="CD173" s="229"/>
      <c r="CE173" s="353"/>
      <c r="CF173" s="228"/>
      <c r="CG173" s="228"/>
      <c r="CH173" s="228"/>
      <c r="CI173" s="228"/>
      <c r="CJ173" s="229"/>
      <c r="CK173" s="353"/>
      <c r="CL173" s="228"/>
      <c r="CM173" s="228"/>
      <c r="CN173" s="228"/>
      <c r="CO173" s="228"/>
      <c r="CP173" s="228"/>
      <c r="CQ173" s="228"/>
      <c r="CR173" s="463"/>
      <c r="CS173" s="228"/>
      <c r="CT173" s="228"/>
      <c r="CU173" s="228"/>
      <c r="CV173" s="229"/>
      <c r="CW173" s="353"/>
      <c r="CX173" s="228"/>
      <c r="CY173" s="228"/>
      <c r="CZ173" s="228"/>
      <c r="DA173" s="228"/>
      <c r="DB173" s="229"/>
      <c r="DC173" s="353"/>
      <c r="DD173" s="228"/>
      <c r="DE173" s="228"/>
      <c r="DF173" s="228"/>
      <c r="DG173" s="228"/>
      <c r="DH173" s="228"/>
      <c r="DI173" s="228"/>
    </row>
    <row r="174" spans="3:113" s="227" customFormat="1" ht="15.6" customHeight="1" x14ac:dyDescent="0.25">
      <c r="C174" s="1016" t="s">
        <v>638</v>
      </c>
      <c r="D174" s="1017">
        <v>0.1</v>
      </c>
      <c r="E174" s="1017">
        <v>0.3</v>
      </c>
      <c r="F174" s="833">
        <f>F158*$D$174*24</f>
        <v>0.16021974944680853</v>
      </c>
      <c r="G174" s="261">
        <f t="shared" ref="G174:U174" si="206">G158*$D$174*24</f>
        <v>0.15862532400000001</v>
      </c>
      <c r="H174" s="261">
        <f t="shared" si="206"/>
        <v>0.1563454756382979</v>
      </c>
      <c r="I174" s="1022">
        <f t="shared" si="206"/>
        <v>0.15743152619354836</v>
      </c>
      <c r="J174" s="833">
        <f t="shared" si="206"/>
        <v>0.14516918772480003</v>
      </c>
      <c r="K174" s="261">
        <f t="shared" si="206"/>
        <v>0.15953050504347827</v>
      </c>
      <c r="L174" s="261">
        <f t="shared" si="206"/>
        <v>0.17041462956521738</v>
      </c>
      <c r="M174" s="261">
        <f t="shared" si="206"/>
        <v>0.15935152904347827</v>
      </c>
      <c r="N174" s="1418">
        <f t="shared" si="206"/>
        <v>0.15484780617391303</v>
      </c>
      <c r="O174" s="1022">
        <f t="shared" si="206"/>
        <v>0.15732911791304349</v>
      </c>
      <c r="P174" s="833">
        <f t="shared" si="206"/>
        <v>0.27260448000000004</v>
      </c>
      <c r="Q174" s="261">
        <f t="shared" si="206"/>
        <v>0.26829656034782606</v>
      </c>
      <c r="R174" s="261">
        <f t="shared" si="206"/>
        <v>0.2701137193043478</v>
      </c>
      <c r="S174" s="1418">
        <f t="shared" si="206"/>
        <v>0.26599107391304344</v>
      </c>
      <c r="T174" s="1418">
        <f t="shared" si="206"/>
        <v>0.24197267470588235</v>
      </c>
      <c r="U174" s="1022">
        <f t="shared" si="206"/>
        <v>0.25817450347252752</v>
      </c>
      <c r="V174" s="612">
        <f t="shared" ref="V174" si="207">24*($D$174*(V$83+V$86)+$E$174*(V$84+V$87))</f>
        <v>0</v>
      </c>
      <c r="W174" s="444"/>
      <c r="X174" s="320"/>
      <c r="Y174" s="241"/>
      <c r="Z174" s="241"/>
      <c r="AA174" s="240"/>
      <c r="AB174" s="320"/>
      <c r="AC174" s="241"/>
      <c r="AD174" s="241"/>
      <c r="AE174" s="241"/>
      <c r="AF174" s="241"/>
      <c r="AG174" s="240"/>
      <c r="AH174" s="320"/>
      <c r="AI174" s="241"/>
      <c r="AJ174" s="241"/>
      <c r="AK174" s="241"/>
      <c r="AL174" s="241"/>
      <c r="AM174" s="241"/>
      <c r="AN174" s="241"/>
      <c r="AO174" s="419"/>
      <c r="AP174" s="279"/>
      <c r="AQ174" s="241"/>
      <c r="AR174" s="241"/>
      <c r="AS174" s="240"/>
      <c r="AT174" s="320"/>
      <c r="AU174" s="241"/>
      <c r="AV174" s="241"/>
      <c r="AW174" s="241"/>
      <c r="AX174" s="241"/>
      <c r="AY174" s="240"/>
      <c r="AZ174" s="320"/>
      <c r="BA174" s="241"/>
      <c r="BB174" s="241"/>
      <c r="BC174" s="241"/>
      <c r="BD174" s="241"/>
      <c r="BE174" s="241"/>
      <c r="BF174" s="241"/>
      <c r="BG174" s="419"/>
      <c r="BH174" s="241"/>
      <c r="BI174" s="241"/>
      <c r="BJ174" s="241"/>
      <c r="BK174" s="240"/>
      <c r="BL174" s="320"/>
      <c r="BM174" s="241"/>
      <c r="BN174" s="241"/>
      <c r="BO174" s="241"/>
      <c r="BP174" s="241"/>
      <c r="BQ174" s="240"/>
      <c r="BR174" s="320"/>
      <c r="BS174" s="241"/>
      <c r="BT174" s="241"/>
      <c r="BU174" s="241"/>
      <c r="BV174" s="241"/>
      <c r="BW174" s="241"/>
      <c r="BX174" s="241"/>
      <c r="BY174" s="419"/>
      <c r="BZ174" s="250"/>
      <c r="CA174" s="241"/>
      <c r="CB174" s="241"/>
      <c r="CC174" s="241"/>
      <c r="CD174" s="240"/>
      <c r="CE174" s="320"/>
      <c r="CF174" s="241"/>
      <c r="CG174" s="241"/>
      <c r="CH174" s="241"/>
      <c r="CI174" s="241"/>
      <c r="CJ174" s="240"/>
      <c r="CK174" s="320"/>
      <c r="CL174" s="241"/>
      <c r="CM174" s="241"/>
      <c r="CN174" s="241"/>
      <c r="CO174" s="241"/>
      <c r="CP174" s="241"/>
      <c r="CQ174" s="241"/>
      <c r="CR174" s="419"/>
      <c r="CS174" s="241"/>
      <c r="CT174" s="241"/>
      <c r="CU174" s="241"/>
      <c r="CV174" s="240"/>
      <c r="CW174" s="320"/>
      <c r="CX174" s="241"/>
      <c r="CY174" s="241"/>
      <c r="CZ174" s="241"/>
      <c r="DA174" s="241"/>
      <c r="DB174" s="240"/>
      <c r="DC174" s="320"/>
      <c r="DD174" s="241"/>
      <c r="DE174" s="241"/>
      <c r="DF174" s="241"/>
      <c r="DG174" s="241"/>
      <c r="DH174" s="241"/>
      <c r="DI174" s="241"/>
    </row>
    <row r="175" spans="3:113" ht="15.6" customHeight="1" x14ac:dyDescent="0.25">
      <c r="C175" s="163" t="s">
        <v>639</v>
      </c>
      <c r="D175" s="601"/>
      <c r="E175" s="601"/>
      <c r="F175" s="833">
        <f>F174</f>
        <v>0.16021974944680853</v>
      </c>
      <c r="G175" s="261">
        <f>F$175+G$174</f>
        <v>0.31884507344680857</v>
      </c>
      <c r="H175" s="261">
        <f t="shared" ref="H175:I175" si="208">G$175+H$174</f>
        <v>0.4751905490851065</v>
      </c>
      <c r="I175" s="1023">
        <f t="shared" si="208"/>
        <v>0.63262207527865488</v>
      </c>
      <c r="J175" s="833">
        <f>I$175+J$174</f>
        <v>0.77779126300345491</v>
      </c>
      <c r="K175" s="261">
        <f t="shared" ref="K175:U175" si="209">J$175+K$174</f>
        <v>0.93732176804693323</v>
      </c>
      <c r="L175" s="261">
        <f t="shared" si="209"/>
        <v>1.1077363976121506</v>
      </c>
      <c r="M175" s="261">
        <f t="shared" si="209"/>
        <v>1.2670879266556287</v>
      </c>
      <c r="N175" s="1418">
        <f t="shared" si="209"/>
        <v>1.4219357328295419</v>
      </c>
      <c r="O175" s="1023">
        <f t="shared" si="209"/>
        <v>1.5792648507425855</v>
      </c>
      <c r="P175" s="833">
        <f t="shared" si="209"/>
        <v>1.8518693307425855</v>
      </c>
      <c r="Q175" s="261">
        <f t="shared" si="209"/>
        <v>2.1201658910904118</v>
      </c>
      <c r="R175" s="261">
        <f t="shared" si="209"/>
        <v>2.3902796103947597</v>
      </c>
      <c r="S175" s="1418">
        <f t="shared" si="209"/>
        <v>2.656270684307803</v>
      </c>
      <c r="T175" s="1418">
        <f t="shared" si="209"/>
        <v>2.8982433590136853</v>
      </c>
      <c r="U175" s="1023">
        <f t="shared" si="209"/>
        <v>3.1564178624862129</v>
      </c>
      <c r="AP175" s="279"/>
    </row>
    <row r="176" spans="3:113" ht="15.6" customHeight="1" x14ac:dyDescent="0.25">
      <c r="C176" s="163" t="s">
        <v>640</v>
      </c>
      <c r="D176" s="601"/>
      <c r="E176" s="601"/>
      <c r="F176" s="833">
        <v>59.604900000000001</v>
      </c>
      <c r="G176" s="261">
        <v>59.604900000000001</v>
      </c>
      <c r="H176" s="261">
        <v>59.604900000000001</v>
      </c>
      <c r="I176" s="1023">
        <v>59.604900000000001</v>
      </c>
      <c r="J176" s="833">
        <v>59.604900000000001</v>
      </c>
      <c r="K176" s="261">
        <v>59.604900000000001</v>
      </c>
      <c r="L176" s="261">
        <v>59.604900000000001</v>
      </c>
      <c r="M176" s="261">
        <v>59.604900000000001</v>
      </c>
      <c r="N176" s="1418">
        <v>59.604900000000001</v>
      </c>
      <c r="O176" s="1023">
        <v>59.604900000000001</v>
      </c>
      <c r="P176" s="833">
        <v>59.604900000000001</v>
      </c>
      <c r="Q176" s="261">
        <v>59.604900000000001</v>
      </c>
      <c r="R176" s="261">
        <v>59.604900000000001</v>
      </c>
      <c r="S176" s="1418">
        <v>59.604900000000001</v>
      </c>
      <c r="T176" s="1418">
        <v>59.604900000000001</v>
      </c>
      <c r="U176" s="1023">
        <v>59.604900000000001</v>
      </c>
      <c r="AP176" s="279"/>
    </row>
    <row r="177" spans="3:113" ht="15.6" customHeight="1" x14ac:dyDescent="0.25">
      <c r="C177" s="163" t="s">
        <v>641</v>
      </c>
      <c r="D177" s="601"/>
      <c r="E177" s="601"/>
      <c r="F177" s="1021">
        <f>100*F$175/F$176</f>
        <v>0.26880298339030606</v>
      </c>
      <c r="G177" s="261">
        <f t="shared" ref="G177:I177" si="210">100*G$175/G$176</f>
        <v>0.53493097622311014</v>
      </c>
      <c r="H177" s="261">
        <f t="shared" si="210"/>
        <v>0.79723403459297215</v>
      </c>
      <c r="I177" s="1023">
        <f t="shared" si="210"/>
        <v>1.0613591756359877</v>
      </c>
      <c r="J177" s="833">
        <f>100*J$175/J$176</f>
        <v>1.3049116146549276</v>
      </c>
      <c r="K177" s="261">
        <f t="shared" ref="K177:U177" si="211">100*K$175/K$176</f>
        <v>1.5725582427735525</v>
      </c>
      <c r="L177" s="261">
        <f t="shared" si="211"/>
        <v>1.8584653235088904</v>
      </c>
      <c r="M177" s="261">
        <f t="shared" si="211"/>
        <v>2.1258116810121797</v>
      </c>
      <c r="N177" s="1418">
        <f t="shared" si="211"/>
        <v>2.3856020777310958</v>
      </c>
      <c r="O177" s="1023">
        <f t="shared" si="211"/>
        <v>2.6495554069255807</v>
      </c>
      <c r="P177" s="833">
        <f t="shared" si="211"/>
        <v>3.1069078729141153</v>
      </c>
      <c r="Q177" s="261">
        <f t="shared" si="211"/>
        <v>3.5570328799988116</v>
      </c>
      <c r="R177" s="261">
        <f t="shared" si="211"/>
        <v>4.0102065608612039</v>
      </c>
      <c r="S177" s="1418">
        <f t="shared" si="211"/>
        <v>4.45646362011815</v>
      </c>
      <c r="T177" s="1418">
        <f t="shared" si="211"/>
        <v>4.8624246647736769</v>
      </c>
      <c r="U177" s="1023">
        <f t="shared" si="211"/>
        <v>5.2955677511181349</v>
      </c>
      <c r="AP177" s="279"/>
    </row>
    <row r="178" spans="3:113" ht="15.6" customHeight="1" x14ac:dyDescent="0.25">
      <c r="C178" s="163"/>
      <c r="D178" s="601"/>
      <c r="E178" s="601"/>
      <c r="F178" s="388"/>
      <c r="G178" s="1019"/>
      <c r="H178" s="1019"/>
      <c r="I178" s="1378">
        <v>2.5</v>
      </c>
      <c r="J178" s="388"/>
      <c r="K178" s="1019"/>
      <c r="L178" s="1019"/>
      <c r="M178" s="1019"/>
      <c r="N178" s="1457"/>
      <c r="O178" s="1378">
        <v>3.7</v>
      </c>
      <c r="P178" s="388"/>
      <c r="Q178" s="1019"/>
      <c r="R178" s="1019"/>
      <c r="S178" s="1457"/>
      <c r="T178" s="1457">
        <v>5.5</v>
      </c>
      <c r="U178" s="1457">
        <v>5.9</v>
      </c>
      <c r="V178" s="228"/>
      <c r="W178" s="476"/>
      <c r="X178" s="353"/>
      <c r="Y178" s="228"/>
      <c r="Z178" s="228"/>
      <c r="AA178" s="229"/>
      <c r="AB178" s="353"/>
      <c r="AC178" s="228"/>
      <c r="AD178" s="228"/>
      <c r="AE178" s="228"/>
      <c r="AF178" s="228"/>
      <c r="AG178" s="229"/>
      <c r="AH178" s="353"/>
      <c r="AI178" s="228"/>
      <c r="AJ178" s="228"/>
      <c r="AK178" s="228"/>
      <c r="AL178" s="228"/>
      <c r="AM178" s="228"/>
      <c r="AN178" s="228"/>
      <c r="AO178" s="463"/>
      <c r="AP178" s="515"/>
      <c r="AQ178" s="228"/>
      <c r="AR178" s="228"/>
      <c r="AS178" s="229"/>
      <c r="AT178" s="353"/>
      <c r="AU178" s="228"/>
      <c r="AV178" s="228"/>
      <c r="AW178" s="228"/>
      <c r="AX178" s="228"/>
      <c r="AY178" s="229"/>
      <c r="AZ178" s="353"/>
      <c r="BA178" s="228"/>
      <c r="BB178" s="228"/>
      <c r="BC178" s="228"/>
      <c r="BD178" s="228"/>
      <c r="BE178" s="228"/>
      <c r="BF178" s="228"/>
      <c r="BG178" s="463"/>
      <c r="BH178" s="228"/>
      <c r="BI178" s="228"/>
      <c r="BJ178" s="228"/>
      <c r="BK178" s="229"/>
      <c r="BL178" s="353"/>
      <c r="BM178" s="228"/>
      <c r="BN178" s="228"/>
      <c r="BO178" s="228"/>
      <c r="BP178" s="228"/>
      <c r="BQ178" s="229"/>
      <c r="BR178" s="353"/>
      <c r="BS178" s="228"/>
      <c r="BT178" s="228"/>
      <c r="BU178" s="228"/>
      <c r="BV178" s="228"/>
      <c r="BW178" s="228"/>
      <c r="BX178" s="228"/>
      <c r="BY178" s="463"/>
      <c r="BZ178" s="464"/>
      <c r="CA178" s="228"/>
      <c r="CB178" s="228"/>
      <c r="CC178" s="228"/>
      <c r="CD178" s="229"/>
      <c r="CE178" s="353"/>
      <c r="CF178" s="228"/>
      <c r="CG178" s="228"/>
      <c r="CH178" s="228"/>
      <c r="CI178" s="228"/>
      <c r="CJ178" s="229"/>
      <c r="CK178" s="353"/>
      <c r="CL178" s="228"/>
      <c r="CM178" s="228"/>
      <c r="CN178" s="228"/>
      <c r="CO178" s="228"/>
      <c r="CP178" s="228"/>
      <c r="CQ178" s="228"/>
      <c r="CR178" s="463"/>
      <c r="CS178" s="228"/>
      <c r="CT178" s="228"/>
      <c r="CU178" s="228"/>
      <c r="CV178" s="229"/>
      <c r="CW178" s="353"/>
      <c r="CX178" s="228"/>
      <c r="CY178" s="228"/>
      <c r="CZ178" s="228"/>
      <c r="DA178" s="228"/>
      <c r="DB178" s="229"/>
      <c r="DC178" s="353"/>
      <c r="DD178" s="228"/>
      <c r="DE178" s="228"/>
      <c r="DF178" s="228"/>
      <c r="DG178" s="228"/>
      <c r="DH178" s="228"/>
      <c r="DI178" s="228"/>
    </row>
    <row r="179" spans="3:113" s="227" customFormat="1" ht="15.75" x14ac:dyDescent="0.25">
      <c r="C179" s="1020" t="s">
        <v>433</v>
      </c>
      <c r="D179" s="1020"/>
      <c r="E179" s="1020"/>
      <c r="F179" s="640">
        <v>88</v>
      </c>
      <c r="G179" s="641">
        <v>84.3</v>
      </c>
      <c r="H179" s="641">
        <v>82.5</v>
      </c>
      <c r="I179" s="1337">
        <v>81.2</v>
      </c>
      <c r="J179" s="640">
        <v>97.6</v>
      </c>
      <c r="K179" s="641">
        <v>97</v>
      </c>
      <c r="L179" s="641">
        <v>96</v>
      </c>
      <c r="M179" s="641">
        <v>95.5</v>
      </c>
      <c r="N179" s="1418">
        <v>95</v>
      </c>
      <c r="O179" s="1337">
        <v>94.6</v>
      </c>
      <c r="P179" s="640">
        <v>94.6</v>
      </c>
      <c r="Q179" s="641">
        <v>91</v>
      </c>
      <c r="R179" s="641">
        <v>90.5</v>
      </c>
      <c r="S179" s="1418">
        <v>92</v>
      </c>
      <c r="T179" s="1418">
        <v>91.5</v>
      </c>
      <c r="U179" s="1418">
        <v>90.7</v>
      </c>
      <c r="V179" s="241"/>
      <c r="W179" s="444"/>
      <c r="X179" s="320"/>
      <c r="Y179" s="279"/>
      <c r="Z179" s="241"/>
      <c r="AA179" s="240"/>
      <c r="AB179" s="320"/>
      <c r="AC179" s="241"/>
      <c r="AD179" s="241"/>
      <c r="AE179" s="241"/>
      <c r="AF179" s="241"/>
      <c r="AG179" s="240"/>
      <c r="AH179" s="320"/>
      <c r="AI179" s="241"/>
      <c r="AJ179" s="241"/>
      <c r="AK179" s="241"/>
      <c r="AL179" s="241"/>
      <c r="AM179" s="241"/>
      <c r="AN179" s="241"/>
      <c r="AO179" s="419"/>
      <c r="AP179" s="241"/>
      <c r="AQ179" s="241"/>
      <c r="AR179" s="241"/>
      <c r="AS179" s="240"/>
      <c r="AT179" s="320"/>
      <c r="AU179" s="241"/>
      <c r="AV179" s="241"/>
      <c r="AW179" s="241"/>
      <c r="AX179" s="241"/>
      <c r="AY179" s="240"/>
      <c r="AZ179" s="320"/>
      <c r="BA179" s="241"/>
      <c r="BB179" s="241"/>
      <c r="BC179" s="241"/>
      <c r="BD179" s="241"/>
      <c r="BE179" s="241"/>
      <c r="BF179" s="241"/>
      <c r="BG179" s="419"/>
      <c r="BH179" s="241"/>
      <c r="BI179" s="241"/>
      <c r="BJ179" s="241"/>
      <c r="BK179" s="240"/>
      <c r="BL179" s="320"/>
      <c r="BM179" s="241"/>
      <c r="BN179" s="241"/>
      <c r="BO179" s="241"/>
      <c r="BP179" s="241"/>
      <c r="BQ179" s="240"/>
      <c r="BR179" s="320"/>
      <c r="BS179" s="241"/>
      <c r="BT179" s="241"/>
      <c r="BU179" s="241"/>
      <c r="BV179" s="241"/>
      <c r="BW179" s="241"/>
      <c r="BX179" s="241"/>
      <c r="BY179" s="419"/>
      <c r="BZ179" s="250"/>
      <c r="CA179" s="241"/>
      <c r="CB179" s="241"/>
      <c r="CC179" s="241"/>
      <c r="CD179" s="240"/>
      <c r="CE179" s="320"/>
      <c r="CF179" s="241"/>
      <c r="CG179" s="241"/>
      <c r="CH179" s="241"/>
      <c r="CI179" s="241"/>
      <c r="CJ179" s="240"/>
      <c r="CK179" s="320"/>
      <c r="CL179" s="241"/>
      <c r="CM179" s="241"/>
      <c r="CN179" s="241"/>
      <c r="CO179" s="241"/>
      <c r="CP179" s="241"/>
      <c r="CQ179" s="241"/>
      <c r="CR179" s="419"/>
      <c r="CS179" s="241"/>
      <c r="CT179" s="241"/>
      <c r="CU179" s="241"/>
      <c r="CV179" s="240"/>
      <c r="CW179" s="320"/>
      <c r="CX179" s="241"/>
      <c r="CY179" s="241"/>
      <c r="CZ179" s="241"/>
      <c r="DA179" s="241"/>
      <c r="DB179" s="240"/>
      <c r="DC179" s="320"/>
      <c r="DD179" s="241"/>
      <c r="DE179" s="241"/>
      <c r="DF179" s="241"/>
      <c r="DG179" s="241"/>
      <c r="DH179" s="241"/>
      <c r="DI179" s="241"/>
    </row>
    <row r="180" spans="3:113" ht="15.75" x14ac:dyDescent="0.25">
      <c r="C180" s="602">
        <v>0.05</v>
      </c>
      <c r="D180" s="602"/>
      <c r="E180" s="613"/>
      <c r="F180" s="612">
        <f>F$179*5%</f>
        <v>4.4000000000000004</v>
      </c>
      <c r="G180" s="261">
        <f>G$179*5%</f>
        <v>4.2149999999999999</v>
      </c>
      <c r="H180" s="261">
        <f t="shared" ref="H180:O180" si="212">H$179*5%</f>
        <v>4.125</v>
      </c>
      <c r="I180" s="1337">
        <f t="shared" si="212"/>
        <v>4.0600000000000005</v>
      </c>
      <c r="J180" s="322">
        <f t="shared" si="212"/>
        <v>4.88</v>
      </c>
      <c r="K180" s="261">
        <f t="shared" si="212"/>
        <v>4.8500000000000005</v>
      </c>
      <c r="L180" s="261">
        <f t="shared" si="212"/>
        <v>4.8000000000000007</v>
      </c>
      <c r="M180" s="261">
        <f t="shared" si="212"/>
        <v>4.7750000000000004</v>
      </c>
      <c r="N180" s="1418">
        <f t="shared" si="212"/>
        <v>4.75</v>
      </c>
      <c r="O180" s="1337">
        <f t="shared" si="212"/>
        <v>4.7299999999999995</v>
      </c>
      <c r="P180" s="322">
        <f>P$179*5%</f>
        <v>4.7299999999999995</v>
      </c>
      <c r="Q180" s="261">
        <f>Q$179*5%</f>
        <v>4.55</v>
      </c>
      <c r="R180" s="261">
        <f t="shared" ref="R180:U180" si="213">R$179*5%</f>
        <v>4.5250000000000004</v>
      </c>
      <c r="S180" s="1418">
        <f t="shared" si="213"/>
        <v>4.6000000000000005</v>
      </c>
      <c r="T180" s="1418">
        <f t="shared" si="213"/>
        <v>4.5750000000000002</v>
      </c>
      <c r="U180" s="1418">
        <f t="shared" si="213"/>
        <v>4.5350000000000001</v>
      </c>
      <c r="V180" s="261">
        <f>V$179*5%</f>
        <v>0</v>
      </c>
    </row>
    <row r="181" spans="3:113" ht="15.75" x14ac:dyDescent="0.25">
      <c r="C181" s="602">
        <v>0.05</v>
      </c>
      <c r="D181" s="602"/>
      <c r="E181" s="613"/>
      <c r="F181" s="612">
        <f>F$179+F$180</f>
        <v>92.4</v>
      </c>
      <c r="G181" s="261">
        <f>G$179+G$180</f>
        <v>88.515000000000001</v>
      </c>
      <c r="H181" s="261">
        <f t="shared" ref="H181:O181" si="214">H$179+H$180</f>
        <v>86.625</v>
      </c>
      <c r="I181" s="1337">
        <f t="shared" si="214"/>
        <v>85.26</v>
      </c>
      <c r="J181" s="322">
        <f t="shared" si="214"/>
        <v>102.47999999999999</v>
      </c>
      <c r="K181" s="255">
        <f t="shared" si="214"/>
        <v>101.85</v>
      </c>
      <c r="L181" s="255">
        <f t="shared" si="214"/>
        <v>100.8</v>
      </c>
      <c r="M181" s="261">
        <f t="shared" si="214"/>
        <v>100.27500000000001</v>
      </c>
      <c r="N181" s="1418">
        <f t="shared" si="214"/>
        <v>99.75</v>
      </c>
      <c r="O181" s="1337">
        <f t="shared" si="214"/>
        <v>99.33</v>
      </c>
      <c r="P181" s="322">
        <f>P$179+P$180</f>
        <v>99.33</v>
      </c>
      <c r="Q181" s="261">
        <f>Q$179+Q$180</f>
        <v>95.55</v>
      </c>
      <c r="R181" s="261">
        <f t="shared" ref="R181:V181" si="215">R$179+R$180</f>
        <v>95.025000000000006</v>
      </c>
      <c r="S181" s="1418">
        <f t="shared" si="215"/>
        <v>96.6</v>
      </c>
      <c r="T181" s="1418">
        <f t="shared" si="215"/>
        <v>96.075000000000003</v>
      </c>
      <c r="U181" s="1418">
        <f t="shared" si="215"/>
        <v>95.234999999999999</v>
      </c>
      <c r="V181" s="261">
        <f t="shared" si="215"/>
        <v>0</v>
      </c>
    </row>
    <row r="182" spans="3:113" ht="15.75" x14ac:dyDescent="0.25">
      <c r="C182" s="602">
        <v>-0.05</v>
      </c>
      <c r="D182" s="602"/>
      <c r="E182" s="613"/>
      <c r="F182" s="1019">
        <f>F$179-F$180</f>
        <v>83.6</v>
      </c>
      <c r="G182" s="387">
        <f>G$179-G$180</f>
        <v>80.084999999999994</v>
      </c>
      <c r="H182" s="387">
        <f t="shared" ref="H182:N182" si="216">H$179-H$180</f>
        <v>78.375</v>
      </c>
      <c r="I182" s="1336">
        <f t="shared" si="216"/>
        <v>77.14</v>
      </c>
      <c r="J182" s="388">
        <f t="shared" si="216"/>
        <v>92.72</v>
      </c>
      <c r="K182" s="387">
        <f t="shared" si="216"/>
        <v>92.15</v>
      </c>
      <c r="L182" s="387">
        <f t="shared" si="216"/>
        <v>91.2</v>
      </c>
      <c r="M182" s="387">
        <f t="shared" si="216"/>
        <v>90.724999999999994</v>
      </c>
      <c r="N182" s="1417">
        <f t="shared" si="216"/>
        <v>90.25</v>
      </c>
      <c r="O182" s="1336">
        <f>O$179-O$180</f>
        <v>89.86999999999999</v>
      </c>
      <c r="P182" s="388">
        <f>P$179-P$180</f>
        <v>89.86999999999999</v>
      </c>
      <c r="Q182" s="387">
        <f>Q$179-Q$180</f>
        <v>86.45</v>
      </c>
      <c r="R182" s="387">
        <f t="shared" ref="R182:V182" si="217">R$179-R$180</f>
        <v>85.974999999999994</v>
      </c>
      <c r="S182" s="1417">
        <f t="shared" si="217"/>
        <v>87.4</v>
      </c>
      <c r="T182" s="1417">
        <f t="shared" si="217"/>
        <v>86.924999999999997</v>
      </c>
      <c r="U182" s="1417">
        <f t="shared" si="217"/>
        <v>86.165000000000006</v>
      </c>
      <c r="V182" s="387">
        <f t="shared" si="217"/>
        <v>0</v>
      </c>
      <c r="W182" s="476"/>
      <c r="X182" s="353"/>
      <c r="Y182" s="228"/>
      <c r="Z182" s="228"/>
      <c r="AA182" s="229"/>
      <c r="AB182" s="353"/>
      <c r="AC182" s="228"/>
      <c r="AD182" s="228"/>
      <c r="AE182" s="228"/>
      <c r="AF182" s="228"/>
      <c r="AG182" s="229"/>
      <c r="AH182" s="353"/>
      <c r="AI182" s="228"/>
      <c r="AJ182" s="228"/>
      <c r="AK182" s="228"/>
      <c r="AL182" s="228"/>
      <c r="AM182" s="228"/>
      <c r="AN182" s="228"/>
      <c r="AO182" s="463"/>
      <c r="AP182" s="228"/>
      <c r="AQ182" s="228"/>
      <c r="AR182" s="228"/>
      <c r="AS182" s="229"/>
      <c r="AT182" s="353"/>
      <c r="AU182" s="228"/>
      <c r="AV182" s="228"/>
      <c r="AW182" s="228"/>
      <c r="AX182" s="228"/>
      <c r="AY182" s="229"/>
      <c r="AZ182" s="353"/>
      <c r="BA182" s="228"/>
      <c r="BB182" s="228"/>
      <c r="BC182" s="228"/>
      <c r="BD182" s="228"/>
      <c r="BE182" s="228"/>
      <c r="BF182" s="228"/>
      <c r="BG182" s="463"/>
      <c r="BH182" s="228"/>
      <c r="BI182" s="228"/>
      <c r="BJ182" s="228"/>
      <c r="BK182" s="229"/>
      <c r="BL182" s="353"/>
      <c r="BM182" s="228"/>
      <c r="BN182" s="228"/>
      <c r="BO182" s="228"/>
      <c r="BP182" s="228"/>
      <c r="BQ182" s="229"/>
      <c r="BR182" s="353"/>
      <c r="BS182" s="228"/>
      <c r="BT182" s="228"/>
      <c r="BU182" s="228"/>
      <c r="BV182" s="228"/>
      <c r="BW182" s="228"/>
      <c r="BX182" s="228"/>
      <c r="BY182" s="463"/>
      <c r="BZ182" s="464"/>
      <c r="CA182" s="228"/>
      <c r="CB182" s="228"/>
      <c r="CC182" s="228"/>
      <c r="CD182" s="229"/>
      <c r="CE182" s="353"/>
      <c r="CF182" s="228"/>
      <c r="CG182" s="228"/>
      <c r="CH182" s="228"/>
      <c r="CI182" s="228"/>
      <c r="CJ182" s="229"/>
      <c r="CK182" s="353"/>
      <c r="CL182" s="228"/>
      <c r="CM182" s="228"/>
      <c r="CN182" s="228"/>
      <c r="CO182" s="228"/>
      <c r="CP182" s="228"/>
      <c r="CQ182" s="228"/>
      <c r="CR182" s="463"/>
      <c r="CS182" s="228"/>
      <c r="CT182" s="228"/>
      <c r="CU182" s="228"/>
      <c r="CV182" s="229"/>
      <c r="CW182" s="353"/>
      <c r="CX182" s="228"/>
      <c r="CY182" s="228"/>
      <c r="CZ182" s="228"/>
      <c r="DA182" s="228"/>
      <c r="DB182" s="229"/>
      <c r="DC182" s="353"/>
      <c r="DD182" s="228"/>
      <c r="DE182" s="228"/>
      <c r="DF182" s="228"/>
      <c r="DG182" s="228"/>
      <c r="DH182" s="228"/>
      <c r="DI182" s="228"/>
    </row>
    <row r="183" spans="3:113" s="227" customFormat="1" x14ac:dyDescent="0.25">
      <c r="C183" s="224" t="s">
        <v>303</v>
      </c>
      <c r="D183" s="224"/>
      <c r="E183" s="224"/>
      <c r="F183" s="261">
        <f>((F$89-AP$89)/F$89)*100</f>
        <v>24.446309949631363</v>
      </c>
      <c r="G183" s="261">
        <f>((G$89-AQ$89)/G$89)*100</f>
        <v>33.522114347357061</v>
      </c>
      <c r="H183" s="261">
        <f t="shared" ref="H183:L183" si="218">((H$89-AR$89)/H$89)*100</f>
        <v>43.490959132185012</v>
      </c>
      <c r="I183" s="1337">
        <f t="shared" si="218"/>
        <v>60.055911177906516</v>
      </c>
      <c r="J183" s="322">
        <f t="shared" si="218"/>
        <v>72.988551211646708</v>
      </c>
      <c r="K183" s="261">
        <f t="shared" si="218"/>
        <v>92.569025374212643</v>
      </c>
      <c r="L183" s="261">
        <f t="shared" si="218"/>
        <v>96.928964734278381</v>
      </c>
      <c r="M183" s="261">
        <f t="shared" ref="M183:O183" si="219">((M$89-AW$89)/M$89)*100</f>
        <v>97.474497118799036</v>
      </c>
      <c r="N183" s="1418">
        <f t="shared" si="219"/>
        <v>94.155133937530593</v>
      </c>
      <c r="O183" s="1337">
        <f t="shared" si="219"/>
        <v>97.007105704365728</v>
      </c>
      <c r="P183" s="310">
        <f t="shared" ref="P183" si="220">((P$89-AZ$89)/P$89)*100</f>
        <v>96.084794518756794</v>
      </c>
      <c r="Q183" s="310">
        <f t="shared" ref="Q183" si="221">((Q$89-BA$89)/Q$89)*100</f>
        <v>91.33525577666417</v>
      </c>
      <c r="R183" s="310">
        <f t="shared" ref="R183" si="222">((R$89-BB$89)/R$89)*100</f>
        <v>74.204056618322937</v>
      </c>
      <c r="S183" s="1337">
        <f t="shared" ref="S183" si="223">((S$89-BC$89)/S$89)*100</f>
        <v>95.93584781610906</v>
      </c>
      <c r="T183" s="1337">
        <f t="shared" ref="T183" si="224">((T$89-BD$89)/T$89)*100</f>
        <v>62.201717876952415</v>
      </c>
      <c r="U183" s="1337">
        <f t="shared" ref="U183:V183" si="225">((U$89-BE$89)/U$89)*100</f>
        <v>89.1764163287108</v>
      </c>
      <c r="V183" s="310" t="e">
        <f t="shared" si="225"/>
        <v>#DIV/0!</v>
      </c>
      <c r="W183" s="444"/>
      <c r="X183" s="320"/>
      <c r="Y183" s="241"/>
      <c r="Z183" s="241"/>
      <c r="AA183" s="240"/>
      <c r="AB183" s="320"/>
      <c r="AC183" s="241"/>
      <c r="AD183" s="241"/>
      <c r="AE183" s="241"/>
      <c r="AF183" s="241"/>
      <c r="AG183" s="240"/>
      <c r="AH183" s="320"/>
      <c r="AI183" s="241"/>
      <c r="AJ183" s="241"/>
      <c r="AK183" s="241"/>
      <c r="AL183" s="241"/>
      <c r="AM183" s="241"/>
      <c r="AN183" s="241"/>
      <c r="AO183" s="419"/>
      <c r="AP183" s="241"/>
      <c r="AQ183" s="241"/>
      <c r="AR183" s="241"/>
      <c r="AS183" s="240"/>
      <c r="AT183" s="320"/>
      <c r="AU183" s="241"/>
      <c r="AV183" s="241"/>
      <c r="AW183" s="241"/>
      <c r="AX183" s="241"/>
      <c r="AY183" s="240"/>
      <c r="AZ183" s="320"/>
      <c r="BA183" s="241"/>
      <c r="BB183" s="241"/>
      <c r="BC183" s="241"/>
      <c r="BD183" s="241"/>
      <c r="BE183" s="241"/>
      <c r="BF183" s="241"/>
      <c r="BG183" s="419"/>
      <c r="BH183" s="241"/>
      <c r="BI183" s="241"/>
      <c r="BJ183" s="241"/>
      <c r="BK183" s="240"/>
      <c r="BL183" s="320"/>
      <c r="BM183" s="241"/>
      <c r="BN183" s="241"/>
      <c r="BO183" s="241"/>
      <c r="BP183" s="241"/>
      <c r="BQ183" s="240"/>
      <c r="BR183" s="320"/>
      <c r="BS183" s="241"/>
      <c r="BT183" s="241"/>
      <c r="BU183" s="241"/>
      <c r="BV183" s="241"/>
      <c r="BW183" s="241"/>
      <c r="BX183" s="241"/>
      <c r="BY183" s="419"/>
      <c r="BZ183" s="250"/>
      <c r="CA183" s="241"/>
      <c r="CB183" s="241"/>
      <c r="CC183" s="241"/>
      <c r="CD183" s="240"/>
      <c r="CE183" s="320"/>
      <c r="CF183" s="241"/>
      <c r="CG183" s="241"/>
      <c r="CH183" s="241"/>
      <c r="CI183" s="241"/>
      <c r="CJ183" s="240"/>
      <c r="CK183" s="320"/>
      <c r="CL183" s="241"/>
      <c r="CM183" s="241"/>
      <c r="CN183" s="241"/>
      <c r="CO183" s="241"/>
      <c r="CP183" s="241"/>
      <c r="CQ183" s="241"/>
      <c r="CR183" s="419"/>
      <c r="CS183" s="241"/>
      <c r="CT183" s="241"/>
      <c r="CU183" s="241"/>
      <c r="CV183" s="240"/>
      <c r="CW183" s="320"/>
      <c r="CX183" s="241"/>
      <c r="CY183" s="241"/>
      <c r="CZ183" s="241"/>
      <c r="DA183" s="241"/>
      <c r="DB183" s="240"/>
      <c r="DC183" s="320"/>
      <c r="DD183" s="241"/>
      <c r="DE183" s="241"/>
      <c r="DF183" s="241"/>
      <c r="DG183" s="241"/>
      <c r="DH183" s="241"/>
      <c r="DI183" s="241"/>
    </row>
    <row r="184" spans="3:113" x14ac:dyDescent="0.25">
      <c r="C184" s="1" t="s">
        <v>848</v>
      </c>
      <c r="F184" s="1291">
        <f>F$183*F$89/100</f>
        <v>1.3680612765957451E-3</v>
      </c>
      <c r="G184" s="1291">
        <f t="shared" ref="G184:U184" si="226">G$183*G$89/100</f>
        <v>1.8147799999999998E-3</v>
      </c>
      <c r="H184" s="1291">
        <f t="shared" si="226"/>
        <v>2.3143993971631201E-3</v>
      </c>
      <c r="I184" s="1379">
        <f t="shared" si="226"/>
        <v>3.1981836559139779E-3</v>
      </c>
      <c r="J184" s="1291">
        <f t="shared" si="226"/>
        <v>9.7001337520000001E-3</v>
      </c>
      <c r="K184" s="1291">
        <f t="shared" si="226"/>
        <v>1.3778103333333333E-2</v>
      </c>
      <c r="L184" s="1291">
        <f t="shared" si="226"/>
        <v>1.5718030000000004E-2</v>
      </c>
      <c r="M184" s="1291">
        <f t="shared" si="226"/>
        <v>1.4669209999999999E-2</v>
      </c>
      <c r="N184" s="1379">
        <f t="shared" si="226"/>
        <v>1.4075024999999996E-2</v>
      </c>
      <c r="O184" s="1379">
        <f t="shared" si="226"/>
        <v>1.4696382499999999E-2</v>
      </c>
      <c r="P184" s="1291">
        <f t="shared" si="226"/>
        <v>1.2247448333333334E-2</v>
      </c>
      <c r="Q184" s="1291">
        <f t="shared" si="226"/>
        <v>1.1699506195652173E-2</v>
      </c>
      <c r="R184" s="1291">
        <f t="shared" si="226"/>
        <v>9.9785776086956518E-3</v>
      </c>
      <c r="S184" s="1379">
        <f t="shared" si="226"/>
        <v>1.2329049492753623E-2</v>
      </c>
      <c r="T184" s="1379">
        <f t="shared" si="226"/>
        <v>7.7517569117647065E-3</v>
      </c>
      <c r="U184" s="1379">
        <f t="shared" si="226"/>
        <v>1.1352692857142859E-2</v>
      </c>
      <c r="V184" s="226"/>
      <c r="W184" s="476"/>
      <c r="X184" s="353"/>
      <c r="Y184" s="228"/>
      <c r="Z184" s="228"/>
      <c r="AA184" s="229"/>
      <c r="AB184" s="353"/>
      <c r="AC184" s="228"/>
      <c r="AD184" s="228"/>
      <c r="AE184" s="228"/>
      <c r="AF184" s="228"/>
      <c r="AG184" s="229"/>
      <c r="AH184" s="353"/>
      <c r="AI184" s="228"/>
      <c r="AJ184" s="228"/>
      <c r="AK184" s="228"/>
      <c r="AL184" s="228"/>
      <c r="AM184" s="228"/>
      <c r="AN184" s="228"/>
      <c r="AO184" s="463"/>
      <c r="AP184" s="228"/>
      <c r="AQ184" s="228"/>
      <c r="AR184" s="228"/>
      <c r="AS184" s="229"/>
      <c r="AT184" s="353"/>
      <c r="AU184" s="228"/>
      <c r="AV184" s="228"/>
      <c r="AW184" s="228"/>
      <c r="AX184" s="228"/>
      <c r="AY184" s="229"/>
      <c r="AZ184" s="353"/>
      <c r="BA184" s="228"/>
      <c r="BB184" s="228"/>
      <c r="BC184" s="228"/>
      <c r="BD184" s="228"/>
      <c r="BE184" s="228"/>
      <c r="BF184" s="228"/>
      <c r="BG184" s="463"/>
      <c r="BH184" s="228"/>
      <c r="BI184" s="228"/>
      <c r="BJ184" s="228"/>
      <c r="BK184" s="229"/>
      <c r="BL184" s="353"/>
      <c r="BM184" s="228"/>
      <c r="BN184" s="228"/>
      <c r="BO184" s="228"/>
      <c r="BP184" s="228"/>
      <c r="BQ184" s="229"/>
      <c r="BR184" s="353"/>
      <c r="BS184" s="228"/>
      <c r="BT184" s="228"/>
      <c r="BU184" s="228"/>
      <c r="BV184" s="228"/>
      <c r="BW184" s="228"/>
      <c r="BX184" s="228"/>
      <c r="BY184" s="463"/>
      <c r="BZ184" s="464"/>
      <c r="CA184" s="228"/>
      <c r="CB184" s="228"/>
      <c r="CC184" s="228"/>
      <c r="CD184" s="229"/>
      <c r="CE184" s="353"/>
      <c r="CF184" s="228"/>
      <c r="CG184" s="228"/>
      <c r="CH184" s="228"/>
      <c r="CI184" s="228"/>
      <c r="CJ184" s="229"/>
      <c r="CK184" s="353"/>
      <c r="CL184" s="228"/>
      <c r="CM184" s="228"/>
      <c r="CN184" s="228"/>
      <c r="CO184" s="228"/>
      <c r="CP184" s="228"/>
      <c r="CQ184" s="228"/>
      <c r="CR184" s="463"/>
      <c r="CS184" s="228"/>
      <c r="CT184" s="228"/>
      <c r="CU184" s="228"/>
      <c r="CV184" s="229"/>
      <c r="CW184" s="353"/>
      <c r="CX184" s="228"/>
      <c r="CY184" s="228"/>
      <c r="CZ184" s="228"/>
      <c r="DA184" s="228"/>
      <c r="DB184" s="229"/>
      <c r="DC184" s="353"/>
      <c r="DD184" s="228"/>
      <c r="DE184" s="228"/>
      <c r="DF184" s="228"/>
      <c r="DG184" s="228"/>
      <c r="DH184" s="228"/>
      <c r="DI184" s="228"/>
    </row>
    <row r="185" spans="3:113" ht="6.6" customHeight="1" thickBot="1" x14ac:dyDescent="0.3">
      <c r="F185" s="353"/>
      <c r="G185" s="228"/>
      <c r="H185" s="228"/>
      <c r="I185" s="1361"/>
      <c r="J185" s="353"/>
      <c r="K185" s="228"/>
      <c r="L185" s="228"/>
      <c r="M185" s="228"/>
      <c r="N185" s="1443"/>
      <c r="O185" s="1361"/>
      <c r="P185" s="353"/>
      <c r="Q185" s="228"/>
      <c r="R185" s="228"/>
      <c r="S185" s="1443"/>
      <c r="T185" s="1443"/>
      <c r="U185" s="1443"/>
      <c r="V185" s="228"/>
      <c r="W185" s="476"/>
      <c r="X185" s="353"/>
      <c r="Y185" s="228"/>
      <c r="Z185" s="228"/>
      <c r="AA185" s="229"/>
      <c r="AB185" s="353"/>
      <c r="AC185" s="228"/>
      <c r="AD185" s="228"/>
      <c r="AE185" s="228"/>
      <c r="AF185" s="228"/>
      <c r="AG185" s="229"/>
      <c r="AH185" s="353"/>
      <c r="AI185" s="228"/>
      <c r="AJ185" s="228"/>
      <c r="AK185" s="228"/>
      <c r="AL185" s="228"/>
      <c r="AM185" s="228"/>
      <c r="AN185" s="228"/>
      <c r="AO185" s="463"/>
      <c r="AP185" s="228"/>
      <c r="AQ185" s="228"/>
      <c r="AR185" s="228"/>
      <c r="AS185" s="229"/>
      <c r="AT185" s="353"/>
      <c r="AU185" s="228"/>
      <c r="AV185" s="228"/>
      <c r="AW185" s="228"/>
      <c r="AX185" s="228"/>
      <c r="AY185" s="229"/>
      <c r="AZ185" s="353"/>
      <c r="BA185" s="228"/>
      <c r="BB185" s="228"/>
      <c r="BC185" s="228"/>
      <c r="BD185" s="228"/>
      <c r="BE185" s="228"/>
      <c r="BF185" s="228"/>
      <c r="BG185" s="463"/>
      <c r="BH185" s="228"/>
      <c r="BI185" s="228"/>
      <c r="BJ185" s="228"/>
      <c r="BK185" s="229"/>
      <c r="BL185" s="353"/>
      <c r="BM185" s="228"/>
      <c r="BN185" s="228"/>
      <c r="BO185" s="228"/>
      <c r="BP185" s="228"/>
      <c r="BQ185" s="229"/>
      <c r="BR185" s="353"/>
      <c r="BS185" s="228"/>
      <c r="BT185" s="228"/>
      <c r="BU185" s="228"/>
      <c r="BV185" s="228"/>
      <c r="BW185" s="228"/>
      <c r="BX185" s="228"/>
      <c r="BY185" s="463"/>
      <c r="BZ185" s="464"/>
      <c r="CA185" s="228"/>
      <c r="CB185" s="228"/>
      <c r="CC185" s="228"/>
      <c r="CD185" s="229"/>
      <c r="CE185" s="353"/>
      <c r="CF185" s="228"/>
      <c r="CG185" s="228"/>
      <c r="CH185" s="228"/>
      <c r="CI185" s="228"/>
      <c r="CJ185" s="229"/>
      <c r="CK185" s="353"/>
      <c r="CL185" s="228"/>
      <c r="CM185" s="228"/>
      <c r="CN185" s="228"/>
      <c r="CO185" s="228"/>
      <c r="CP185" s="228"/>
      <c r="CQ185" s="228"/>
      <c r="CR185" s="463"/>
      <c r="CS185" s="228"/>
      <c r="CT185" s="228"/>
      <c r="CU185" s="228"/>
      <c r="CV185" s="229"/>
      <c r="CW185" s="353"/>
      <c r="CX185" s="228"/>
      <c r="CY185" s="228"/>
      <c r="CZ185" s="228"/>
      <c r="DA185" s="228"/>
      <c r="DB185" s="229"/>
      <c r="DC185" s="353"/>
      <c r="DD185" s="228"/>
      <c r="DE185" s="228"/>
      <c r="DF185" s="228"/>
      <c r="DG185" s="228"/>
      <c r="DH185" s="228"/>
      <c r="DI185" s="228"/>
    </row>
    <row r="186" spans="3:113" s="528" customFormat="1" ht="15.75" thickTop="1" x14ac:dyDescent="0.25">
      <c r="C186" s="524" t="s">
        <v>302</v>
      </c>
      <c r="D186" s="524"/>
      <c r="E186" s="524"/>
      <c r="F186" s="517">
        <f t="shared" ref="F186:V186" si="227">((F$92-(X$92+AP$92+BH$92))/F$92)*100</f>
        <v>64.498987612700304</v>
      </c>
      <c r="G186" s="511">
        <f t="shared" si="227"/>
        <v>66.260538076075704</v>
      </c>
      <c r="H186" s="511">
        <f t="shared" si="227"/>
        <v>65.200068088983215</v>
      </c>
      <c r="I186" s="1376">
        <f t="shared" si="227"/>
        <v>65.178077797459792</v>
      </c>
      <c r="J186" s="517">
        <f t="shared" si="227"/>
        <v>84.167966673459233</v>
      </c>
      <c r="K186" s="511">
        <f t="shared" si="227"/>
        <v>82.092170846131438</v>
      </c>
      <c r="L186" s="511">
        <f t="shared" si="227"/>
        <v>78.012112349376224</v>
      </c>
      <c r="M186" s="511">
        <f t="shared" si="227"/>
        <v>78.680928642779847</v>
      </c>
      <c r="N186" s="1456">
        <f t="shared" si="227"/>
        <v>77.873998304433286</v>
      </c>
      <c r="O186" s="1376">
        <f t="shared" si="227"/>
        <v>77.130923025345879</v>
      </c>
      <c r="P186" s="517">
        <f t="shared" si="227"/>
        <v>77.172629470171387</v>
      </c>
      <c r="Q186" s="511">
        <f t="shared" si="227"/>
        <v>80.116179498733715</v>
      </c>
      <c r="R186" s="511">
        <f t="shared" si="227"/>
        <v>79.164795006328703</v>
      </c>
      <c r="S186" s="1456">
        <f t="shared" si="227"/>
        <v>79.882526565786861</v>
      </c>
      <c r="T186" s="1456">
        <f t="shared" si="227"/>
        <v>78.602035800582811</v>
      </c>
      <c r="U186" s="1456">
        <f t="shared" si="227"/>
        <v>81.366708634844798</v>
      </c>
      <c r="V186" s="511" t="e">
        <f t="shared" si="227"/>
        <v>#DIV/0!</v>
      </c>
      <c r="W186" s="480"/>
      <c r="X186" s="481"/>
      <c r="Y186" s="466"/>
      <c r="Z186" s="466"/>
      <c r="AA186" s="519"/>
      <c r="AB186" s="481" t="s">
        <v>157</v>
      </c>
      <c r="AC186" s="1506">
        <f>AVERAGE(H186:I186)</f>
        <v>65.189072943221504</v>
      </c>
      <c r="AD186" s="1506">
        <f>AVERAGE(M186:O186)</f>
        <v>77.895283324186337</v>
      </c>
      <c r="AE186" s="1506">
        <f>AVERAGE(S186:U186)</f>
        <v>79.95042366707149</v>
      </c>
      <c r="AF186" s="466"/>
      <c r="AG186" s="519"/>
      <c r="AH186" s="481"/>
      <c r="AI186" s="466"/>
      <c r="AJ186" s="466"/>
      <c r="AK186" s="466"/>
      <c r="AL186" s="466"/>
      <c r="AM186" s="466"/>
      <c r="AN186" s="466"/>
      <c r="AO186" s="482"/>
      <c r="AP186" s="466"/>
      <c r="AQ186" s="466"/>
      <c r="AR186" s="466"/>
      <c r="AS186" s="519"/>
      <c r="AT186" s="481"/>
      <c r="AU186" s="466"/>
      <c r="AV186" s="466"/>
      <c r="AW186" s="466"/>
      <c r="AX186" s="466"/>
      <c r="AY186" s="519"/>
      <c r="AZ186" s="481"/>
      <c r="BA186" s="466"/>
      <c r="BB186" s="466"/>
      <c r="BC186" s="466"/>
      <c r="BD186" s="466"/>
      <c r="BE186" s="466"/>
      <c r="BF186" s="466"/>
      <c r="BG186" s="482"/>
      <c r="BH186" s="466"/>
      <c r="BI186" s="466"/>
      <c r="BJ186" s="466"/>
      <c r="BK186" s="519"/>
      <c r="BL186" s="481"/>
      <c r="BM186" s="466"/>
      <c r="BN186" s="466"/>
      <c r="BO186" s="466"/>
      <c r="BP186" s="466"/>
      <c r="BQ186" s="519"/>
      <c r="BR186" s="481"/>
      <c r="BS186" s="466"/>
      <c r="BT186" s="466"/>
      <c r="BU186" s="466"/>
      <c r="BV186" s="466"/>
      <c r="BW186" s="466"/>
      <c r="BX186" s="466"/>
      <c r="BY186" s="482"/>
      <c r="BZ186" s="485"/>
      <c r="CA186" s="466"/>
      <c r="CB186" s="466"/>
      <c r="CC186" s="466"/>
      <c r="CD186" s="519"/>
      <c r="CE186" s="481"/>
      <c r="CF186" s="466"/>
      <c r="CG186" s="466"/>
      <c r="CH186" s="466"/>
      <c r="CI186" s="466"/>
      <c r="CJ186" s="519"/>
      <c r="CK186" s="481"/>
      <c r="CL186" s="466"/>
      <c r="CM186" s="466"/>
      <c r="CN186" s="466"/>
      <c r="CO186" s="466"/>
      <c r="CP186" s="466"/>
      <c r="CQ186" s="466"/>
      <c r="CR186" s="482"/>
      <c r="CS186" s="466"/>
      <c r="CT186" s="466"/>
      <c r="CU186" s="466"/>
      <c r="CV186" s="519"/>
      <c r="CW186" s="481"/>
      <c r="CX186" s="466"/>
      <c r="CY186" s="466"/>
      <c r="CZ186" s="466"/>
      <c r="DA186" s="466"/>
      <c r="DB186" s="519"/>
      <c r="DC186" s="481"/>
      <c r="DD186" s="466"/>
      <c r="DE186" s="466"/>
      <c r="DF186" s="466"/>
      <c r="DG186" s="466"/>
      <c r="DH186" s="466"/>
      <c r="DI186" s="466"/>
    </row>
    <row r="187" spans="3:113" x14ac:dyDescent="0.25">
      <c r="C187" s="637" t="s">
        <v>214</v>
      </c>
      <c r="D187" s="637"/>
      <c r="E187" s="637"/>
      <c r="F187" s="640">
        <v>72</v>
      </c>
      <c r="G187" s="641">
        <v>68</v>
      </c>
      <c r="H187" s="641">
        <v>66</v>
      </c>
      <c r="I187" s="1337">
        <v>65.599999999999994</v>
      </c>
      <c r="J187" s="640">
        <v>86</v>
      </c>
      <c r="K187" s="641">
        <v>87</v>
      </c>
      <c r="L187" s="641">
        <v>86</v>
      </c>
      <c r="M187" s="641">
        <v>85.5</v>
      </c>
      <c r="N187" s="1418">
        <v>85</v>
      </c>
      <c r="O187" s="1337">
        <v>84.6</v>
      </c>
      <c r="P187" s="640">
        <v>81</v>
      </c>
      <c r="Q187" s="641">
        <v>82</v>
      </c>
      <c r="R187" s="641">
        <v>82.3</v>
      </c>
      <c r="S187" s="1418">
        <v>83</v>
      </c>
      <c r="T187" s="1418">
        <v>82.5</v>
      </c>
      <c r="U187" s="1418">
        <v>82.1</v>
      </c>
      <c r="AC187" s="674">
        <f>AVERAGE(G187:H187)</f>
        <v>67</v>
      </c>
      <c r="AD187" s="674">
        <f>AVERAGE(N187:O187)</f>
        <v>84.8</v>
      </c>
      <c r="AE187" s="674">
        <f>AVERAGE(S187:U187)</f>
        <v>82.533333333333331</v>
      </c>
    </row>
    <row r="188" spans="3:113" s="506" customFormat="1" ht="11.1" customHeight="1" thickBot="1" x14ac:dyDescent="0.3">
      <c r="C188" s="499"/>
      <c r="D188" s="499"/>
      <c r="E188" s="499"/>
      <c r="F188" s="520"/>
      <c r="G188" s="521"/>
      <c r="H188" s="521"/>
      <c r="I188" s="1375"/>
      <c r="J188" s="520"/>
      <c r="K188" s="521"/>
      <c r="L188" s="521"/>
      <c r="M188" s="521"/>
      <c r="N188" s="1455"/>
      <c r="O188" s="1375"/>
      <c r="P188" s="520"/>
      <c r="Q188" s="521"/>
      <c r="R188" s="521"/>
      <c r="S188" s="1455"/>
      <c r="T188" s="1455"/>
      <c r="U188" s="1455"/>
      <c r="V188" s="501"/>
      <c r="W188" s="503"/>
      <c r="X188" s="500"/>
      <c r="Y188" s="501"/>
      <c r="Z188" s="501"/>
      <c r="AA188" s="502"/>
      <c r="AB188" s="500"/>
      <c r="AC188" s="501"/>
      <c r="AD188" s="501"/>
      <c r="AE188" s="501"/>
      <c r="AF188" s="501"/>
      <c r="AG188" s="502"/>
      <c r="AH188" s="500"/>
      <c r="AI188" s="501"/>
      <c r="AJ188" s="501"/>
      <c r="AK188" s="501"/>
      <c r="AL188" s="501"/>
      <c r="AM188" s="501"/>
      <c r="AN188" s="501"/>
      <c r="AO188" s="504"/>
      <c r="AP188" s="501"/>
      <c r="AQ188" s="501"/>
      <c r="AR188" s="501"/>
      <c r="AS188" s="502"/>
      <c r="AT188" s="500"/>
      <c r="AU188" s="501"/>
      <c r="AV188" s="501"/>
      <c r="AW188" s="501"/>
      <c r="AX188" s="501"/>
      <c r="AY188" s="502"/>
      <c r="AZ188" s="500"/>
      <c r="BA188" s="501"/>
      <c r="BB188" s="501"/>
      <c r="BC188" s="501"/>
      <c r="BD188" s="501"/>
      <c r="BE188" s="501"/>
      <c r="BF188" s="501"/>
      <c r="BG188" s="504"/>
      <c r="BH188" s="501"/>
      <c r="BI188" s="501"/>
      <c r="BJ188" s="501"/>
      <c r="BK188" s="502"/>
      <c r="BL188" s="500"/>
      <c r="BM188" s="501"/>
      <c r="BN188" s="501"/>
      <c r="BO188" s="501"/>
      <c r="BP188" s="501"/>
      <c r="BQ188" s="502"/>
      <c r="BR188" s="500"/>
      <c r="BS188" s="501"/>
      <c r="BT188" s="501"/>
      <c r="BU188" s="501"/>
      <c r="BV188" s="501"/>
      <c r="BW188" s="501"/>
      <c r="BX188" s="501"/>
      <c r="BY188" s="504"/>
      <c r="BZ188" s="505"/>
      <c r="CA188" s="501"/>
      <c r="CB188" s="501"/>
      <c r="CC188" s="501"/>
      <c r="CD188" s="502"/>
      <c r="CE188" s="500"/>
      <c r="CF188" s="501"/>
      <c r="CG188" s="501"/>
      <c r="CH188" s="501"/>
      <c r="CI188" s="501"/>
      <c r="CJ188" s="502"/>
      <c r="CK188" s="500"/>
      <c r="CL188" s="501"/>
      <c r="CM188" s="501"/>
      <c r="CN188" s="501"/>
      <c r="CO188" s="501"/>
      <c r="CP188" s="501"/>
      <c r="CQ188" s="501"/>
      <c r="CR188" s="504"/>
      <c r="CS188" s="501"/>
      <c r="CT188" s="501"/>
      <c r="CU188" s="501"/>
      <c r="CV188" s="502"/>
      <c r="CW188" s="500"/>
      <c r="CX188" s="501"/>
      <c r="CY188" s="501"/>
      <c r="CZ188" s="501"/>
      <c r="DA188" s="501"/>
      <c r="DB188" s="502"/>
      <c r="DC188" s="500"/>
      <c r="DD188" s="501"/>
      <c r="DE188" s="501"/>
      <c r="DF188" s="501"/>
      <c r="DG188" s="501"/>
      <c r="DH188" s="501"/>
      <c r="DI188" s="501"/>
    </row>
    <row r="189" spans="3:113" ht="15.75" thickTop="1" x14ac:dyDescent="0.25">
      <c r="C189" s="1" t="s">
        <v>301</v>
      </c>
      <c r="F189" s="397">
        <f>((F$93-(X$93+AP$93+BH$93))/F$93)*100</f>
        <v>38.689882177323334</v>
      </c>
      <c r="G189" s="395">
        <f t="shared" ref="G189:V189" si="228">((G$93-(Y$93+AQ$93+BI$93))/G$93)*100</f>
        <v>39.321934701991587</v>
      </c>
      <c r="H189" s="395">
        <f t="shared" si="228"/>
        <v>43.4371551972229</v>
      </c>
      <c r="I189" s="1380">
        <f t="shared" si="228"/>
        <v>39.672386452424909</v>
      </c>
      <c r="J189" s="397">
        <f t="shared" si="228"/>
        <v>63.187613904350457</v>
      </c>
      <c r="K189" s="395">
        <f t="shared" si="228"/>
        <v>41.204457959699141</v>
      </c>
      <c r="L189" s="395">
        <f t="shared" si="228"/>
        <v>36.193380883636706</v>
      </c>
      <c r="M189" s="395">
        <f t="shared" si="228"/>
        <v>37.596947448157117</v>
      </c>
      <c r="N189" s="1458">
        <f t="shared" si="228"/>
        <v>32.016728421017319</v>
      </c>
      <c r="O189" s="1380">
        <f t="shared" si="228"/>
        <v>35.294825697057583</v>
      </c>
      <c r="P189" s="397">
        <f t="shared" si="228"/>
        <v>39.416038812699064</v>
      </c>
      <c r="Q189" s="395">
        <f t="shared" si="228"/>
        <v>34.961016617338515</v>
      </c>
      <c r="R189" s="395">
        <f t="shared" si="228"/>
        <v>28.597698662762067</v>
      </c>
      <c r="S189" s="1458">
        <f t="shared" si="228"/>
        <v>31.424754290060097</v>
      </c>
      <c r="T189" s="1458">
        <f t="shared" si="228"/>
        <v>29.141392273555301</v>
      </c>
      <c r="U189" s="1458">
        <f t="shared" si="228"/>
        <v>40.305184807574364</v>
      </c>
      <c r="V189" s="395" t="e">
        <f t="shared" si="228"/>
        <v>#DIV/0!</v>
      </c>
      <c r="W189" s="468"/>
      <c r="X189" s="352"/>
      <c r="Y189" s="234"/>
      <c r="Z189" s="234"/>
      <c r="AA189" s="235"/>
      <c r="AB189" s="352"/>
      <c r="AC189" s="234"/>
      <c r="AD189" s="234"/>
      <c r="AE189" s="234"/>
      <c r="AF189" s="234"/>
      <c r="AG189" s="235"/>
      <c r="AH189" s="352"/>
      <c r="AI189" s="234"/>
      <c r="AJ189" s="234"/>
      <c r="AK189" s="234"/>
      <c r="AL189" s="234"/>
      <c r="AM189" s="234"/>
      <c r="AN189" s="234"/>
      <c r="AO189" s="486"/>
      <c r="AP189" s="234"/>
      <c r="AQ189" s="234"/>
      <c r="AR189" s="234"/>
      <c r="AS189" s="235"/>
      <c r="AT189" s="352"/>
      <c r="AU189" s="234"/>
      <c r="AV189" s="234"/>
      <c r="AW189" s="234"/>
      <c r="AX189" s="234"/>
      <c r="AY189" s="235"/>
      <c r="AZ189" s="352"/>
      <c r="BA189" s="234"/>
      <c r="BB189" s="234"/>
      <c r="BC189" s="234"/>
      <c r="BD189" s="234"/>
      <c r="BE189" s="234"/>
      <c r="BF189" s="234"/>
      <c r="BG189" s="486"/>
      <c r="BH189" s="234"/>
      <c r="BI189" s="234"/>
      <c r="BJ189" s="234"/>
      <c r="BK189" s="235"/>
      <c r="BL189" s="352"/>
      <c r="BM189" s="234"/>
      <c r="BN189" s="234"/>
      <c r="BO189" s="234"/>
      <c r="BP189" s="234"/>
      <c r="BQ189" s="235"/>
      <c r="BR189" s="352"/>
      <c r="BS189" s="234"/>
      <c r="BT189" s="234"/>
      <c r="BU189" s="234"/>
      <c r="BV189" s="234"/>
      <c r="BW189" s="234"/>
      <c r="BX189" s="234"/>
      <c r="BY189" s="486"/>
      <c r="BZ189" s="488"/>
      <c r="CA189" s="234"/>
      <c r="CB189" s="234"/>
      <c r="CC189" s="234"/>
      <c r="CD189" s="235"/>
      <c r="CE189" s="352"/>
      <c r="CF189" s="234"/>
      <c r="CG189" s="234"/>
      <c r="CH189" s="234"/>
      <c r="CI189" s="234"/>
      <c r="CJ189" s="235"/>
      <c r="CK189" s="352"/>
      <c r="CL189" s="234"/>
      <c r="CM189" s="234"/>
      <c r="CN189" s="234"/>
      <c r="CO189" s="234"/>
      <c r="CP189" s="234"/>
      <c r="CQ189" s="234"/>
      <c r="CR189" s="486"/>
      <c r="CS189" s="234"/>
      <c r="CT189" s="234"/>
      <c r="CU189" s="234"/>
      <c r="CV189" s="235"/>
      <c r="CW189" s="352"/>
      <c r="CX189" s="234"/>
      <c r="CY189" s="234"/>
      <c r="CZ189" s="234"/>
      <c r="DA189" s="234"/>
      <c r="DB189" s="235"/>
      <c r="DC189" s="352"/>
      <c r="DD189" s="234"/>
      <c r="DE189" s="234"/>
      <c r="DF189" s="234"/>
      <c r="DG189" s="234"/>
      <c r="DH189" s="234"/>
      <c r="DI189" s="234"/>
    </row>
    <row r="190" spans="3:113" x14ac:dyDescent="0.25">
      <c r="C190" s="637" t="s">
        <v>285</v>
      </c>
      <c r="D190" s="637"/>
      <c r="E190" s="637"/>
      <c r="F190" s="640">
        <v>38</v>
      </c>
      <c r="G190" s="641">
        <v>31.5</v>
      </c>
      <c r="H190" s="641">
        <v>27.5</v>
      </c>
      <c r="I190" s="1337">
        <v>28.4</v>
      </c>
      <c r="J190" s="640">
        <v>55.5</v>
      </c>
      <c r="K190" s="641">
        <v>45</v>
      </c>
      <c r="L190" s="641">
        <v>43</v>
      </c>
      <c r="M190" s="641">
        <v>42.5</v>
      </c>
      <c r="N190" s="1418">
        <v>41.5</v>
      </c>
      <c r="O190" s="1337">
        <v>40.700000000000003</v>
      </c>
      <c r="P190" s="640">
        <v>39</v>
      </c>
      <c r="Q190" s="641">
        <v>38</v>
      </c>
      <c r="R190" s="641">
        <v>41.5</v>
      </c>
      <c r="S190" s="1418">
        <v>41</v>
      </c>
      <c r="T190" s="1418">
        <v>40.5</v>
      </c>
      <c r="U190" s="1418">
        <v>40.5</v>
      </c>
    </row>
    <row r="191" spans="3:113" ht="7.5" customHeight="1" x14ac:dyDescent="0.25">
      <c r="F191" s="322"/>
      <c r="G191" s="261"/>
      <c r="H191" s="261"/>
      <c r="I191" s="1337"/>
      <c r="J191" s="322"/>
      <c r="K191" s="261"/>
      <c r="L191" s="261"/>
      <c r="M191" s="261"/>
      <c r="N191" s="1418"/>
      <c r="O191" s="1337"/>
      <c r="P191" s="322"/>
      <c r="Q191" s="261"/>
      <c r="R191" s="261"/>
      <c r="S191" s="1418"/>
      <c r="T191" s="1418"/>
      <c r="U191" s="1418"/>
    </row>
    <row r="192" spans="3:113" s="227" customFormat="1" x14ac:dyDescent="0.25">
      <c r="C192" s="224" t="s">
        <v>300</v>
      </c>
      <c r="D192" s="224"/>
      <c r="E192" s="224"/>
      <c r="F192" s="328">
        <f t="shared" ref="F192:V192" si="229">(F$186*F$92)/100</f>
        <v>13.110662553191487</v>
      </c>
      <c r="G192" s="263">
        <f t="shared" si="229"/>
        <v>13.029478833333332</v>
      </c>
      <c r="H192" s="261">
        <f t="shared" si="229"/>
        <v>12.602795128368793</v>
      </c>
      <c r="I192" s="1337">
        <f t="shared" si="229"/>
        <v>12.607491743548387</v>
      </c>
      <c r="J192" s="328">
        <f t="shared" si="229"/>
        <v>7.7083210900000019</v>
      </c>
      <c r="K192" s="263">
        <f t="shared" si="229"/>
        <v>8.4200654715942047</v>
      </c>
      <c r="L192" s="263">
        <f t="shared" si="229"/>
        <v>8.717592384057971</v>
      </c>
      <c r="M192" s="263">
        <f t="shared" si="229"/>
        <v>8.1597185949275381</v>
      </c>
      <c r="N192" s="1441">
        <f t="shared" si="229"/>
        <v>8.0220917463768107</v>
      </c>
      <c r="O192" s="1359">
        <f t="shared" si="229"/>
        <v>8.0524012934782618</v>
      </c>
      <c r="P192" s="328">
        <f t="shared" si="229"/>
        <v>7.4925362499999997</v>
      </c>
      <c r="Q192" s="263">
        <f t="shared" si="229"/>
        <v>7.8167085217391312</v>
      </c>
      <c r="R192" s="263">
        <f t="shared" si="229"/>
        <v>8.1086337981884054</v>
      </c>
      <c r="S192" s="1441">
        <f t="shared" si="229"/>
        <v>7.8194296195652191</v>
      </c>
      <c r="T192" s="1441">
        <f t="shared" si="229"/>
        <v>7.4611567647058834</v>
      </c>
      <c r="U192" s="1441">
        <f t="shared" si="229"/>
        <v>7.889876873626374</v>
      </c>
      <c r="V192" s="263" t="e">
        <f t="shared" si="229"/>
        <v>#DIV/0!</v>
      </c>
      <c r="W192" s="444"/>
      <c r="X192" s="320"/>
      <c r="Y192" s="241"/>
      <c r="Z192" s="241"/>
      <c r="AA192" s="240"/>
      <c r="AB192" s="320"/>
      <c r="AC192" s="241"/>
      <c r="AD192" s="241"/>
      <c r="AE192" s="241"/>
      <c r="AF192" s="241"/>
      <c r="AG192" s="240"/>
      <c r="AH192" s="320"/>
      <c r="AI192" s="241"/>
      <c r="AJ192" s="241"/>
      <c r="AK192" s="241"/>
      <c r="AL192" s="241"/>
      <c r="AM192" s="241"/>
      <c r="AN192" s="241"/>
      <c r="AO192" s="419"/>
      <c r="AP192" s="241"/>
      <c r="AQ192" s="241"/>
      <c r="AR192" s="241"/>
      <c r="AS192" s="240"/>
      <c r="AT192" s="320"/>
      <c r="AU192" s="241"/>
      <c r="AV192" s="241"/>
      <c r="AW192" s="241"/>
      <c r="AX192" s="241"/>
      <c r="AY192" s="240"/>
      <c r="AZ192" s="320"/>
      <c r="BA192" s="241"/>
      <c r="BB192" s="241"/>
      <c r="BC192" s="241"/>
      <c r="BD192" s="241"/>
      <c r="BE192" s="241"/>
      <c r="BF192" s="241"/>
      <c r="BG192" s="419"/>
      <c r="BH192" s="241"/>
      <c r="BI192" s="241"/>
      <c r="BJ192" s="241"/>
      <c r="BK192" s="240"/>
      <c r="BL192" s="320"/>
      <c r="BM192" s="241"/>
      <c r="BN192" s="241"/>
      <c r="BO192" s="241"/>
      <c r="BP192" s="241"/>
      <c r="BQ192" s="240"/>
      <c r="BR192" s="320"/>
      <c r="BS192" s="241"/>
      <c r="BT192" s="241"/>
      <c r="BU192" s="241"/>
      <c r="BV192" s="241"/>
      <c r="BW192" s="241"/>
      <c r="BX192" s="241"/>
      <c r="BY192" s="419"/>
      <c r="BZ192" s="250"/>
      <c r="CA192" s="241"/>
      <c r="CB192" s="241"/>
      <c r="CC192" s="241"/>
      <c r="CD192" s="240"/>
      <c r="CE192" s="320"/>
      <c r="CF192" s="241"/>
      <c r="CG192" s="241"/>
      <c r="CH192" s="241"/>
      <c r="CI192" s="241"/>
      <c r="CJ192" s="240"/>
      <c r="CK192" s="320"/>
      <c r="CL192" s="241"/>
      <c r="CM192" s="241"/>
      <c r="CN192" s="241"/>
      <c r="CO192" s="241"/>
      <c r="CP192" s="241"/>
      <c r="CQ192" s="241"/>
      <c r="CR192" s="419"/>
      <c r="CS192" s="241"/>
      <c r="CT192" s="241"/>
      <c r="CU192" s="241"/>
      <c r="CV192" s="240"/>
      <c r="CW192" s="320"/>
      <c r="CX192" s="241"/>
      <c r="CY192" s="241"/>
      <c r="CZ192" s="241"/>
      <c r="DA192" s="241"/>
      <c r="DB192" s="240"/>
      <c r="DC192" s="320"/>
      <c r="DD192" s="241"/>
      <c r="DE192" s="241"/>
      <c r="DF192" s="241"/>
      <c r="DG192" s="241"/>
      <c r="DH192" s="241"/>
      <c r="DI192" s="241"/>
    </row>
    <row r="193" spans="1:113" x14ac:dyDescent="0.25">
      <c r="C193" s="1" t="s">
        <v>183</v>
      </c>
      <c r="F193" s="328">
        <f t="shared" ref="F193:V193" si="230">F$192*$K$113/$G$113</f>
        <v>13.930078962765954</v>
      </c>
      <c r="G193" s="263">
        <f t="shared" si="230"/>
        <v>13.843821260416666</v>
      </c>
      <c r="H193" s="261">
        <f t="shared" si="230"/>
        <v>13.390469823891843</v>
      </c>
      <c r="I193" s="1337">
        <f t="shared" si="230"/>
        <v>13.395459977520161</v>
      </c>
      <c r="J193" s="328">
        <f t="shared" si="230"/>
        <v>8.1900911581250018</v>
      </c>
      <c r="K193" s="263">
        <f t="shared" si="230"/>
        <v>8.9463195635688422</v>
      </c>
      <c r="L193" s="263">
        <f t="shared" si="230"/>
        <v>9.2624419080615947</v>
      </c>
      <c r="M193" s="263">
        <f t="shared" si="230"/>
        <v>8.6697010071105094</v>
      </c>
      <c r="N193" s="1441">
        <f t="shared" si="230"/>
        <v>8.5234724805253617</v>
      </c>
      <c r="O193" s="1359">
        <f t="shared" si="230"/>
        <v>8.5556763743206528</v>
      </c>
      <c r="P193" s="328">
        <f t="shared" si="230"/>
        <v>7.9608197656249997</v>
      </c>
      <c r="Q193" s="263">
        <f t="shared" si="230"/>
        <v>8.3052528043478269</v>
      </c>
      <c r="R193" s="263">
        <f t="shared" si="230"/>
        <v>8.6154234105751808</v>
      </c>
      <c r="S193" s="1441">
        <f t="shared" si="230"/>
        <v>8.3081439707880449</v>
      </c>
      <c r="T193" s="1441">
        <f t="shared" si="230"/>
        <v>7.9274790625000016</v>
      </c>
      <c r="U193" s="1441">
        <f t="shared" si="230"/>
        <v>8.3829941782280226</v>
      </c>
      <c r="V193" s="263" t="e">
        <f t="shared" si="230"/>
        <v>#DIV/0!</v>
      </c>
    </row>
    <row r="194" spans="1:113" x14ac:dyDescent="0.25">
      <c r="C194" s="1" t="s">
        <v>216</v>
      </c>
      <c r="F194" s="328">
        <f t="shared" ref="F194:V194" si="231">$I$113/$K$113*F$193</f>
        <v>0.81941640957446782</v>
      </c>
      <c r="G194" s="263">
        <f t="shared" si="231"/>
        <v>0.81434242708333326</v>
      </c>
      <c r="H194" s="263">
        <f t="shared" si="231"/>
        <v>0.78767469552304958</v>
      </c>
      <c r="I194" s="1359">
        <f t="shared" si="231"/>
        <v>0.78796823397177418</v>
      </c>
      <c r="J194" s="328">
        <f t="shared" si="231"/>
        <v>0.48177006812500012</v>
      </c>
      <c r="K194" s="263">
        <f t="shared" si="231"/>
        <v>0.52625409197463779</v>
      </c>
      <c r="L194" s="263">
        <f t="shared" si="231"/>
        <v>0.54484952400362319</v>
      </c>
      <c r="M194" s="263">
        <f t="shared" si="231"/>
        <v>0.50998241218297113</v>
      </c>
      <c r="N194" s="1441">
        <f t="shared" si="231"/>
        <v>0.50138073414855067</v>
      </c>
      <c r="O194" s="1359">
        <f t="shared" si="231"/>
        <v>0.50327508084239136</v>
      </c>
      <c r="P194" s="328">
        <f t="shared" si="231"/>
        <v>0.46828351562499998</v>
      </c>
      <c r="Q194" s="263">
        <f t="shared" si="231"/>
        <v>0.4885442826086957</v>
      </c>
      <c r="R194" s="263">
        <f t="shared" si="231"/>
        <v>0.50678961238677533</v>
      </c>
      <c r="S194" s="1441">
        <f t="shared" si="231"/>
        <v>0.48871435122282614</v>
      </c>
      <c r="T194" s="1441">
        <f t="shared" si="231"/>
        <v>0.46632229779411771</v>
      </c>
      <c r="U194" s="1441">
        <f t="shared" si="231"/>
        <v>0.49311730460164838</v>
      </c>
      <c r="V194" s="263" t="e">
        <f t="shared" si="231"/>
        <v>#DIV/0!</v>
      </c>
    </row>
    <row r="195" spans="1:113" x14ac:dyDescent="0.25">
      <c r="C195" s="1" t="s">
        <v>205</v>
      </c>
      <c r="F195" s="328">
        <f t="shared" ref="F195:V195" si="232">(F$189*F$93)/100</f>
        <v>0.73586476595744688</v>
      </c>
      <c r="G195" s="263">
        <f t="shared" si="232"/>
        <v>0.72349548333333336</v>
      </c>
      <c r="H195" s="263">
        <f t="shared" si="232"/>
        <v>0.78561372441961042</v>
      </c>
      <c r="I195" s="1359">
        <f t="shared" si="232"/>
        <v>0.71803287715053754</v>
      </c>
      <c r="J195" s="328">
        <f t="shared" si="232"/>
        <v>0.75036281080000011</v>
      </c>
      <c r="K195" s="263">
        <f t="shared" si="232"/>
        <v>0.54800474389884068</v>
      </c>
      <c r="L195" s="263">
        <f t="shared" si="232"/>
        <v>0.52443305639492754</v>
      </c>
      <c r="M195" s="263">
        <f t="shared" si="232"/>
        <v>0.5055739332688407</v>
      </c>
      <c r="N195" s="1441">
        <f t="shared" si="232"/>
        <v>0.42765985844202903</v>
      </c>
      <c r="O195" s="1359">
        <f t="shared" si="232"/>
        <v>0.47778697619565186</v>
      </c>
      <c r="P195" s="328">
        <f t="shared" si="232"/>
        <v>0.57340238083333317</v>
      </c>
      <c r="Q195" s="263">
        <f t="shared" si="232"/>
        <v>0.51110331746376791</v>
      </c>
      <c r="R195" s="263">
        <f t="shared" si="232"/>
        <v>0.43890208257246344</v>
      </c>
      <c r="S195" s="1441">
        <f t="shared" si="232"/>
        <v>0.46091000271739108</v>
      </c>
      <c r="T195" s="1441">
        <f t="shared" si="232"/>
        <v>0.41448004617647044</v>
      </c>
      <c r="U195" s="1441">
        <f t="shared" si="232"/>
        <v>0.58560577934065916</v>
      </c>
      <c r="V195" s="263" t="e">
        <f t="shared" si="232"/>
        <v>#DIV/0!</v>
      </c>
    </row>
    <row r="196" spans="1:113" x14ac:dyDescent="0.25">
      <c r="C196" s="1" t="s">
        <v>184</v>
      </c>
      <c r="F196" s="328">
        <f t="shared" ref="F196:V196" si="233">F$195*$K$114/$G$114</f>
        <v>0.89355007294832833</v>
      </c>
      <c r="G196" s="263">
        <f t="shared" si="233"/>
        <v>0.87853022976190487</v>
      </c>
      <c r="H196" s="263">
        <f t="shared" si="233"/>
        <v>0.95395952250952687</v>
      </c>
      <c r="I196" s="1359">
        <f t="shared" si="233"/>
        <v>0.871897065111367</v>
      </c>
      <c r="J196" s="328">
        <f t="shared" si="233"/>
        <v>0.91115484168571448</v>
      </c>
      <c r="K196" s="263">
        <f t="shared" si="233"/>
        <v>0.66543433187716361</v>
      </c>
      <c r="L196" s="263">
        <f t="shared" si="233"/>
        <v>0.63681156847955489</v>
      </c>
      <c r="M196" s="263">
        <f t="shared" si="233"/>
        <v>0.61391120468359228</v>
      </c>
      <c r="N196" s="1441">
        <f t="shared" si="233"/>
        <v>0.51930125667960669</v>
      </c>
      <c r="O196" s="1359">
        <f t="shared" si="233"/>
        <v>0.58016989966614863</v>
      </c>
      <c r="P196" s="328">
        <f t="shared" si="233"/>
        <v>0.69627431958333308</v>
      </c>
      <c r="Q196" s="263">
        <f t="shared" si="233"/>
        <v>0.62062545692028959</v>
      </c>
      <c r="R196" s="263">
        <f t="shared" si="233"/>
        <v>0.53295252883799127</v>
      </c>
      <c r="S196" s="1441">
        <f t="shared" si="233"/>
        <v>0.55967643187111771</v>
      </c>
      <c r="T196" s="1441">
        <f t="shared" si="233"/>
        <v>0.50329719892857128</v>
      </c>
      <c r="U196" s="1441">
        <f t="shared" si="233"/>
        <v>0.71109273205651469</v>
      </c>
      <c r="V196" s="263" t="e">
        <f t="shared" si="233"/>
        <v>#DIV/0!</v>
      </c>
    </row>
    <row r="197" spans="1:113" x14ac:dyDescent="0.25">
      <c r="C197" s="1" t="s">
        <v>217</v>
      </c>
      <c r="F197" s="328">
        <f t="shared" ref="F197:V197" si="234">$I$114/$K$114*F$196</f>
        <v>0.15768530699088149</v>
      </c>
      <c r="G197" s="263">
        <f t="shared" si="234"/>
        <v>0.15503474642857146</v>
      </c>
      <c r="H197" s="263">
        <f t="shared" si="234"/>
        <v>0.16834579808991651</v>
      </c>
      <c r="I197" s="1359">
        <f t="shared" si="234"/>
        <v>0.15386418796082948</v>
      </c>
      <c r="J197" s="328">
        <f t="shared" si="234"/>
        <v>0.16079203088571434</v>
      </c>
      <c r="K197" s="263">
        <f t="shared" si="234"/>
        <v>0.11742958797832299</v>
      </c>
      <c r="L197" s="263">
        <f t="shared" si="234"/>
        <v>0.11237851208462735</v>
      </c>
      <c r="M197" s="263">
        <f t="shared" si="234"/>
        <v>0.10833727141475159</v>
      </c>
      <c r="N197" s="1441">
        <f t="shared" si="234"/>
        <v>9.1641398237577651E-2</v>
      </c>
      <c r="O197" s="1359">
        <f t="shared" si="234"/>
        <v>0.10238292347049682</v>
      </c>
      <c r="P197" s="328">
        <f t="shared" si="234"/>
        <v>0.12287193874999996</v>
      </c>
      <c r="Q197" s="263">
        <f t="shared" si="234"/>
        <v>0.1095221394565217</v>
      </c>
      <c r="R197" s="263">
        <f t="shared" si="234"/>
        <v>9.4050446265527873E-2</v>
      </c>
      <c r="S197" s="1441">
        <f t="shared" si="234"/>
        <v>9.8766429153726659E-2</v>
      </c>
      <c r="T197" s="1441">
        <f t="shared" si="234"/>
        <v>8.8817152752100822E-2</v>
      </c>
      <c r="U197" s="1441">
        <f t="shared" si="234"/>
        <v>0.12548695271585555</v>
      </c>
      <c r="V197" s="263" t="e">
        <f t="shared" si="234"/>
        <v>#DIV/0!</v>
      </c>
    </row>
    <row r="198" spans="1:113" s="506" customFormat="1" ht="12.95" customHeight="1" thickBot="1" x14ac:dyDescent="0.3">
      <c r="C198" s="499"/>
      <c r="D198" s="499"/>
      <c r="E198" s="499"/>
      <c r="F198" s="500"/>
      <c r="G198" s="501"/>
      <c r="H198" s="501"/>
      <c r="I198" s="1328"/>
      <c r="J198" s="500"/>
      <c r="K198" s="501"/>
      <c r="L198" s="501"/>
      <c r="M198" s="501"/>
      <c r="N198" s="1404"/>
      <c r="O198" s="1328"/>
      <c r="P198" s="500"/>
      <c r="Q198" s="501"/>
      <c r="R198" s="501"/>
      <c r="S198" s="1404"/>
      <c r="T198" s="1404"/>
      <c r="U198" s="1404"/>
      <c r="V198" s="501"/>
      <c r="W198" s="503"/>
      <c r="X198" s="500"/>
      <c r="Y198" s="501"/>
      <c r="Z198" s="501"/>
      <c r="AA198" s="502"/>
      <c r="AB198" s="500"/>
      <c r="AC198" s="501"/>
      <c r="AD198" s="501"/>
      <c r="AE198" s="501"/>
      <c r="AF198" s="501"/>
      <c r="AG198" s="502"/>
      <c r="AH198" s="500"/>
      <c r="AI198" s="501"/>
      <c r="AJ198" s="501"/>
      <c r="AK198" s="501"/>
      <c r="AL198" s="501"/>
      <c r="AM198" s="501"/>
      <c r="AN198" s="501"/>
      <c r="AO198" s="504"/>
      <c r="AP198" s="501"/>
      <c r="AQ198" s="501"/>
      <c r="AR198" s="501"/>
      <c r="AS198" s="502"/>
      <c r="AT198" s="500"/>
      <c r="AU198" s="501"/>
      <c r="AV198" s="501"/>
      <c r="AW198" s="501"/>
      <c r="AX198" s="501"/>
      <c r="AY198" s="502"/>
      <c r="AZ198" s="500"/>
      <c r="BA198" s="501"/>
      <c r="BB198" s="501"/>
      <c r="BC198" s="501"/>
      <c r="BD198" s="501"/>
      <c r="BE198" s="501"/>
      <c r="BF198" s="501"/>
      <c r="BG198" s="504"/>
      <c r="BH198" s="501"/>
      <c r="BI198" s="501"/>
      <c r="BJ198" s="501"/>
      <c r="BK198" s="502"/>
      <c r="BL198" s="500"/>
      <c r="BM198" s="501"/>
      <c r="BN198" s="501"/>
      <c r="BO198" s="501"/>
      <c r="BP198" s="501"/>
      <c r="BQ198" s="502"/>
      <c r="BR198" s="500"/>
      <c r="BS198" s="501"/>
      <c r="BT198" s="501"/>
      <c r="BU198" s="501"/>
      <c r="BV198" s="501"/>
      <c r="BW198" s="501"/>
      <c r="BX198" s="501"/>
      <c r="BY198" s="504"/>
      <c r="BZ198" s="505"/>
      <c r="CA198" s="501"/>
      <c r="CB198" s="501"/>
      <c r="CC198" s="501"/>
      <c r="CD198" s="502"/>
      <c r="CE198" s="500"/>
      <c r="CF198" s="501"/>
      <c r="CG198" s="501"/>
      <c r="CH198" s="501"/>
      <c r="CI198" s="501"/>
      <c r="CJ198" s="502"/>
      <c r="CK198" s="500"/>
      <c r="CL198" s="501"/>
      <c r="CM198" s="501"/>
      <c r="CN198" s="501"/>
      <c r="CO198" s="501"/>
      <c r="CP198" s="501"/>
      <c r="CQ198" s="501"/>
      <c r="CR198" s="504"/>
      <c r="CS198" s="501"/>
      <c r="CT198" s="501"/>
      <c r="CU198" s="501"/>
      <c r="CV198" s="502"/>
      <c r="CW198" s="500"/>
      <c r="CX198" s="501"/>
      <c r="CY198" s="501"/>
      <c r="CZ198" s="501"/>
      <c r="DA198" s="501"/>
      <c r="DB198" s="502"/>
      <c r="DC198" s="500"/>
      <c r="DD198" s="501"/>
      <c r="DE198" s="501"/>
      <c r="DF198" s="501"/>
      <c r="DG198" s="501"/>
      <c r="DH198" s="501"/>
      <c r="DI198" s="501"/>
    </row>
    <row r="199" spans="1:113" ht="15.75" thickTop="1" x14ac:dyDescent="0.25">
      <c r="C199" s="1" t="s">
        <v>322</v>
      </c>
      <c r="F199" s="778">
        <f t="shared" ref="F199:V199" si="235">100*(F$99-(X$99+AP$99))/F$99</f>
        <v>47.705682757165718</v>
      </c>
      <c r="G199" s="779">
        <f t="shared" si="235"/>
        <v>49.620880932128486</v>
      </c>
      <c r="H199" s="779">
        <f t="shared" si="235"/>
        <v>49.683197888870907</v>
      </c>
      <c r="I199" s="1381">
        <f t="shared" si="235"/>
        <v>49.651261793146482</v>
      </c>
      <c r="J199" s="778">
        <f t="shared" si="235"/>
        <v>74.060109817661484</v>
      </c>
      <c r="K199" s="779">
        <f t="shared" si="235"/>
        <v>63.489252396222099</v>
      </c>
      <c r="L199" s="779">
        <f t="shared" si="235"/>
        <v>61.570482773284532</v>
      </c>
      <c r="M199" s="779">
        <f t="shared" si="235"/>
        <v>62.174573502884058</v>
      </c>
      <c r="N199" s="1459">
        <f t="shared" si="235"/>
        <v>61.779317173880806</v>
      </c>
      <c r="O199" s="1381">
        <f t="shared" si="235"/>
        <v>60.485350664392257</v>
      </c>
      <c r="P199" s="778">
        <f>100*(P$99-(AH$99+AZ$99))/P$99</f>
        <v>63.954286372434169</v>
      </c>
      <c r="Q199" s="779">
        <f t="shared" si="235"/>
        <v>65.187542592992855</v>
      </c>
      <c r="R199" s="779">
        <f t="shared" si="235"/>
        <v>62.807563599609892</v>
      </c>
      <c r="S199" s="1459">
        <f t="shared" si="235"/>
        <v>65.432369314502154</v>
      </c>
      <c r="T199" s="1459">
        <f t="shared" si="235"/>
        <v>62.303547213487683</v>
      </c>
      <c r="U199" s="1459">
        <f t="shared" si="235"/>
        <v>67.734154304201553</v>
      </c>
      <c r="V199" s="779" t="e">
        <f t="shared" si="235"/>
        <v>#DIV/0!</v>
      </c>
      <c r="W199" s="468"/>
      <c r="X199" s="352"/>
      <c r="Y199" s="234"/>
      <c r="Z199" s="234"/>
      <c r="AA199" s="235"/>
      <c r="AB199" s="352"/>
      <c r="AC199" s="1507">
        <f>AVERAGE(H199:I199)</f>
        <v>49.667229841008691</v>
      </c>
      <c r="AD199" s="1507">
        <f>AVERAGE(M199:O199)</f>
        <v>61.479747113719043</v>
      </c>
      <c r="AE199" s="1507">
        <f>AVERAGE(R199:T199)</f>
        <v>63.514493375866579</v>
      </c>
      <c r="AF199" s="234"/>
      <c r="AG199" s="235"/>
      <c r="AH199" s="352"/>
      <c r="AI199" s="234"/>
      <c r="AJ199" s="234"/>
      <c r="AK199" s="234"/>
      <c r="AL199" s="234"/>
      <c r="AM199" s="234"/>
      <c r="AN199" s="234"/>
      <c r="AO199" s="486"/>
      <c r="AP199" s="393"/>
      <c r="AQ199" s="234"/>
      <c r="AR199" s="234"/>
      <c r="AS199" s="235"/>
      <c r="AT199" s="352"/>
      <c r="AU199" s="234"/>
      <c r="AV199" s="234"/>
      <c r="AW199" s="234"/>
      <c r="AX199" s="234"/>
      <c r="AY199" s="235"/>
      <c r="AZ199" s="352"/>
      <c r="BA199" s="234"/>
      <c r="BB199" s="234"/>
      <c r="BC199" s="234"/>
      <c r="BD199" s="234"/>
      <c r="BE199" s="234"/>
      <c r="BF199" s="234"/>
      <c r="BG199" s="486"/>
      <c r="BH199" s="234"/>
      <c r="BI199" s="234"/>
      <c r="BJ199" s="234"/>
      <c r="BK199" s="235"/>
      <c r="BL199" s="352"/>
      <c r="BM199" s="234"/>
      <c r="BN199" s="234"/>
      <c r="BO199" s="234"/>
      <c r="BP199" s="234"/>
      <c r="BQ199" s="235"/>
      <c r="BR199" s="352"/>
      <c r="BS199" s="234"/>
      <c r="BT199" s="234"/>
      <c r="BU199" s="234"/>
      <c r="BV199" s="234"/>
      <c r="BW199" s="234"/>
      <c r="BX199" s="234"/>
      <c r="BY199" s="486"/>
      <c r="BZ199" s="488"/>
      <c r="CA199" s="234"/>
      <c r="CB199" s="234"/>
      <c r="CC199" s="234"/>
      <c r="CD199" s="235"/>
      <c r="CE199" s="352"/>
      <c r="CF199" s="234"/>
      <c r="CG199" s="234"/>
      <c r="CH199" s="234"/>
      <c r="CI199" s="234"/>
      <c r="CJ199" s="235"/>
      <c r="CK199" s="352"/>
      <c r="CL199" s="234"/>
      <c r="CM199" s="234"/>
      <c r="CN199" s="234"/>
      <c r="CO199" s="234"/>
      <c r="CP199" s="234"/>
      <c r="CQ199" s="234"/>
      <c r="CR199" s="486"/>
      <c r="CS199" s="234"/>
      <c r="CT199" s="234"/>
      <c r="CU199" s="234"/>
      <c r="CV199" s="235"/>
      <c r="CW199" s="352"/>
      <c r="CX199" s="234"/>
      <c r="CY199" s="234"/>
      <c r="CZ199" s="234"/>
      <c r="DA199" s="234"/>
      <c r="DB199" s="235"/>
      <c r="DC199" s="352"/>
      <c r="DD199" s="234"/>
      <c r="DE199" s="234"/>
      <c r="DF199" s="234"/>
      <c r="DG199" s="234"/>
      <c r="DH199" s="234"/>
      <c r="DI199" s="234"/>
    </row>
    <row r="200" spans="1:113" x14ac:dyDescent="0.25">
      <c r="C200" s="657" t="s">
        <v>213</v>
      </c>
      <c r="D200" s="657"/>
      <c r="E200" s="657"/>
      <c r="F200" s="780">
        <v>56</v>
      </c>
      <c r="G200" s="776">
        <v>50</v>
      </c>
      <c r="H200" s="776">
        <v>49</v>
      </c>
      <c r="I200" s="1377">
        <v>48</v>
      </c>
      <c r="J200" s="777">
        <v>70</v>
      </c>
      <c r="K200" s="776">
        <v>69</v>
      </c>
      <c r="L200" s="776">
        <v>66</v>
      </c>
      <c r="M200" s="776">
        <v>66.5</v>
      </c>
      <c r="N200" s="1460">
        <v>65.5</v>
      </c>
      <c r="O200" s="1377">
        <v>64.400000000000006</v>
      </c>
      <c r="P200" s="777">
        <v>61.5</v>
      </c>
      <c r="Q200" s="776">
        <v>58.5</v>
      </c>
      <c r="R200" s="776">
        <v>60.5</v>
      </c>
      <c r="S200" s="1460">
        <v>61.8</v>
      </c>
      <c r="T200" s="1460">
        <v>61</v>
      </c>
      <c r="U200" s="1460">
        <v>62.1</v>
      </c>
      <c r="AC200" s="762">
        <f>AVERAGE(H200:I200)</f>
        <v>48.5</v>
      </c>
      <c r="AD200" s="762">
        <f>AVERAGE(M200:O200)</f>
        <v>65.466666666666669</v>
      </c>
      <c r="AE200" s="762">
        <f>AVERAGE(R200:T200)</f>
        <v>61.1</v>
      </c>
    </row>
    <row r="201" spans="1:113" x14ac:dyDescent="0.25">
      <c r="C201" s="169">
        <v>0.05</v>
      </c>
      <c r="D201" s="169"/>
      <c r="E201" s="169"/>
      <c r="F201" s="321">
        <f>F$200*5%</f>
        <v>2.8000000000000003</v>
      </c>
      <c r="G201" s="256">
        <f t="shared" ref="G201:U201" si="236">G$200*5%</f>
        <v>2.5</v>
      </c>
      <c r="H201" s="256">
        <f t="shared" si="236"/>
        <v>2.4500000000000002</v>
      </c>
      <c r="I201" s="1331">
        <f t="shared" si="236"/>
        <v>2.4000000000000004</v>
      </c>
      <c r="J201" s="321">
        <f t="shared" si="236"/>
        <v>3.5</v>
      </c>
      <c r="K201" s="256">
        <f t="shared" si="236"/>
        <v>3.45</v>
      </c>
      <c r="L201" s="256">
        <f t="shared" si="236"/>
        <v>3.3000000000000003</v>
      </c>
      <c r="M201" s="256">
        <f t="shared" si="236"/>
        <v>3.3250000000000002</v>
      </c>
      <c r="N201" s="1413">
        <f t="shared" si="236"/>
        <v>3.2750000000000004</v>
      </c>
      <c r="O201" s="1331">
        <f t="shared" si="236"/>
        <v>3.2200000000000006</v>
      </c>
      <c r="P201" s="321">
        <f t="shared" si="236"/>
        <v>3.0750000000000002</v>
      </c>
      <c r="Q201" s="256">
        <f t="shared" si="236"/>
        <v>2.9250000000000003</v>
      </c>
      <c r="R201" s="256">
        <f t="shared" si="236"/>
        <v>3.0250000000000004</v>
      </c>
      <c r="S201" s="1413">
        <f t="shared" si="236"/>
        <v>3.09</v>
      </c>
      <c r="T201" s="1413">
        <f t="shared" si="236"/>
        <v>3.0500000000000003</v>
      </c>
      <c r="U201" s="1413">
        <f t="shared" si="236"/>
        <v>3.1050000000000004</v>
      </c>
    </row>
    <row r="202" spans="1:113" x14ac:dyDescent="0.25">
      <c r="C202" s="169">
        <v>0.05</v>
      </c>
      <c r="D202" s="169"/>
      <c r="E202" s="169"/>
      <c r="F202" s="321">
        <f>F$200+F$201</f>
        <v>58.8</v>
      </c>
      <c r="G202" s="256">
        <f t="shared" ref="G202:U202" si="237">G$200+G$201</f>
        <v>52.5</v>
      </c>
      <c r="H202" s="256">
        <f t="shared" si="237"/>
        <v>51.45</v>
      </c>
      <c r="I202" s="1331">
        <f t="shared" si="237"/>
        <v>50.4</v>
      </c>
      <c r="J202" s="321">
        <f t="shared" si="237"/>
        <v>73.5</v>
      </c>
      <c r="K202" s="256">
        <f t="shared" si="237"/>
        <v>72.45</v>
      </c>
      <c r="L202" s="256">
        <f t="shared" si="237"/>
        <v>69.3</v>
      </c>
      <c r="M202" s="256">
        <f t="shared" si="237"/>
        <v>69.825000000000003</v>
      </c>
      <c r="N202" s="1413">
        <f t="shared" si="237"/>
        <v>68.775000000000006</v>
      </c>
      <c r="O202" s="1331">
        <f t="shared" si="237"/>
        <v>67.62</v>
      </c>
      <c r="P202" s="321">
        <f t="shared" si="237"/>
        <v>64.575000000000003</v>
      </c>
      <c r="Q202" s="256">
        <f t="shared" si="237"/>
        <v>61.424999999999997</v>
      </c>
      <c r="R202" s="256">
        <f t="shared" si="237"/>
        <v>63.524999999999999</v>
      </c>
      <c r="S202" s="1413">
        <f t="shared" si="237"/>
        <v>64.89</v>
      </c>
      <c r="T202" s="1413">
        <f t="shared" si="237"/>
        <v>64.05</v>
      </c>
      <c r="U202" s="1413">
        <f t="shared" si="237"/>
        <v>65.204999999999998</v>
      </c>
    </row>
    <row r="203" spans="1:113" x14ac:dyDescent="0.25">
      <c r="C203" s="169">
        <v>-0.05</v>
      </c>
      <c r="D203" s="169"/>
      <c r="E203" s="169"/>
      <c r="F203" s="321">
        <f>F$200-F$201</f>
        <v>53.2</v>
      </c>
      <c r="G203" s="256">
        <f t="shared" ref="G203:U203" si="238">G$200-G$201</f>
        <v>47.5</v>
      </c>
      <c r="H203" s="256">
        <f t="shared" si="238"/>
        <v>46.55</v>
      </c>
      <c r="I203" s="1331">
        <f t="shared" si="238"/>
        <v>45.6</v>
      </c>
      <c r="J203" s="321">
        <f t="shared" si="238"/>
        <v>66.5</v>
      </c>
      <c r="K203" s="256">
        <f t="shared" si="238"/>
        <v>65.55</v>
      </c>
      <c r="L203" s="256">
        <f t="shared" si="238"/>
        <v>62.7</v>
      </c>
      <c r="M203" s="256">
        <f t="shared" si="238"/>
        <v>63.174999999999997</v>
      </c>
      <c r="N203" s="1413">
        <f t="shared" si="238"/>
        <v>62.225000000000001</v>
      </c>
      <c r="O203" s="1331">
        <f t="shared" si="238"/>
        <v>61.180000000000007</v>
      </c>
      <c r="P203" s="321">
        <f t="shared" si="238"/>
        <v>58.424999999999997</v>
      </c>
      <c r="Q203" s="256">
        <f t="shared" si="238"/>
        <v>55.575000000000003</v>
      </c>
      <c r="R203" s="256">
        <f t="shared" si="238"/>
        <v>57.475000000000001</v>
      </c>
      <c r="S203" s="1413">
        <f t="shared" si="238"/>
        <v>58.709999999999994</v>
      </c>
      <c r="T203" s="1413">
        <f t="shared" si="238"/>
        <v>57.95</v>
      </c>
      <c r="U203" s="1413">
        <f t="shared" si="238"/>
        <v>58.995000000000005</v>
      </c>
    </row>
    <row r="204" spans="1:113" ht="8.1" customHeight="1" thickBot="1" x14ac:dyDescent="0.3">
      <c r="C204" s="169"/>
      <c r="D204" s="169"/>
      <c r="E204" s="169"/>
      <c r="F204" s="353"/>
      <c r="G204" s="387"/>
      <c r="H204" s="387"/>
      <c r="I204" s="1336"/>
      <c r="J204" s="388"/>
      <c r="K204" s="387"/>
      <c r="L204" s="387"/>
      <c r="M204" s="387"/>
      <c r="N204" s="1417"/>
      <c r="O204" s="1336"/>
      <c r="P204" s="388"/>
      <c r="Q204" s="387"/>
      <c r="R204" s="387"/>
      <c r="S204" s="1417"/>
      <c r="T204" s="1417"/>
      <c r="U204" s="1417"/>
      <c r="V204" s="228"/>
      <c r="W204" s="476"/>
      <c r="X204" s="353"/>
      <c r="Y204" s="228"/>
      <c r="Z204" s="228"/>
      <c r="AA204" s="229"/>
      <c r="AB204" s="353"/>
      <c r="AC204" s="228"/>
      <c r="AD204" s="228"/>
      <c r="AE204" s="228"/>
      <c r="AF204" s="228"/>
      <c r="AG204" s="229"/>
      <c r="AH204" s="353"/>
      <c r="AI204" s="228"/>
      <c r="AJ204" s="228"/>
      <c r="AK204" s="228"/>
      <c r="AL204" s="228"/>
      <c r="AM204" s="228"/>
      <c r="AN204" s="228"/>
      <c r="AO204" s="463"/>
      <c r="AP204" s="228"/>
      <c r="AQ204" s="228"/>
      <c r="AR204" s="228"/>
      <c r="AS204" s="229"/>
      <c r="AT204" s="353"/>
      <c r="AU204" s="228"/>
      <c r="AV204" s="228"/>
      <c r="AW204" s="228"/>
      <c r="AX204" s="228"/>
      <c r="AY204" s="229"/>
      <c r="AZ204" s="353"/>
      <c r="BA204" s="228"/>
      <c r="BB204" s="228"/>
      <c r="BC204" s="228"/>
      <c r="BD204" s="228"/>
      <c r="BE204" s="228"/>
      <c r="BF204" s="228"/>
      <c r="BG204" s="463"/>
      <c r="BH204" s="228"/>
      <c r="BI204" s="228"/>
      <c r="BJ204" s="228"/>
      <c r="BK204" s="229"/>
      <c r="BL204" s="353"/>
      <c r="BM204" s="228"/>
      <c r="BN204" s="228"/>
      <c r="BO204" s="228"/>
      <c r="BP204" s="228"/>
      <c r="BQ204" s="229"/>
      <c r="BR204" s="353"/>
      <c r="BS204" s="228"/>
      <c r="BT204" s="228"/>
      <c r="BU204" s="228"/>
      <c r="BV204" s="228"/>
      <c r="BW204" s="228"/>
      <c r="BX204" s="228"/>
      <c r="BY204" s="463"/>
      <c r="BZ204" s="464"/>
      <c r="CA204" s="228"/>
      <c r="CB204" s="228"/>
      <c r="CC204" s="228"/>
      <c r="CD204" s="229"/>
      <c r="CE204" s="353"/>
      <c r="CF204" s="228"/>
      <c r="CG204" s="228"/>
      <c r="CH204" s="228"/>
      <c r="CI204" s="228"/>
      <c r="CJ204" s="229"/>
      <c r="CK204" s="353"/>
      <c r="CL204" s="228"/>
      <c r="CM204" s="228"/>
      <c r="CN204" s="228"/>
      <c r="CO204" s="228"/>
      <c r="CP204" s="228"/>
      <c r="CQ204" s="228"/>
      <c r="CR204" s="463"/>
      <c r="CS204" s="228"/>
      <c r="CT204" s="228"/>
      <c r="CU204" s="228"/>
      <c r="CV204" s="229"/>
      <c r="CW204" s="353"/>
      <c r="CX204" s="228"/>
      <c r="CY204" s="228"/>
      <c r="CZ204" s="228"/>
      <c r="DA204" s="228"/>
      <c r="DB204" s="229"/>
      <c r="DC204" s="353"/>
      <c r="DD204" s="228"/>
      <c r="DE204" s="228"/>
      <c r="DF204" s="228"/>
      <c r="DG204" s="228"/>
      <c r="DH204" s="228"/>
      <c r="DI204" s="228"/>
    </row>
    <row r="205" spans="1:113" s="528" customFormat="1" ht="15.75" thickTop="1" x14ac:dyDescent="0.25">
      <c r="C205" s="603" t="s">
        <v>312</v>
      </c>
      <c r="D205" s="603"/>
      <c r="E205" s="603"/>
      <c r="F205" s="517">
        <f t="shared" ref="F205:V205" si="239">100*(F$97-(X$97+AP$97))/F$97</f>
        <v>65.846695297983118</v>
      </c>
      <c r="G205" s="511">
        <f t="shared" si="239"/>
        <v>68.717064372849862</v>
      </c>
      <c r="H205" s="511">
        <f t="shared" si="239"/>
        <v>67.954365207166219</v>
      </c>
      <c r="I205" s="1376">
        <f t="shared" si="239"/>
        <v>67.635476576008017</v>
      </c>
      <c r="J205" s="517">
        <f t="shared" si="239"/>
        <v>87.65580822508376</v>
      </c>
      <c r="K205" s="511">
        <f t="shared" si="239"/>
        <v>76.97582451062533</v>
      </c>
      <c r="L205" s="511">
        <f t="shared" si="239"/>
        <v>74.956075029685849</v>
      </c>
      <c r="M205" s="511">
        <f t="shared" si="239"/>
        <v>74.627145805179154</v>
      </c>
      <c r="N205" s="1456">
        <f t="shared" si="239"/>
        <v>74.75669596005558</v>
      </c>
      <c r="O205" s="1376">
        <f t="shared" si="239"/>
        <v>73.930525635501937</v>
      </c>
      <c r="P205" s="517">
        <f t="shared" si="239"/>
        <v>74.799549549549539</v>
      </c>
      <c r="Q205" s="511">
        <f t="shared" si="239"/>
        <v>77.262740950194171</v>
      </c>
      <c r="R205" s="511">
        <f t="shared" si="239"/>
        <v>74.390259734232501</v>
      </c>
      <c r="S205" s="1456">
        <f t="shared" si="239"/>
        <v>77.732857950130679</v>
      </c>
      <c r="T205" s="1456">
        <f t="shared" si="239"/>
        <v>74.613897830288735</v>
      </c>
      <c r="U205" s="1456">
        <f t="shared" si="239"/>
        <v>77.617921212842106</v>
      </c>
      <c r="V205" s="511" t="e">
        <f t="shared" si="239"/>
        <v>#DIV/0!</v>
      </c>
      <c r="W205" s="480"/>
      <c r="X205" s="481"/>
      <c r="Y205" s="466"/>
      <c r="Z205" s="466"/>
      <c r="AA205" s="519"/>
      <c r="AB205" s="481"/>
      <c r="AC205" s="466"/>
      <c r="AD205" s="466"/>
      <c r="AE205" s="466"/>
      <c r="AF205" s="466"/>
      <c r="AG205" s="519"/>
      <c r="AH205" s="481"/>
      <c r="AI205" s="466"/>
      <c r="AJ205" s="466"/>
      <c r="AK205" s="466"/>
      <c r="AL205" s="466"/>
      <c r="AM205" s="466"/>
      <c r="AN205" s="466"/>
      <c r="AO205" s="482"/>
      <c r="AP205" s="466"/>
      <c r="AQ205" s="466"/>
      <c r="AR205" s="466"/>
      <c r="AS205" s="519"/>
      <c r="AT205" s="481"/>
      <c r="AU205" s="466"/>
      <c r="AV205" s="466"/>
      <c r="AW205" s="466"/>
      <c r="AX205" s="466"/>
      <c r="AY205" s="519"/>
      <c r="AZ205" s="481"/>
      <c r="BA205" s="466"/>
      <c r="BB205" s="466"/>
      <c r="BC205" s="466"/>
      <c r="BD205" s="466"/>
      <c r="BE205" s="466"/>
      <c r="BF205" s="466"/>
      <c r="BG205" s="482"/>
      <c r="BH205" s="466"/>
      <c r="BI205" s="466"/>
      <c r="BJ205" s="466"/>
      <c r="BK205" s="519"/>
      <c r="BL205" s="481"/>
      <c r="BM205" s="466"/>
      <c r="BN205" s="466"/>
      <c r="BO205" s="466"/>
      <c r="BP205" s="466"/>
      <c r="BQ205" s="519"/>
      <c r="BR205" s="481"/>
      <c r="BS205" s="466"/>
      <c r="BT205" s="466"/>
      <c r="BU205" s="466"/>
      <c r="BV205" s="466"/>
      <c r="BW205" s="466"/>
      <c r="BX205" s="466"/>
      <c r="BY205" s="482"/>
      <c r="BZ205" s="485"/>
      <c r="CA205" s="466"/>
      <c r="CB205" s="466"/>
      <c r="CC205" s="466"/>
      <c r="CD205" s="519"/>
      <c r="CE205" s="481"/>
      <c r="CF205" s="466"/>
      <c r="CG205" s="466"/>
      <c r="CH205" s="466"/>
      <c r="CI205" s="466"/>
      <c r="CJ205" s="519"/>
      <c r="CK205" s="481"/>
      <c r="CL205" s="466"/>
      <c r="CM205" s="466"/>
      <c r="CN205" s="466"/>
      <c r="CO205" s="466"/>
      <c r="CP205" s="466"/>
      <c r="CQ205" s="466"/>
      <c r="CR205" s="482"/>
      <c r="CS205" s="466"/>
      <c r="CT205" s="466"/>
      <c r="CU205" s="466"/>
      <c r="CV205" s="519"/>
      <c r="CW205" s="481"/>
      <c r="CX205" s="466"/>
      <c r="CY205" s="466"/>
      <c r="CZ205" s="466"/>
      <c r="DA205" s="466"/>
      <c r="DB205" s="519"/>
      <c r="DC205" s="481"/>
      <c r="DD205" s="466"/>
      <c r="DE205" s="466"/>
      <c r="DF205" s="466"/>
      <c r="DG205" s="466"/>
      <c r="DH205" s="466"/>
      <c r="DI205" s="466"/>
    </row>
    <row r="206" spans="1:113" s="506" customFormat="1" ht="15.75" thickBot="1" x14ac:dyDescent="0.3">
      <c r="A206"/>
      <c r="B206"/>
      <c r="C206" s="668" t="s">
        <v>313</v>
      </c>
      <c r="D206" s="668"/>
      <c r="E206" s="668"/>
      <c r="F206" s="781">
        <v>73.5</v>
      </c>
      <c r="G206" s="669">
        <v>66.5</v>
      </c>
      <c r="H206" s="669"/>
      <c r="I206" s="1375">
        <v>61.9</v>
      </c>
      <c r="J206" s="670">
        <v>62.5</v>
      </c>
      <c r="K206" s="669">
        <v>86.5</v>
      </c>
      <c r="L206" s="669">
        <v>83</v>
      </c>
      <c r="M206" s="669">
        <v>81.5</v>
      </c>
      <c r="N206" s="1455">
        <v>81</v>
      </c>
      <c r="O206" s="1375">
        <v>80.400000000000006</v>
      </c>
      <c r="P206" s="670">
        <v>78</v>
      </c>
      <c r="Q206" s="669"/>
      <c r="R206" s="669">
        <v>72.5</v>
      </c>
      <c r="S206" s="1455"/>
      <c r="T206" s="1455">
        <v>71.2</v>
      </c>
      <c r="U206" s="1455">
        <v>71.900000000000006</v>
      </c>
      <c r="V206" s="501"/>
      <c r="W206" s="503"/>
      <c r="X206" s="500"/>
      <c r="Y206" s="501"/>
      <c r="Z206" s="501"/>
      <c r="AA206" s="502"/>
      <c r="AB206" s="500"/>
      <c r="AC206" s="501"/>
      <c r="AD206" s="501"/>
      <c r="AE206" s="501"/>
      <c r="AF206" s="501"/>
      <c r="AG206" s="502"/>
      <c r="AH206" s="500"/>
      <c r="AI206" s="501"/>
      <c r="AJ206" s="501"/>
      <c r="AK206" s="501"/>
      <c r="AL206" s="501"/>
      <c r="AM206" s="501"/>
      <c r="AN206" s="501"/>
      <c r="AO206" s="504"/>
      <c r="AP206" s="501"/>
      <c r="AQ206" s="501"/>
      <c r="AR206" s="501"/>
      <c r="AS206" s="502"/>
      <c r="AT206" s="500"/>
      <c r="AU206" s="501"/>
      <c r="AV206" s="501"/>
      <c r="AW206" s="501"/>
      <c r="AX206" s="501"/>
      <c r="AY206" s="502"/>
      <c r="AZ206" s="500"/>
      <c r="BA206" s="501"/>
      <c r="BB206" s="501"/>
      <c r="BC206" s="501"/>
      <c r="BD206" s="501"/>
      <c r="BE206" s="501"/>
      <c r="BF206" s="501"/>
      <c r="BG206" s="504"/>
      <c r="BH206" s="501"/>
      <c r="BI206" s="501"/>
      <c r="BJ206" s="501"/>
      <c r="BK206" s="502"/>
      <c r="BL206" s="500"/>
      <c r="BM206" s="501"/>
      <c r="BN206" s="501"/>
      <c r="BO206" s="501"/>
      <c r="BP206" s="501"/>
      <c r="BQ206" s="502"/>
      <c r="BR206" s="500"/>
      <c r="BS206" s="501"/>
      <c r="BT206" s="501"/>
      <c r="BU206" s="501"/>
      <c r="BV206" s="501"/>
      <c r="BW206" s="501"/>
      <c r="BX206" s="501"/>
      <c r="BY206" s="504"/>
      <c r="BZ206" s="505"/>
      <c r="CA206" s="501"/>
      <c r="CB206" s="501"/>
      <c r="CC206" s="501"/>
      <c r="CD206" s="502"/>
      <c r="CE206" s="500"/>
      <c r="CF206" s="501"/>
      <c r="CG206" s="501"/>
      <c r="CH206" s="501"/>
      <c r="CI206" s="501"/>
      <c r="CJ206" s="502"/>
      <c r="CK206" s="500"/>
      <c r="CL206" s="501"/>
      <c r="CM206" s="501"/>
      <c r="CN206" s="501"/>
      <c r="CO206" s="501"/>
      <c r="CP206" s="501"/>
      <c r="CQ206" s="501"/>
      <c r="CR206" s="504"/>
      <c r="CS206" s="501"/>
      <c r="CT206" s="501"/>
      <c r="CU206" s="501"/>
      <c r="CV206" s="502"/>
      <c r="CW206" s="500"/>
      <c r="CX206" s="501"/>
      <c r="CY206" s="501"/>
      <c r="CZ206" s="501"/>
      <c r="DA206" s="501"/>
      <c r="DB206" s="502"/>
      <c r="DC206" s="500"/>
      <c r="DD206" s="501"/>
      <c r="DE206" s="501"/>
      <c r="DF206" s="501"/>
      <c r="DG206" s="501"/>
      <c r="DH206" s="501"/>
      <c r="DI206" s="501"/>
    </row>
    <row r="207" spans="1:113" ht="15.75" thickTop="1" x14ac:dyDescent="0.25">
      <c r="C207" s="169">
        <v>1.05</v>
      </c>
      <c r="D207" s="169"/>
      <c r="E207" s="666"/>
      <c r="F207" s="659">
        <f>F206*C207</f>
        <v>77.174999999999997</v>
      </c>
      <c r="G207" s="660">
        <f>G$206*$C$207</f>
        <v>69.825000000000003</v>
      </c>
      <c r="H207" s="660">
        <f t="shared" ref="H207:U207" si="240">H$206*$C$207</f>
        <v>0</v>
      </c>
      <c r="I207" s="1382">
        <f t="shared" si="240"/>
        <v>64.995000000000005</v>
      </c>
      <c r="J207" s="667">
        <f t="shared" si="240"/>
        <v>65.625</v>
      </c>
      <c r="K207" s="660">
        <f t="shared" si="240"/>
        <v>90.825000000000003</v>
      </c>
      <c r="L207" s="660">
        <f t="shared" si="240"/>
        <v>87.15</v>
      </c>
      <c r="M207" s="660">
        <f t="shared" si="240"/>
        <v>85.575000000000003</v>
      </c>
      <c r="N207" s="1461">
        <f t="shared" si="240"/>
        <v>85.05</v>
      </c>
      <c r="O207" s="1382">
        <f t="shared" si="240"/>
        <v>84.420000000000016</v>
      </c>
      <c r="P207" s="667">
        <f t="shared" si="240"/>
        <v>81.900000000000006</v>
      </c>
      <c r="Q207" s="660">
        <f t="shared" si="240"/>
        <v>0</v>
      </c>
      <c r="R207" s="660">
        <f t="shared" si="240"/>
        <v>76.125</v>
      </c>
      <c r="S207" s="1461">
        <f t="shared" si="240"/>
        <v>0</v>
      </c>
      <c r="T207" s="1461">
        <f t="shared" si="240"/>
        <v>74.760000000000005</v>
      </c>
      <c r="U207" s="1461">
        <f t="shared" si="240"/>
        <v>75.495000000000005</v>
      </c>
      <c r="V207" s="661"/>
      <c r="W207" s="662"/>
      <c r="X207" s="659"/>
      <c r="Y207" s="661"/>
      <c r="Z207" s="661"/>
      <c r="AA207" s="663"/>
      <c r="AB207" s="659"/>
      <c r="AC207" s="661"/>
      <c r="AD207" s="661"/>
      <c r="AE207" s="661"/>
      <c r="AF207" s="661"/>
      <c r="AG207" s="663"/>
      <c r="AH207" s="659"/>
      <c r="AI207" s="661"/>
      <c r="AJ207" s="661"/>
      <c r="AK207" s="661"/>
      <c r="AL207" s="661"/>
      <c r="AM207" s="661"/>
      <c r="AN207" s="661"/>
      <c r="AO207" s="664"/>
      <c r="AP207" s="661"/>
      <c r="AQ207" s="661"/>
      <c r="AR207" s="661"/>
      <c r="AS207" s="663"/>
      <c r="AT207" s="659"/>
      <c r="AU207" s="661"/>
      <c r="AV207" s="661"/>
      <c r="AW207" s="661"/>
      <c r="AX207" s="661"/>
      <c r="AY207" s="663"/>
      <c r="AZ207" s="659"/>
      <c r="BA207" s="661"/>
      <c r="BB207" s="661"/>
      <c r="BC207" s="661"/>
      <c r="BD207" s="661"/>
      <c r="BE207" s="661"/>
      <c r="BF207" s="661"/>
      <c r="BG207" s="664"/>
      <c r="BH207" s="661"/>
      <c r="BI207" s="661"/>
      <c r="BJ207" s="661"/>
      <c r="BK207" s="663"/>
      <c r="BL207" s="659"/>
      <c r="BM207" s="661"/>
      <c r="BN207" s="661"/>
      <c r="BO207" s="661"/>
      <c r="BP207" s="661"/>
      <c r="BQ207" s="663"/>
      <c r="BR207" s="659"/>
      <c r="BS207" s="661"/>
      <c r="BT207" s="661"/>
      <c r="BU207" s="661"/>
      <c r="BV207" s="661"/>
      <c r="BW207" s="661"/>
      <c r="BX207" s="661"/>
      <c r="BY207" s="664"/>
      <c r="BZ207" s="665"/>
      <c r="CA207" s="661"/>
      <c r="CB207" s="661"/>
      <c r="CC207" s="661"/>
      <c r="CD207" s="663"/>
      <c r="CE207" s="659"/>
      <c r="CF207" s="661"/>
      <c r="CG207" s="661"/>
      <c r="CH207" s="661"/>
      <c r="CI207" s="661"/>
      <c r="CJ207" s="663"/>
      <c r="CK207" s="659"/>
      <c r="CL207" s="661"/>
      <c r="CM207" s="661"/>
      <c r="CN207" s="661"/>
      <c r="CO207" s="661"/>
      <c r="CP207" s="661"/>
      <c r="CQ207" s="661"/>
      <c r="CR207" s="664"/>
      <c r="CS207" s="661"/>
      <c r="CT207" s="661"/>
      <c r="CU207" s="661"/>
      <c r="CV207" s="663"/>
      <c r="CW207" s="659"/>
      <c r="CX207" s="661"/>
      <c r="CY207" s="661"/>
      <c r="CZ207" s="661"/>
      <c r="DA207" s="661"/>
      <c r="DB207" s="663"/>
      <c r="DC207" s="659"/>
      <c r="DD207" s="661"/>
      <c r="DE207" s="661"/>
      <c r="DF207" s="661"/>
      <c r="DG207" s="661"/>
      <c r="DH207" s="661"/>
      <c r="DI207" s="661"/>
    </row>
    <row r="208" spans="1:113" x14ac:dyDescent="0.25">
      <c r="C208" s="169">
        <v>0.95</v>
      </c>
      <c r="D208" s="169"/>
      <c r="E208" s="169"/>
      <c r="F208" s="659">
        <f>F$206*$C$208</f>
        <v>69.825000000000003</v>
      </c>
      <c r="G208" s="660">
        <f>G$206*$C$208</f>
        <v>63.174999999999997</v>
      </c>
      <c r="H208" s="660">
        <f t="shared" ref="H208:U208" si="241">H$206*$C$208</f>
        <v>0</v>
      </c>
      <c r="I208" s="1383">
        <f t="shared" si="241"/>
        <v>58.804999999999993</v>
      </c>
      <c r="J208" s="667">
        <f t="shared" si="241"/>
        <v>59.375</v>
      </c>
      <c r="K208" s="660">
        <f t="shared" si="241"/>
        <v>82.174999999999997</v>
      </c>
      <c r="L208" s="660">
        <f t="shared" si="241"/>
        <v>78.849999999999994</v>
      </c>
      <c r="M208" s="660">
        <f t="shared" si="241"/>
        <v>77.424999999999997</v>
      </c>
      <c r="N208" s="1461">
        <f t="shared" si="241"/>
        <v>76.95</v>
      </c>
      <c r="O208" s="1383">
        <f t="shared" si="241"/>
        <v>76.38</v>
      </c>
      <c r="P208" s="667">
        <f t="shared" si="241"/>
        <v>74.099999999999994</v>
      </c>
      <c r="Q208" s="660">
        <f t="shared" si="241"/>
        <v>0</v>
      </c>
      <c r="R208" s="660">
        <f t="shared" si="241"/>
        <v>68.875</v>
      </c>
      <c r="S208" s="1461">
        <f t="shared" si="241"/>
        <v>0</v>
      </c>
      <c r="T208" s="1461">
        <f>T$206*$C$208</f>
        <v>67.64</v>
      </c>
      <c r="U208" s="1461">
        <f t="shared" si="241"/>
        <v>68.305000000000007</v>
      </c>
      <c r="V208" s="661"/>
      <c r="W208" s="662"/>
      <c r="X208" s="659"/>
      <c r="Y208" s="661"/>
      <c r="Z208" s="661"/>
      <c r="AA208" s="663"/>
      <c r="AB208" s="659"/>
      <c r="AC208" s="661"/>
      <c r="AD208" s="661"/>
      <c r="AE208" s="661"/>
      <c r="AF208" s="661"/>
      <c r="AG208" s="663"/>
      <c r="AH208" s="659"/>
      <c r="AI208" s="661"/>
      <c r="AJ208" s="661"/>
      <c r="AK208" s="661"/>
      <c r="AL208" s="661"/>
      <c r="AM208" s="661"/>
      <c r="AN208" s="661"/>
      <c r="AO208" s="664"/>
      <c r="AP208" s="661"/>
      <c r="AQ208" s="661"/>
      <c r="AR208" s="661"/>
      <c r="AS208" s="663"/>
      <c r="AT208" s="659"/>
      <c r="AU208" s="661"/>
      <c r="AV208" s="661"/>
      <c r="AW208" s="661"/>
      <c r="AX208" s="661"/>
      <c r="AY208" s="663"/>
      <c r="AZ208" s="659"/>
      <c r="BA208" s="661"/>
      <c r="BB208" s="661"/>
      <c r="BC208" s="661"/>
      <c r="BD208" s="661"/>
      <c r="BE208" s="661"/>
      <c r="BF208" s="661"/>
      <c r="BG208" s="664"/>
      <c r="BH208" s="661"/>
      <c r="BI208" s="661"/>
      <c r="BJ208" s="661"/>
      <c r="BK208" s="663"/>
      <c r="BL208" s="659"/>
      <c r="BM208" s="661"/>
      <c r="BN208" s="661"/>
      <c r="BO208" s="661"/>
      <c r="BP208" s="661"/>
      <c r="BQ208" s="663"/>
      <c r="BR208" s="659"/>
      <c r="BS208" s="661"/>
      <c r="BT208" s="661"/>
      <c r="BU208" s="661"/>
      <c r="BV208" s="661"/>
      <c r="BW208" s="661"/>
      <c r="BX208" s="661"/>
      <c r="BY208" s="664"/>
      <c r="BZ208" s="665"/>
      <c r="CA208" s="661"/>
      <c r="CB208" s="661"/>
      <c r="CC208" s="661"/>
      <c r="CD208" s="663"/>
      <c r="CE208" s="659"/>
      <c r="CF208" s="661"/>
      <c r="CG208" s="661"/>
      <c r="CH208" s="661"/>
      <c r="CI208" s="661"/>
      <c r="CJ208" s="663"/>
      <c r="CK208" s="659"/>
      <c r="CL208" s="661"/>
      <c r="CM208" s="661"/>
      <c r="CN208" s="661"/>
      <c r="CO208" s="661"/>
      <c r="CP208" s="661"/>
      <c r="CQ208" s="661"/>
      <c r="CR208" s="664"/>
      <c r="CS208" s="661"/>
      <c r="CT208" s="661"/>
      <c r="CU208" s="661"/>
      <c r="CV208" s="663"/>
      <c r="CW208" s="659"/>
      <c r="CX208" s="661"/>
      <c r="CY208" s="661"/>
      <c r="CZ208" s="661"/>
      <c r="DA208" s="661"/>
      <c r="DB208" s="663"/>
      <c r="DC208" s="659"/>
      <c r="DD208" s="661"/>
      <c r="DE208" s="661"/>
      <c r="DF208" s="661"/>
      <c r="DG208" s="661"/>
      <c r="DH208" s="661"/>
      <c r="DI208" s="661"/>
    </row>
    <row r="209" spans="3:113" x14ac:dyDescent="0.25">
      <c r="C209" s="168"/>
      <c r="D209" s="168"/>
      <c r="E209" s="168"/>
      <c r="F209" s="352"/>
      <c r="G209" s="234"/>
      <c r="H209" s="234"/>
      <c r="I209" s="1365"/>
      <c r="J209" s="352"/>
      <c r="K209" s="234"/>
      <c r="L209" s="234"/>
      <c r="M209" s="234"/>
      <c r="N209" s="1447"/>
      <c r="O209" s="1365"/>
      <c r="P209" s="352"/>
      <c r="Q209" s="234"/>
      <c r="R209" s="234"/>
      <c r="S209" s="1447"/>
      <c r="T209" s="1447"/>
      <c r="U209" s="1447"/>
      <c r="V209" s="234"/>
      <c r="W209" s="468"/>
      <c r="X209" s="352"/>
      <c r="Y209" s="234"/>
      <c r="Z209" s="234"/>
      <c r="AA209" s="235"/>
      <c r="AB209" s="352"/>
      <c r="AC209" s="234"/>
      <c r="AD209" s="234"/>
      <c r="AE209" s="234"/>
      <c r="AF209" s="234"/>
      <c r="AG209" s="235"/>
      <c r="AH209" s="352"/>
      <c r="AI209" s="234"/>
      <c r="AJ209" s="234"/>
      <c r="AK209" s="234"/>
      <c r="AL209" s="234"/>
      <c r="AM209" s="234"/>
      <c r="AN209" s="234"/>
      <c r="AO209" s="486"/>
      <c r="AP209" s="234"/>
      <c r="AQ209" s="234"/>
      <c r="AR209" s="234"/>
      <c r="AS209" s="235"/>
      <c r="AT209" s="352"/>
      <c r="AU209" s="234"/>
      <c r="AV209" s="234"/>
      <c r="AW209" s="234"/>
      <c r="AX209" s="234"/>
      <c r="AY209" s="235"/>
      <c r="AZ209" s="352"/>
      <c r="BA209" s="234"/>
      <c r="BB209" s="234"/>
      <c r="BC209" s="234"/>
      <c r="BD209" s="234"/>
      <c r="BE209" s="234"/>
      <c r="BF209" s="234"/>
      <c r="BG209" s="486"/>
      <c r="BH209" s="234"/>
      <c r="BI209" s="234"/>
      <c r="BJ209" s="234"/>
      <c r="BK209" s="235"/>
      <c r="BL209" s="352"/>
      <c r="BM209" s="234"/>
      <c r="BN209" s="234"/>
      <c r="BO209" s="234"/>
      <c r="BP209" s="234"/>
      <c r="BQ209" s="235"/>
      <c r="BR209" s="352"/>
      <c r="BS209" s="234"/>
      <c r="BT209" s="234"/>
      <c r="BU209" s="234"/>
      <c r="BV209" s="234"/>
      <c r="BW209" s="234"/>
      <c r="BX209" s="234"/>
      <c r="BY209" s="486"/>
      <c r="BZ209" s="488"/>
      <c r="CA209" s="234"/>
      <c r="CB209" s="234"/>
      <c r="CC209" s="234"/>
      <c r="CD209" s="235"/>
      <c r="CE209" s="352"/>
      <c r="CF209" s="234"/>
      <c r="CG209" s="234"/>
      <c r="CH209" s="234"/>
      <c r="CI209" s="234"/>
      <c r="CJ209" s="235"/>
      <c r="CK209" s="352"/>
      <c r="CL209" s="234"/>
      <c r="CM209" s="234"/>
      <c r="CN209" s="234"/>
      <c r="CO209" s="234"/>
      <c r="CP209" s="234"/>
      <c r="CQ209" s="234"/>
      <c r="CR209" s="486"/>
      <c r="CS209" s="234"/>
      <c r="CT209" s="234"/>
      <c r="CU209" s="234"/>
      <c r="CV209" s="235"/>
      <c r="CW209" s="352"/>
      <c r="CX209" s="234"/>
      <c r="CY209" s="234"/>
      <c r="CZ209" s="234"/>
      <c r="DA209" s="234"/>
      <c r="DB209" s="235"/>
      <c r="DC209" s="352"/>
      <c r="DD209" s="234"/>
      <c r="DE209" s="234"/>
      <c r="DF209" s="234"/>
      <c r="DG209" s="234"/>
      <c r="DH209" s="234"/>
      <c r="DI209" s="234"/>
    </row>
    <row r="210" spans="3:113" ht="15.75" thickBot="1" x14ac:dyDescent="0.3">
      <c r="C210" s="168" t="s">
        <v>350</v>
      </c>
      <c r="D210" s="168"/>
      <c r="E210" s="168"/>
      <c r="F210" s="353">
        <f t="shared" ref="F210:V210" si="242">100*(F$96-(X$96+AP$96))/F$96</f>
        <v>57.832347870548233</v>
      </c>
      <c r="G210" s="228">
        <f t="shared" si="242"/>
        <v>61.786355511499139</v>
      </c>
      <c r="H210" s="228">
        <f t="shared" si="242"/>
        <v>57.12390155358721</v>
      </c>
      <c r="I210" s="1361">
        <f t="shared" si="242"/>
        <v>61.075037502563127</v>
      </c>
      <c r="J210" s="353">
        <f t="shared" si="242"/>
        <v>84.511290358470148</v>
      </c>
      <c r="K210" s="228">
        <f t="shared" si="242"/>
        <v>73.305699510995368</v>
      </c>
      <c r="L210" s="228">
        <f t="shared" si="242"/>
        <v>70.673326364098855</v>
      </c>
      <c r="M210" s="228">
        <f t="shared" si="242"/>
        <v>70.718836039193562</v>
      </c>
      <c r="N210" s="1443">
        <f t="shared" si="242"/>
        <v>69.720915787066986</v>
      </c>
      <c r="O210" s="1361">
        <f t="shared" si="242"/>
        <v>65.851730599678731</v>
      </c>
      <c r="P210" s="353">
        <f t="shared" si="242"/>
        <v>75.22497919965646</v>
      </c>
      <c r="Q210" s="228">
        <f t="shared" si="242"/>
        <v>75.726335746438494</v>
      </c>
      <c r="R210" s="228">
        <f t="shared" si="242"/>
        <v>74.465146500117342</v>
      </c>
      <c r="S210" s="1443">
        <f t="shared" si="242"/>
        <v>74.923795123143435</v>
      </c>
      <c r="T210" s="1443">
        <f t="shared" si="242"/>
        <v>72.909338682234647</v>
      </c>
      <c r="U210" s="1443">
        <f t="shared" si="242"/>
        <v>75.922909503819398</v>
      </c>
      <c r="V210" s="228" t="e">
        <f t="shared" si="242"/>
        <v>#DIV/0!</v>
      </c>
      <c r="W210" s="476"/>
      <c r="X210" s="353"/>
      <c r="Y210" s="228"/>
      <c r="Z210" s="228"/>
      <c r="AA210" s="229"/>
      <c r="AB210" s="353"/>
      <c r="AC210" s="228"/>
      <c r="AD210" s="228"/>
      <c r="AE210" s="228"/>
      <c r="AF210" s="228"/>
      <c r="AG210" s="229"/>
      <c r="AH210" s="353"/>
      <c r="AI210" s="228"/>
      <c r="AJ210" s="228"/>
      <c r="AK210" s="228"/>
      <c r="AL210" s="228"/>
      <c r="AM210" s="228"/>
      <c r="AN210" s="228"/>
      <c r="AO210" s="463"/>
      <c r="AP210" s="228"/>
      <c r="AQ210" s="228"/>
      <c r="AR210" s="228"/>
      <c r="AS210" s="229"/>
      <c r="AT210" s="353"/>
      <c r="AU210" s="228"/>
      <c r="AV210" s="228"/>
      <c r="AW210" s="228"/>
      <c r="AX210" s="228"/>
      <c r="AY210" s="229"/>
      <c r="AZ210" s="353"/>
      <c r="BA210" s="228"/>
      <c r="BB210" s="228"/>
      <c r="BC210" s="228"/>
      <c r="BD210" s="228"/>
      <c r="BE210" s="228"/>
      <c r="BF210" s="228"/>
      <c r="BG210" s="463"/>
      <c r="BH210" s="228"/>
      <c r="BI210" s="228"/>
      <c r="BJ210" s="228"/>
      <c r="BK210" s="229"/>
      <c r="BL210" s="353"/>
      <c r="BM210" s="228"/>
      <c r="BN210" s="228"/>
      <c r="BO210" s="228"/>
      <c r="BP210" s="228"/>
      <c r="BQ210" s="229"/>
      <c r="BR210" s="353"/>
      <c r="BS210" s="228"/>
      <c r="BT210" s="228"/>
      <c r="BU210" s="228"/>
      <c r="BV210" s="228"/>
      <c r="BW210" s="228"/>
      <c r="BX210" s="228"/>
      <c r="BY210" s="463"/>
      <c r="BZ210" s="464"/>
      <c r="CA210" s="228"/>
      <c r="CB210" s="228"/>
      <c r="CC210" s="228"/>
      <c r="CD210" s="229"/>
      <c r="CE210" s="353"/>
      <c r="CF210" s="228"/>
      <c r="CG210" s="228"/>
      <c r="CH210" s="228"/>
      <c r="CI210" s="228"/>
      <c r="CJ210" s="229"/>
      <c r="CK210" s="353"/>
      <c r="CL210" s="228"/>
      <c r="CM210" s="228"/>
      <c r="CN210" s="228"/>
      <c r="CO210" s="228"/>
      <c r="CP210" s="228"/>
      <c r="CQ210" s="228"/>
      <c r="CR210" s="463"/>
      <c r="CS210" s="228"/>
      <c r="CT210" s="228"/>
      <c r="CU210" s="228"/>
      <c r="CV210" s="229"/>
      <c r="CW210" s="353"/>
      <c r="CX210" s="228"/>
      <c r="CY210" s="228"/>
      <c r="CZ210" s="228"/>
      <c r="DA210" s="228"/>
      <c r="DB210" s="229"/>
      <c r="DC210" s="353"/>
      <c r="DD210" s="228"/>
      <c r="DE210" s="228"/>
      <c r="DF210" s="228"/>
      <c r="DG210" s="228"/>
      <c r="DH210" s="228"/>
      <c r="DI210" s="228"/>
    </row>
    <row r="211" spans="3:113" s="528" customFormat="1" ht="19.5" thickTop="1" x14ac:dyDescent="0.3">
      <c r="C211" s="597" t="s">
        <v>142</v>
      </c>
      <c r="D211" s="597"/>
      <c r="E211" s="597"/>
      <c r="F211" s="481"/>
      <c r="G211" s="466"/>
      <c r="H211" s="466"/>
      <c r="I211" s="1371"/>
      <c r="J211" s="481"/>
      <c r="K211" s="466"/>
      <c r="L211" s="466"/>
      <c r="M211" s="466"/>
      <c r="N211" s="1420"/>
      <c r="O211" s="1371"/>
      <c r="P211" s="481"/>
      <c r="Q211" s="466"/>
      <c r="R211" s="466"/>
      <c r="S211" s="1420"/>
      <c r="T211" s="1420"/>
      <c r="U211" s="1420"/>
      <c r="V211" s="466"/>
      <c r="W211" s="480"/>
      <c r="X211" s="481"/>
      <c r="Y211" s="466"/>
      <c r="Z211" s="466"/>
      <c r="AA211" s="519"/>
      <c r="AB211" s="481"/>
      <c r="AC211" s="466"/>
      <c r="AD211" s="466"/>
      <c r="AE211" s="466"/>
      <c r="AF211" s="466"/>
      <c r="AG211" s="519"/>
      <c r="AH211" s="481"/>
      <c r="AI211" s="466"/>
      <c r="AJ211" s="466"/>
      <c r="AK211" s="466"/>
      <c r="AL211" s="466"/>
      <c r="AM211" s="466"/>
      <c r="AN211" s="466"/>
      <c r="AO211" s="482"/>
      <c r="AP211" s="466"/>
      <c r="AQ211" s="466"/>
      <c r="AR211" s="466"/>
      <c r="AS211" s="519"/>
      <c r="AT211" s="481"/>
      <c r="AU211" s="466"/>
      <c r="AV211" s="466"/>
      <c r="AW211" s="466"/>
      <c r="AX211" s="466"/>
      <c r="AY211" s="519"/>
      <c r="AZ211" s="481"/>
      <c r="BA211" s="466"/>
      <c r="BB211" s="466"/>
      <c r="BC211" s="466"/>
      <c r="BD211" s="466"/>
      <c r="BE211" s="466"/>
      <c r="BF211" s="466"/>
      <c r="BG211" s="482"/>
      <c r="BH211" s="466"/>
      <c r="BI211" s="466"/>
      <c r="BJ211" s="466"/>
      <c r="BK211" s="519"/>
      <c r="BL211" s="481"/>
      <c r="BM211" s="466"/>
      <c r="BN211" s="466"/>
      <c r="BO211" s="466"/>
      <c r="BP211" s="466"/>
      <c r="BQ211" s="519"/>
      <c r="BR211" s="481"/>
      <c r="BS211" s="466"/>
      <c r="BT211" s="466"/>
      <c r="BU211" s="466"/>
      <c r="BV211" s="466"/>
      <c r="BW211" s="466"/>
      <c r="BX211" s="466"/>
      <c r="BY211" s="482"/>
      <c r="BZ211" s="485"/>
      <c r="CA211" s="466"/>
      <c r="CB211" s="466"/>
      <c r="CC211" s="466"/>
      <c r="CD211" s="519"/>
      <c r="CE211" s="481"/>
      <c r="CF211" s="466"/>
      <c r="CG211" s="466"/>
      <c r="CH211" s="466"/>
      <c r="CI211" s="466"/>
      <c r="CJ211" s="519"/>
      <c r="CK211" s="481"/>
      <c r="CL211" s="466"/>
      <c r="CM211" s="466"/>
      <c r="CN211" s="466"/>
      <c r="CO211" s="466"/>
      <c r="CP211" s="466"/>
      <c r="CQ211" s="466"/>
      <c r="CR211" s="482"/>
      <c r="CS211" s="466"/>
      <c r="CT211" s="466"/>
      <c r="CU211" s="466"/>
      <c r="CV211" s="519"/>
      <c r="CW211" s="481"/>
      <c r="CX211" s="466"/>
      <c r="CY211" s="466"/>
      <c r="CZ211" s="466"/>
      <c r="DA211" s="466"/>
      <c r="DB211" s="519"/>
      <c r="DC211" s="481"/>
      <c r="DD211" s="466"/>
      <c r="DE211" s="466"/>
      <c r="DF211" s="466"/>
      <c r="DG211" s="466"/>
      <c r="DH211" s="466"/>
      <c r="DI211" s="466"/>
    </row>
    <row r="212" spans="3:113" x14ac:dyDescent="0.25">
      <c r="C212" s="1" t="s">
        <v>119</v>
      </c>
      <c r="F212" s="322">
        <f t="shared" ref="F212:V212" si="243">(CS$107+CA$107)/F$59*100</f>
        <v>0.45190714285714279</v>
      </c>
      <c r="G212" s="261">
        <f t="shared" si="243"/>
        <v>0.26256499238964992</v>
      </c>
      <c r="H212" s="261">
        <f t="shared" si="243"/>
        <v>0.31596529789179206</v>
      </c>
      <c r="I212" s="1337">
        <f t="shared" si="243"/>
        <v>0.41507653400771988</v>
      </c>
      <c r="J212" s="322">
        <f t="shared" si="243"/>
        <v>1.5971569860299282</v>
      </c>
      <c r="K212" s="261">
        <f t="shared" si="243"/>
        <v>1.0532212775365815</v>
      </c>
      <c r="L212" s="261">
        <f t="shared" si="243"/>
        <v>0.98097520478193467</v>
      </c>
      <c r="M212" s="261">
        <f t="shared" si="243"/>
        <v>0.90358168336513978</v>
      </c>
      <c r="N212" s="1418">
        <f t="shared" si="243"/>
        <v>0.99596609830291372</v>
      </c>
      <c r="O212" s="1337">
        <f t="shared" si="243"/>
        <v>1.0377609992101107</v>
      </c>
      <c r="P212" s="322">
        <f t="shared" si="243"/>
        <v>1.1264504504504507</v>
      </c>
      <c r="Q212" s="261">
        <f t="shared" si="243"/>
        <v>1.229703256548176</v>
      </c>
      <c r="R212" s="261">
        <f t="shared" si="243"/>
        <v>1.1265749517338677</v>
      </c>
      <c r="S212" s="1418">
        <f t="shared" si="243"/>
        <v>1.147110033022533</v>
      </c>
      <c r="T212" s="1418">
        <f t="shared" si="243"/>
        <v>1.0817369811780968</v>
      </c>
      <c r="U212" s="1418">
        <f t="shared" si="243"/>
        <v>1.0336612049482574</v>
      </c>
      <c r="V212" s="261" t="e">
        <f t="shared" si="243"/>
        <v>#DIV/0!</v>
      </c>
    </row>
    <row r="213" spans="3:113" x14ac:dyDescent="0.25">
      <c r="C213" s="1" t="s">
        <v>588</v>
      </c>
      <c r="F213" s="833">
        <f>F212/F137</f>
        <v>0.458736868893591</v>
      </c>
      <c r="G213" s="261">
        <f t="shared" ref="G213:U213" si="244">G212/G137</f>
        <v>0.26965001923473669</v>
      </c>
      <c r="H213" s="261">
        <f t="shared" si="244"/>
        <v>0.31768278003571337</v>
      </c>
      <c r="I213" s="1023">
        <f t="shared" si="244"/>
        <v>0.4358721400534934</v>
      </c>
      <c r="J213" s="833">
        <f>J212/J137-0.3</f>
        <v>1.1721185339645743</v>
      </c>
      <c r="K213" s="261">
        <f t="shared" si="244"/>
        <v>1.1195159273923156</v>
      </c>
      <c r="L213" s="261">
        <f t="shared" si="244"/>
        <v>1.0210828855904404</v>
      </c>
      <c r="M213" s="261">
        <f t="shared" si="244"/>
        <v>0.9404329603224475</v>
      </c>
      <c r="N213" s="1418">
        <f t="shared" si="244"/>
        <v>1.0249256055343356</v>
      </c>
      <c r="O213" s="1023">
        <f t="shared" si="244"/>
        <v>1.0912678723297837</v>
      </c>
      <c r="P213" s="833">
        <f t="shared" si="244"/>
        <v>1.1931009467954974</v>
      </c>
      <c r="Q213" s="261">
        <f t="shared" si="244"/>
        <v>1.3072145685502681</v>
      </c>
      <c r="R213" s="261">
        <f t="shared" si="244"/>
        <v>1.1795186991554152</v>
      </c>
      <c r="S213" s="1418">
        <f t="shared" si="244"/>
        <v>1.223105283892477</v>
      </c>
      <c r="T213" s="1418">
        <f t="shared" si="244"/>
        <v>1.1101349909012119</v>
      </c>
      <c r="U213" s="1418">
        <f t="shared" si="244"/>
        <v>1.2244307599161801</v>
      </c>
      <c r="V213" s="612" t="e">
        <f t="shared" ref="V213" si="245">V212/V137</f>
        <v>#DIV/0!</v>
      </c>
    </row>
    <row r="214" spans="3:113" x14ac:dyDescent="0.25">
      <c r="C214" s="637" t="s">
        <v>589</v>
      </c>
      <c r="F214" s="322">
        <v>0.5</v>
      </c>
      <c r="G214" s="612">
        <v>0.5</v>
      </c>
      <c r="H214" s="612">
        <v>0.5</v>
      </c>
      <c r="I214" s="1022">
        <v>0.5</v>
      </c>
      <c r="J214" s="322">
        <v>1</v>
      </c>
      <c r="K214" s="612">
        <v>1</v>
      </c>
      <c r="L214" s="612">
        <v>1</v>
      </c>
      <c r="M214" s="612">
        <v>1</v>
      </c>
      <c r="N214" s="1023">
        <v>1</v>
      </c>
      <c r="O214" s="1022">
        <v>1.1000000000000001</v>
      </c>
      <c r="P214" s="322">
        <v>1.1000000000000001</v>
      </c>
      <c r="Q214" s="612">
        <v>1.1000000000000001</v>
      </c>
      <c r="R214" s="612">
        <v>1.1000000000000001</v>
      </c>
      <c r="S214" s="824">
        <v>1.1000000000000001</v>
      </c>
      <c r="T214" s="824">
        <v>1.1000000000000001</v>
      </c>
      <c r="U214" s="824">
        <v>1.2</v>
      </c>
    </row>
    <row r="215" spans="3:113" x14ac:dyDescent="0.25">
      <c r="C215" s="1" t="s">
        <v>120</v>
      </c>
      <c r="F215" s="322">
        <f t="shared" ref="F215:V215" si="246">((CA$108+CS$108)/F$59)*100</f>
        <v>0.46374486215538846</v>
      </c>
      <c r="G215" s="261">
        <f t="shared" si="246"/>
        <v>0.21782283105022832</v>
      </c>
      <c r="H215" s="261">
        <f t="shared" si="246"/>
        <v>0.24877949061478188</v>
      </c>
      <c r="I215" s="1337">
        <f t="shared" si="246"/>
        <v>0.33196273126580594</v>
      </c>
      <c r="J215" s="322">
        <f t="shared" si="246"/>
        <v>1.2389367701830423</v>
      </c>
      <c r="K215" s="261">
        <f t="shared" si="246"/>
        <v>0.84476644155008829</v>
      </c>
      <c r="L215" s="261">
        <f t="shared" si="246"/>
        <v>0.76773638476865158</v>
      </c>
      <c r="M215" s="261">
        <f t="shared" si="246"/>
        <v>0.73597279540394389</v>
      </c>
      <c r="N215" s="1418">
        <f t="shared" si="246"/>
        <v>0.79446892010886971</v>
      </c>
      <c r="O215" s="1337">
        <f t="shared" si="246"/>
        <v>0.78787649091627177</v>
      </c>
      <c r="P215" s="322">
        <f t="shared" si="246"/>
        <v>0.87363243243243249</v>
      </c>
      <c r="Q215" s="261">
        <f t="shared" si="246"/>
        <v>0.9771922844558778</v>
      </c>
      <c r="R215" s="261">
        <f t="shared" si="246"/>
        <v>0.90243639080715821</v>
      </c>
      <c r="S215" s="1418">
        <f t="shared" si="246"/>
        <v>0.9013777292152293</v>
      </c>
      <c r="T215" s="1418">
        <f t="shared" si="246"/>
        <v>0.83117991246256617</v>
      </c>
      <c r="U215" s="1418">
        <f t="shared" si="246"/>
        <v>0.81658733793267513</v>
      </c>
      <c r="V215" s="261" t="e">
        <f t="shared" si="246"/>
        <v>#DIV/0!</v>
      </c>
    </row>
    <row r="216" spans="3:113" x14ac:dyDescent="0.25">
      <c r="C216" s="1" t="s">
        <v>598</v>
      </c>
      <c r="F216" s="833">
        <f>F215/F137</f>
        <v>0.47075349304205044</v>
      </c>
      <c r="G216" s="261">
        <f t="shared" ref="G216:U216" si="247">G215/G137</f>
        <v>0.22370053999923176</v>
      </c>
      <c r="H216" s="261">
        <f t="shared" si="247"/>
        <v>0.25013177308300111</v>
      </c>
      <c r="I216" s="1023">
        <f t="shared" si="247"/>
        <v>0.34859428139134085</v>
      </c>
      <c r="J216" s="833">
        <f>J215/J137-0.3</f>
        <v>0.84194271305180801</v>
      </c>
      <c r="K216" s="261">
        <f t="shared" si="247"/>
        <v>0.89793997369086143</v>
      </c>
      <c r="L216" s="261">
        <f t="shared" si="247"/>
        <v>0.79912568565543807</v>
      </c>
      <c r="M216" s="261">
        <f t="shared" si="247"/>
        <v>0.76598838537857461</v>
      </c>
      <c r="N216" s="1418">
        <f t="shared" si="247"/>
        <v>0.81756953415209521</v>
      </c>
      <c r="O216" s="1023">
        <f t="shared" si="247"/>
        <v>0.82849933901474315</v>
      </c>
      <c r="P216" s="833">
        <f t="shared" si="247"/>
        <v>0.92532404054663542</v>
      </c>
      <c r="Q216" s="261">
        <f t="shared" si="247"/>
        <v>1.03878719009117</v>
      </c>
      <c r="R216" s="261">
        <f t="shared" si="247"/>
        <v>0.9448466754183803</v>
      </c>
      <c r="S216" s="1418">
        <f t="shared" si="247"/>
        <v>0.96109338393738286</v>
      </c>
      <c r="T216" s="1418">
        <f t="shared" si="247"/>
        <v>0.85300023999732755</v>
      </c>
      <c r="U216" s="1023">
        <f t="shared" si="247"/>
        <v>0.96729436099218435</v>
      </c>
      <c r="V216" s="261"/>
    </row>
    <row r="217" spans="3:113" x14ac:dyDescent="0.25">
      <c r="C217" s="637" t="s">
        <v>596</v>
      </c>
      <c r="F217" s="322">
        <v>0.4</v>
      </c>
      <c r="G217" s="261">
        <v>0.4</v>
      </c>
      <c r="H217" s="261">
        <v>0.4</v>
      </c>
      <c r="I217" s="1337">
        <v>0.4</v>
      </c>
      <c r="J217" s="322">
        <v>0.89</v>
      </c>
      <c r="K217" s="261">
        <v>0.89</v>
      </c>
      <c r="L217" s="261">
        <v>0.89</v>
      </c>
      <c r="M217" s="261">
        <v>0.84</v>
      </c>
      <c r="N217" s="1418">
        <v>0.9</v>
      </c>
      <c r="O217" s="1337">
        <v>0.9</v>
      </c>
      <c r="P217" s="322">
        <v>0.9</v>
      </c>
      <c r="Q217" s="261">
        <v>0.89</v>
      </c>
      <c r="R217" s="261">
        <v>0.89</v>
      </c>
      <c r="S217" s="641">
        <v>0.89</v>
      </c>
      <c r="T217" s="641">
        <v>0.9</v>
      </c>
      <c r="U217" s="641">
        <v>0.9</v>
      </c>
      <c r="V217" s="261"/>
    </row>
    <row r="218" spans="3:113" x14ac:dyDescent="0.25">
      <c r="C218" s="1" t="s">
        <v>121</v>
      </c>
      <c r="F218" s="322">
        <f t="shared" ref="F218:V218" si="248">(CS$109+CA$109)/F$59*100</f>
        <v>0.59306184210526314</v>
      </c>
      <c r="G218" s="261">
        <f t="shared" si="248"/>
        <v>0.24006514459665149</v>
      </c>
      <c r="H218" s="261">
        <f t="shared" si="248"/>
        <v>0.27525664460264165</v>
      </c>
      <c r="I218" s="1337">
        <f t="shared" si="248"/>
        <v>0.31337574870224943</v>
      </c>
      <c r="J218" s="322">
        <f>(CW$109+CE$109)/J$59*100-0.2</f>
        <v>0.88128678078651235</v>
      </c>
      <c r="K218" s="261">
        <f t="shared" si="248"/>
        <v>0.80202745618266602</v>
      </c>
      <c r="L218" s="261">
        <f t="shared" si="248"/>
        <v>0.71998202162202052</v>
      </c>
      <c r="M218" s="261">
        <f t="shared" si="248"/>
        <v>0.74838106313613217</v>
      </c>
      <c r="N218" s="1418">
        <f t="shared" si="248"/>
        <v>0.77593653938520657</v>
      </c>
      <c r="O218" s="1337">
        <f t="shared" si="248"/>
        <v>0.71107720181674561</v>
      </c>
      <c r="P218" s="322">
        <f t="shared" si="248"/>
        <v>0.85151891891891895</v>
      </c>
      <c r="Q218" s="261">
        <f t="shared" si="248"/>
        <v>0.94589292952915494</v>
      </c>
      <c r="R218" s="261">
        <f t="shared" si="248"/>
        <v>0.89743401462835071</v>
      </c>
      <c r="S218" s="1418">
        <f t="shared" si="248"/>
        <v>0.86464050116550117</v>
      </c>
      <c r="T218" s="1418">
        <f t="shared" si="248"/>
        <v>0.8148288954835563</v>
      </c>
      <c r="U218" s="1418">
        <f t="shared" si="248"/>
        <v>0.82317973117640064</v>
      </c>
      <c r="V218" s="261" t="e">
        <f t="shared" si="248"/>
        <v>#DIV/0!</v>
      </c>
    </row>
    <row r="219" spans="3:113" x14ac:dyDescent="0.25">
      <c r="C219" s="1" t="s">
        <v>600</v>
      </c>
      <c r="F219" s="833">
        <f>F218/F137</f>
        <v>0.60202485578688292</v>
      </c>
      <c r="G219" s="261">
        <f t="shared" ref="G219:U219" si="249">G218/G137</f>
        <v>0.24654303785483878</v>
      </c>
      <c r="H219" s="261">
        <f t="shared" si="249"/>
        <v>0.27675284806313255</v>
      </c>
      <c r="I219" s="1023">
        <f t="shared" si="249"/>
        <v>0.32907607883507767</v>
      </c>
      <c r="J219" s="833">
        <f>J218/J137</f>
        <v>0.81229247662038484</v>
      </c>
      <c r="K219" s="261">
        <f t="shared" si="249"/>
        <v>0.85251079763839177</v>
      </c>
      <c r="L219" s="261">
        <f t="shared" si="249"/>
        <v>0.74941886056587304</v>
      </c>
      <c r="M219" s="261">
        <f t="shared" si="249"/>
        <v>0.7789027064307642</v>
      </c>
      <c r="N219" s="1418">
        <f t="shared" si="249"/>
        <v>0.79849829109717718</v>
      </c>
      <c r="O219" s="1023">
        <f t="shared" si="249"/>
        <v>0.74774028478561849</v>
      </c>
      <c r="P219" s="833">
        <f t="shared" si="249"/>
        <v>0.9019021013930778</v>
      </c>
      <c r="Q219" s="261">
        <f t="shared" si="249"/>
        <v>1.0055149575191531</v>
      </c>
      <c r="R219" s="261">
        <f t="shared" si="249"/>
        <v>0.93960921098334027</v>
      </c>
      <c r="S219" s="1418">
        <f t="shared" si="249"/>
        <v>0.92192233979195803</v>
      </c>
      <c r="T219" s="1418">
        <f t="shared" si="249"/>
        <v>0.83621997233424927</v>
      </c>
      <c r="U219" s="1023">
        <f t="shared" si="249"/>
        <v>0.97510342747396761</v>
      </c>
      <c r="V219" s="261"/>
    </row>
    <row r="220" spans="3:113" x14ac:dyDescent="0.25">
      <c r="C220" s="1" t="s">
        <v>602</v>
      </c>
      <c r="F220" s="322">
        <v>0.5</v>
      </c>
      <c r="G220" s="612">
        <v>0.5</v>
      </c>
      <c r="H220" s="612">
        <v>0.5</v>
      </c>
      <c r="I220" s="1022">
        <v>0.5</v>
      </c>
      <c r="J220" s="322">
        <v>0.92</v>
      </c>
      <c r="K220" s="612">
        <v>0.95</v>
      </c>
      <c r="L220" s="612">
        <v>1</v>
      </c>
      <c r="M220" s="612">
        <v>0.95</v>
      </c>
      <c r="N220" s="1023">
        <v>1.2</v>
      </c>
      <c r="O220" s="1022">
        <v>1.1000000000000001</v>
      </c>
      <c r="P220" s="322">
        <v>1.1000000000000001</v>
      </c>
      <c r="Q220" s="612">
        <v>0.95</v>
      </c>
      <c r="R220" s="612">
        <v>0.95</v>
      </c>
      <c r="S220" s="1023">
        <v>1.1000000000000001</v>
      </c>
      <c r="T220" s="1023">
        <v>1.1000000000000001</v>
      </c>
      <c r="U220" s="1023">
        <v>1.1000000000000001</v>
      </c>
      <c r="V220" s="261"/>
    </row>
    <row r="221" spans="3:113" x14ac:dyDescent="0.25">
      <c r="C221" s="1" t="s">
        <v>122</v>
      </c>
      <c r="F221" s="322">
        <f t="shared" ref="F221:V221" si="250">((CA$120+CS$120)/F$59)*100</f>
        <v>0.52525344611528813</v>
      </c>
      <c r="G221" s="261">
        <f t="shared" si="250"/>
        <v>0.21329781836631148</v>
      </c>
      <c r="H221" s="261">
        <f t="shared" si="250"/>
        <v>0.39992897598581167</v>
      </c>
      <c r="I221" s="1337">
        <f t="shared" si="250"/>
        <v>0.18828530547051778</v>
      </c>
      <c r="J221" s="322">
        <f t="shared" si="250"/>
        <v>0.59150846372287824</v>
      </c>
      <c r="K221" s="261">
        <f t="shared" si="250"/>
        <v>0.48022801428418288</v>
      </c>
      <c r="L221" s="261">
        <f t="shared" si="250"/>
        <v>0.432091573807591</v>
      </c>
      <c r="M221" s="261">
        <f t="shared" si="250"/>
        <v>0.47298486038220949</v>
      </c>
      <c r="N221" s="1418">
        <f t="shared" si="250"/>
        <v>0.46084348983349355</v>
      </c>
      <c r="O221" s="1337">
        <f t="shared" si="250"/>
        <v>0.39987612723801991</v>
      </c>
      <c r="P221" s="322">
        <f t="shared" si="250"/>
        <v>0.51531531531531527</v>
      </c>
      <c r="Q221" s="261">
        <f t="shared" si="250"/>
        <v>0.58633164919187208</v>
      </c>
      <c r="R221" s="261">
        <f t="shared" si="250"/>
        <v>0.57787012543006377</v>
      </c>
      <c r="S221" s="1418">
        <f t="shared" si="250"/>
        <v>0.51626485204610206</v>
      </c>
      <c r="T221" s="1418">
        <f t="shared" si="250"/>
        <v>0.49956791378149967</v>
      </c>
      <c r="U221" s="1418">
        <f t="shared" si="250"/>
        <v>0.52581259168946515</v>
      </c>
      <c r="V221" s="261" t="e">
        <f t="shared" si="250"/>
        <v>#DIV/0!</v>
      </c>
    </row>
    <row r="222" spans="3:113" x14ac:dyDescent="0.25">
      <c r="C222" s="1" t="s">
        <v>599</v>
      </c>
      <c r="F222" s="833">
        <f t="shared" ref="F222:U222" si="251">F221/F137</f>
        <v>0.53319166349770675</v>
      </c>
      <c r="G222" s="261">
        <f t="shared" si="251"/>
        <v>0.21905342483680806</v>
      </c>
      <c r="H222" s="261">
        <f t="shared" si="251"/>
        <v>0.40210285672421986</v>
      </c>
      <c r="I222" s="1023">
        <f t="shared" si="251"/>
        <v>0.19771852251838923</v>
      </c>
      <c r="J222" s="833">
        <f t="shared" si="251"/>
        <v>0.54520036543674122</v>
      </c>
      <c r="K222" s="261">
        <f t="shared" si="251"/>
        <v>0.51045580092019549</v>
      </c>
      <c r="L222" s="261">
        <f t="shared" si="251"/>
        <v>0.44975786224978676</v>
      </c>
      <c r="M222" s="261">
        <f t="shared" si="251"/>
        <v>0.49227486637441237</v>
      </c>
      <c r="N222" s="1418">
        <f t="shared" si="251"/>
        <v>0.47424334390395589</v>
      </c>
      <c r="O222" s="1023">
        <f t="shared" si="251"/>
        <v>0.42049370799119579</v>
      </c>
      <c r="P222" s="833">
        <f t="shared" si="251"/>
        <v>0.5458058011828788</v>
      </c>
      <c r="Q222" s="261">
        <f t="shared" si="251"/>
        <v>0.62328961864930421</v>
      </c>
      <c r="R222" s="261">
        <f t="shared" si="251"/>
        <v>0.6050273153854594</v>
      </c>
      <c r="S222" s="1418">
        <f t="shared" si="251"/>
        <v>0.55046704348121722</v>
      </c>
      <c r="T222" s="1418">
        <f t="shared" si="251"/>
        <v>0.51268268633690672</v>
      </c>
      <c r="U222" s="1023">
        <f t="shared" si="251"/>
        <v>0.62285505940803498</v>
      </c>
      <c r="V222" s="261"/>
    </row>
    <row r="223" spans="3:113" x14ac:dyDescent="0.25">
      <c r="C223" s="637" t="s">
        <v>597</v>
      </c>
      <c r="F223" s="322">
        <v>0.4</v>
      </c>
      <c r="G223" s="261">
        <v>0.4</v>
      </c>
      <c r="H223" s="261">
        <v>0.4</v>
      </c>
      <c r="I223" s="1337">
        <v>0.4</v>
      </c>
      <c r="J223" s="322">
        <v>0.8</v>
      </c>
      <c r="K223" s="261">
        <v>0.81</v>
      </c>
      <c r="L223" s="261">
        <v>0.92</v>
      </c>
      <c r="M223" s="261">
        <v>0.83</v>
      </c>
      <c r="N223" s="1418">
        <v>1</v>
      </c>
      <c r="O223" s="1337">
        <v>0.89</v>
      </c>
      <c r="P223" s="322">
        <v>0.9</v>
      </c>
      <c r="Q223" s="261">
        <v>0.75</v>
      </c>
      <c r="R223" s="261">
        <v>0.75</v>
      </c>
      <c r="S223" s="1418">
        <v>0.8</v>
      </c>
      <c r="T223" s="1418">
        <v>0.9</v>
      </c>
      <c r="U223" s="1418">
        <v>0.9</v>
      </c>
      <c r="V223" s="261"/>
    </row>
    <row r="224" spans="3:113" x14ac:dyDescent="0.25">
      <c r="C224" s="1" t="s">
        <v>123</v>
      </c>
      <c r="F224" s="322">
        <f t="shared" ref="F224:V224" si="252">((CA$111+CS$111)/F$59)*100</f>
        <v>0.70890607769423553</v>
      </c>
      <c r="G224" s="261">
        <f t="shared" si="252"/>
        <v>0.41428006088280067</v>
      </c>
      <c r="H224" s="261">
        <f t="shared" si="252"/>
        <v>0.3355078670008757</v>
      </c>
      <c r="I224" s="1337">
        <f t="shared" si="252"/>
        <v>0.22944589378410757</v>
      </c>
      <c r="J224" s="322">
        <f t="shared" si="252"/>
        <v>0.7514784799263059</v>
      </c>
      <c r="K224" s="261">
        <f t="shared" si="252"/>
        <v>0.67982955459077021</v>
      </c>
      <c r="L224" s="261">
        <f t="shared" si="252"/>
        <v>0.67710461405062339</v>
      </c>
      <c r="M224" s="261">
        <f t="shared" si="252"/>
        <v>0.79033443662531788</v>
      </c>
      <c r="N224" s="1418">
        <f t="shared" si="252"/>
        <v>0.67478864473262901</v>
      </c>
      <c r="O224" s="1337">
        <f t="shared" si="252"/>
        <v>0.53756958925750387</v>
      </c>
      <c r="P224" s="322">
        <f t="shared" si="252"/>
        <v>0.76701441441441442</v>
      </c>
      <c r="Q224" s="261">
        <f t="shared" si="252"/>
        <v>0.91402341557530431</v>
      </c>
      <c r="R224" s="261">
        <f t="shared" si="252"/>
        <v>0.9293435898863891</v>
      </c>
      <c r="S224" s="1418">
        <f t="shared" si="252"/>
        <v>0.74757237762237749</v>
      </c>
      <c r="T224" s="1418">
        <f t="shared" si="252"/>
        <v>0.79257888532054144</v>
      </c>
      <c r="U224" s="1418">
        <f t="shared" si="252"/>
        <v>0.90719070417509207</v>
      </c>
      <c r="V224" s="261" t="e">
        <f t="shared" si="252"/>
        <v>#DIV/0!</v>
      </c>
    </row>
    <row r="225" spans="3:113" x14ac:dyDescent="0.25">
      <c r="C225" s="1" t="s">
        <v>124</v>
      </c>
      <c r="F225" s="322">
        <f t="shared" ref="F225:V225" si="253">((CA$122+CS$122)/F$59)*100</f>
        <v>0.6835307746109458</v>
      </c>
      <c r="G225" s="261">
        <f t="shared" si="253"/>
        <v>1.5181981522777956</v>
      </c>
      <c r="H225" s="261">
        <f t="shared" si="253"/>
        <v>0.46594801515395196</v>
      </c>
      <c r="I225" s="1337">
        <f t="shared" si="253"/>
        <v>9.1841737886887528E-2</v>
      </c>
      <c r="J225" s="322">
        <f t="shared" si="253"/>
        <v>0.15860760564708756</v>
      </c>
      <c r="K225" s="261">
        <f t="shared" si="253"/>
        <v>0.1233348197758557</v>
      </c>
      <c r="L225" s="261">
        <f t="shared" si="253"/>
        <v>0.11264104082252574</v>
      </c>
      <c r="M225" s="261">
        <f t="shared" si="253"/>
        <v>0.15291843267353097</v>
      </c>
      <c r="N225" s="1418">
        <f t="shared" si="253"/>
        <v>0.12940293881107165</v>
      </c>
      <c r="O225" s="1337">
        <f t="shared" si="253"/>
        <v>0.10624007494764688</v>
      </c>
      <c r="P225" s="322">
        <f t="shared" si="253"/>
        <v>0.11676807039597741</v>
      </c>
      <c r="Q225" s="261">
        <f t="shared" si="253"/>
        <v>0.12345043727021562</v>
      </c>
      <c r="R225" s="261">
        <f t="shared" si="253"/>
        <v>9.6834567184901604E-2</v>
      </c>
      <c r="S225" s="1418">
        <f t="shared" si="253"/>
        <v>9.3805139046999525E-2</v>
      </c>
      <c r="T225" s="1418">
        <f t="shared" si="253"/>
        <v>0.12404334076730288</v>
      </c>
      <c r="U225" s="1418">
        <f t="shared" si="253"/>
        <v>0.14109448936517466</v>
      </c>
      <c r="V225" s="261" t="e">
        <f t="shared" si="253"/>
        <v>#DIV/0!</v>
      </c>
      <c r="Y225" s="241" t="s">
        <v>840</v>
      </c>
      <c r="Z225" s="241" t="s">
        <v>841</v>
      </c>
      <c r="AC225" s="1503" t="s">
        <v>884</v>
      </c>
      <c r="AD225" s="1503" t="s">
        <v>840</v>
      </c>
      <c r="AE225" s="1503" t="s">
        <v>841</v>
      </c>
    </row>
    <row r="226" spans="3:113" x14ac:dyDescent="0.25">
      <c r="C226" s="1" t="s">
        <v>109</v>
      </c>
      <c r="F226" s="322">
        <f t="shared" ref="F226:V226" si="254">($K$113/$G$113)*(F193/F$59)*100</f>
        <v>4.3586047506461458</v>
      </c>
      <c r="G226" s="261">
        <f t="shared" si="254"/>
        <v>4.4776438627679482</v>
      </c>
      <c r="H226" s="261">
        <f t="shared" si="254"/>
        <v>4.4059811949534708</v>
      </c>
      <c r="I226" s="1337">
        <f t="shared" si="254"/>
        <v>4.4044951717979206</v>
      </c>
      <c r="J226" s="322">
        <f>($K$113/$G$113)*(J193/J$59)*100-0.2</f>
        <v>5.2065096124024643</v>
      </c>
      <c r="K226" s="261">
        <f t="shared" si="254"/>
        <v>5.2731713539487108</v>
      </c>
      <c r="L226" s="261">
        <f t="shared" si="254"/>
        <v>5.0110897526733496</v>
      </c>
      <c r="M226" s="261">
        <f t="shared" si="254"/>
        <v>5.0540510105263134</v>
      </c>
      <c r="N226" s="1418">
        <f t="shared" si="254"/>
        <v>5.0022180293669196</v>
      </c>
      <c r="O226" s="1337">
        <f t="shared" si="254"/>
        <v>4.9544867629730085</v>
      </c>
      <c r="P226" s="322">
        <f t="shared" si="254"/>
        <v>4.5720924329603045</v>
      </c>
      <c r="Q226" s="261">
        <f t="shared" si="254"/>
        <v>4.7464830544024794</v>
      </c>
      <c r="R226" s="261">
        <f t="shared" si="254"/>
        <v>4.6901182801499441</v>
      </c>
      <c r="S226" s="1418">
        <f t="shared" si="254"/>
        <v>4.7326402863900432</v>
      </c>
      <c r="T226" s="1418">
        <f t="shared" si="254"/>
        <v>4.6567776110055297</v>
      </c>
      <c r="U226" s="1418">
        <f t="shared" si="254"/>
        <v>4.8205706530713801</v>
      </c>
      <c r="V226" s="261" t="e">
        <f t="shared" si="254"/>
        <v>#DIV/0!</v>
      </c>
      <c r="X226" s="320" t="s">
        <v>135</v>
      </c>
      <c r="Y226" s="279">
        <f>AVERAGE(K226:N226)</f>
        <v>5.0851325366288238</v>
      </c>
      <c r="Z226" s="279">
        <f>AVERAGE(Q226:T226)</f>
        <v>4.7065048079869998</v>
      </c>
      <c r="AA226" s="240" t="s">
        <v>295</v>
      </c>
      <c r="AC226" s="1465">
        <f>AVERAGE(H226:I226)</f>
        <v>4.4052381833756957</v>
      </c>
      <c r="AD226" s="1465">
        <f>AVERAGE(M226:O226)</f>
        <v>5.0035852676220811</v>
      </c>
      <c r="AE226" s="1465">
        <f>AVERAGE(R226:T226)</f>
        <v>4.6931787258485054</v>
      </c>
      <c r="AP226" s="261"/>
    </row>
    <row r="227" spans="3:113" x14ac:dyDescent="0.25">
      <c r="C227" s="637" t="s">
        <v>601</v>
      </c>
      <c r="F227" s="322">
        <v>4.9000000000000004</v>
      </c>
      <c r="G227" s="261">
        <v>4.5</v>
      </c>
      <c r="H227" s="261">
        <v>4.4000000000000004</v>
      </c>
      <c r="I227" s="1337">
        <v>4.4000000000000004</v>
      </c>
      <c r="J227" s="322">
        <v>5.5</v>
      </c>
      <c r="K227" s="261">
        <v>5.4</v>
      </c>
      <c r="L227" s="261">
        <v>5.3</v>
      </c>
      <c r="M227" s="261">
        <v>5.3</v>
      </c>
      <c r="N227" s="1418">
        <v>5.3</v>
      </c>
      <c r="O227" s="1337">
        <v>5.3</v>
      </c>
      <c r="P227" s="322">
        <v>3.9</v>
      </c>
      <c r="Q227" s="261">
        <v>3.9</v>
      </c>
      <c r="R227" s="261">
        <v>3.9</v>
      </c>
      <c r="S227" s="1418">
        <v>3.9</v>
      </c>
      <c r="T227" s="1418">
        <v>3.9</v>
      </c>
      <c r="U227" s="1418">
        <v>3.9</v>
      </c>
      <c r="V227" s="261"/>
      <c r="X227" s="320" t="s">
        <v>135</v>
      </c>
      <c r="Y227" s="279">
        <f>AVERAGE(K227:N227)</f>
        <v>5.3250000000000002</v>
      </c>
      <c r="Z227" s="279">
        <f>AVERAGE(Q227:T227)</f>
        <v>3.9</v>
      </c>
      <c r="AA227" s="240" t="s">
        <v>616</v>
      </c>
      <c r="AC227" s="674">
        <f>AVERAGE(H227:I227)</f>
        <v>4.4000000000000004</v>
      </c>
      <c r="AD227" s="674">
        <f>AVERAGE(M227:O227)</f>
        <v>5.3</v>
      </c>
      <c r="AE227" s="674">
        <f>AVERAGE(R227:T227)</f>
        <v>3.9</v>
      </c>
      <c r="AP227" s="261"/>
    </row>
    <row r="228" spans="3:113" x14ac:dyDescent="0.25">
      <c r="C228" s="1" t="s">
        <v>110</v>
      </c>
      <c r="F228" s="322">
        <f t="shared" ref="F228:V228" si="255">($K$114/$G$114)*(F196/F$59)*100</f>
        <v>0.3195249321006598</v>
      </c>
      <c r="G228" s="261">
        <f t="shared" si="255"/>
        <v>0.32474481204506156</v>
      </c>
      <c r="H228" s="261">
        <f t="shared" si="255"/>
        <v>0.35873084341345679</v>
      </c>
      <c r="I228" s="1337">
        <f t="shared" si="255"/>
        <v>0.3276390589504552</v>
      </c>
      <c r="J228" s="322">
        <f>($K$114/$G$114)*(J196/J$59)*100-0.2</f>
        <v>0.48740451146244906</v>
      </c>
      <c r="K228" s="261">
        <f t="shared" si="255"/>
        <v>0.44825446861686119</v>
      </c>
      <c r="L228" s="261">
        <f t="shared" si="255"/>
        <v>0.39374003490860859</v>
      </c>
      <c r="M228" s="261">
        <f t="shared" si="255"/>
        <v>0.40900913479976236</v>
      </c>
      <c r="N228" s="1418">
        <f t="shared" si="255"/>
        <v>0.34830312776472866</v>
      </c>
      <c r="O228" s="1337">
        <f t="shared" si="255"/>
        <v>0.3839648455813543</v>
      </c>
      <c r="P228" s="322">
        <f t="shared" si="255"/>
        <v>0.45701403215894448</v>
      </c>
      <c r="Q228" s="261">
        <f t="shared" si="255"/>
        <v>0.40535973816623216</v>
      </c>
      <c r="R228" s="261">
        <f t="shared" si="255"/>
        <v>0.33157947805055943</v>
      </c>
      <c r="S228" s="1418">
        <f t="shared" si="255"/>
        <v>0.3643581166526923</v>
      </c>
      <c r="T228" s="1418">
        <f t="shared" si="255"/>
        <v>0.33788339941892431</v>
      </c>
      <c r="U228" s="1418">
        <f t="shared" si="255"/>
        <v>0.46732334300133738</v>
      </c>
      <c r="V228" s="261" t="e">
        <f t="shared" si="255"/>
        <v>#DIV/0!</v>
      </c>
      <c r="X228" s="320" t="s">
        <v>136</v>
      </c>
      <c r="Y228" s="279">
        <f>AVERAGE(K228:N228)</f>
        <v>0.39982669152249017</v>
      </c>
      <c r="Z228" s="279">
        <f>AVERAGE(Q228:T228)</f>
        <v>0.35979518307210206</v>
      </c>
      <c r="AA228" s="240" t="s">
        <v>295</v>
      </c>
      <c r="AC228" s="1465">
        <f>AVERAGE(G228:I228)</f>
        <v>0.33703823813632455</v>
      </c>
      <c r="AD228" s="1465">
        <f>AVERAGE(M228:O228)</f>
        <v>0.38042570271528175</v>
      </c>
      <c r="AE228" s="1465">
        <f>AVERAGE(R228:T228)</f>
        <v>0.34460699804072537</v>
      </c>
    </row>
    <row r="229" spans="3:113" x14ac:dyDescent="0.25">
      <c r="C229" s="637" t="s">
        <v>603</v>
      </c>
      <c r="F229" s="322">
        <v>0.2</v>
      </c>
      <c r="G229" s="261">
        <v>0.2</v>
      </c>
      <c r="H229" s="261">
        <v>0.2</v>
      </c>
      <c r="I229" s="1337">
        <v>0.2</v>
      </c>
      <c r="J229" s="322">
        <v>0.3</v>
      </c>
      <c r="K229" s="261">
        <v>0.3</v>
      </c>
      <c r="L229" s="261">
        <v>0.3</v>
      </c>
      <c r="M229" s="261">
        <v>0.3</v>
      </c>
      <c r="N229" s="1418">
        <v>0.3</v>
      </c>
      <c r="O229" s="1337">
        <v>0.3</v>
      </c>
      <c r="P229" s="322">
        <v>0.3</v>
      </c>
      <c r="Q229" s="261">
        <v>0.3</v>
      </c>
      <c r="R229" s="261">
        <v>0.3</v>
      </c>
      <c r="S229" s="1418">
        <v>0.3</v>
      </c>
      <c r="T229" s="1418">
        <v>0.3</v>
      </c>
      <c r="U229" s="1418">
        <v>0.3</v>
      </c>
      <c r="V229" s="261"/>
      <c r="X229" s="320" t="s">
        <v>136</v>
      </c>
      <c r="Y229" s="279">
        <f>AVERAGE(K229:N229)</f>
        <v>0.3</v>
      </c>
      <c r="Z229" s="279">
        <f>AVERAGE(Q229:T229)</f>
        <v>0.3</v>
      </c>
      <c r="AA229" s="240" t="s">
        <v>616</v>
      </c>
      <c r="AC229" s="674">
        <f>AVERAGE(G229:I229)</f>
        <v>0.20000000000000004</v>
      </c>
      <c r="AD229" s="674">
        <f>AVERAGE(M229:O229)</f>
        <v>0.3</v>
      </c>
      <c r="AE229" s="674">
        <f>AVERAGE(R229:T229)</f>
        <v>0.3</v>
      </c>
    </row>
    <row r="230" spans="3:113" x14ac:dyDescent="0.25">
      <c r="C230" s="1" t="s">
        <v>143</v>
      </c>
      <c r="F230" s="332">
        <f t="shared" ref="F230:V230" si="256">((X$74+AP$74+BH$74)/F$59)*100</f>
        <v>0.15641090225563908</v>
      </c>
      <c r="G230" s="262">
        <f t="shared" si="256"/>
        <v>0.39992803652968034</v>
      </c>
      <c r="H230" s="262">
        <f t="shared" si="256"/>
        <v>0.67292130300925468</v>
      </c>
      <c r="I230" s="1373">
        <f t="shared" si="256"/>
        <v>0.44490859177425801</v>
      </c>
      <c r="J230" s="332">
        <f t="shared" si="256"/>
        <v>1.1954407978448445</v>
      </c>
      <c r="K230" s="960">
        <f>((AC$74+AU$74+BM$74)/K$59)*100</f>
        <v>0.70111596398134746</v>
      </c>
      <c r="L230" s="262">
        <f t="shared" si="256"/>
        <v>0.4113286389380858</v>
      </c>
      <c r="M230" s="262">
        <f t="shared" si="256"/>
        <v>0.53923048266539442</v>
      </c>
      <c r="N230" s="1452">
        <f t="shared" si="256"/>
        <v>0.27135240553954532</v>
      </c>
      <c r="O230" s="1373">
        <f t="shared" si="256"/>
        <v>0.27632973933649291</v>
      </c>
      <c r="P230" s="332">
        <f t="shared" si="256"/>
        <v>0.57175495495495499</v>
      </c>
      <c r="Q230" s="262">
        <f t="shared" si="256"/>
        <v>0.80044048487683195</v>
      </c>
      <c r="R230" s="262">
        <f t="shared" si="256"/>
        <v>0.31124495526100837</v>
      </c>
      <c r="S230" s="1452">
        <f t="shared" si="256"/>
        <v>0.71143896658896666</v>
      </c>
      <c r="T230" s="1452">
        <f t="shared" si="256"/>
        <v>0.35663563559494282</v>
      </c>
      <c r="U230" s="1452">
        <f t="shared" si="256"/>
        <v>0.58763752428531768</v>
      </c>
      <c r="V230" s="262" t="e">
        <f t="shared" si="256"/>
        <v>#DIV/0!</v>
      </c>
    </row>
    <row r="231" spans="3:113" x14ac:dyDescent="0.25">
      <c r="C231" s="1" t="s">
        <v>113</v>
      </c>
      <c r="F231" s="332">
        <f t="shared" ref="F231:V231" si="257">((X$75+AP$75+BH$75)/F$59)*100</f>
        <v>1.0093706766917292</v>
      </c>
      <c r="G231" s="262">
        <f t="shared" si="257"/>
        <v>0.84257994419076632</v>
      </c>
      <c r="H231" s="262">
        <f t="shared" si="257"/>
        <v>1.7099470313499503</v>
      </c>
      <c r="I231" s="1373">
        <f t="shared" si="257"/>
        <v>1.1546994542792492</v>
      </c>
      <c r="J231" s="332">
        <f t="shared" si="257"/>
        <v>5.1091603418624985</v>
      </c>
      <c r="K231" s="262">
        <f t="shared" si="257"/>
        <v>2.2237111468885673</v>
      </c>
      <c r="L231" s="262">
        <f t="shared" si="257"/>
        <v>2.6387099981551181</v>
      </c>
      <c r="M231" s="262">
        <f t="shared" si="257"/>
        <v>2.3458067604961834</v>
      </c>
      <c r="N231" s="1452">
        <f t="shared" si="257"/>
        <v>2.2641407500800517</v>
      </c>
      <c r="O231" s="1373">
        <f t="shared" si="257"/>
        <v>2.3716651658767773</v>
      </c>
      <c r="P231" s="332">
        <f t="shared" si="257"/>
        <v>2.9428882882882879</v>
      </c>
      <c r="Q231" s="262">
        <f t="shared" si="257"/>
        <v>2.6970190056906769</v>
      </c>
      <c r="R231" s="262">
        <f t="shared" si="257"/>
        <v>2.4617615003341502</v>
      </c>
      <c r="S231" s="1452">
        <f t="shared" si="257"/>
        <v>2.9399423853923854</v>
      </c>
      <c r="T231" s="1452">
        <f t="shared" si="257"/>
        <v>3.0104879060124397</v>
      </c>
      <c r="U231" s="1452">
        <f t="shared" si="257"/>
        <v>2.838640537647199</v>
      </c>
      <c r="V231" s="262" t="e">
        <f t="shared" si="257"/>
        <v>#DIV/0!</v>
      </c>
    </row>
    <row r="232" spans="3:113" x14ac:dyDescent="0.25">
      <c r="C232" s="1" t="s">
        <v>114</v>
      </c>
      <c r="F232" s="332">
        <f t="shared" ref="F232:V232" si="258">((X$76+AP$76+BH$76)/F$59)*100</f>
        <v>2.7187406015037592</v>
      </c>
      <c r="G232" s="262">
        <f t="shared" si="258"/>
        <v>2.556306433282598</v>
      </c>
      <c r="H232" s="262">
        <f t="shared" si="258"/>
        <v>3.9874092827700194</v>
      </c>
      <c r="I232" s="1373">
        <f t="shared" si="258"/>
        <v>2.9991200252894981</v>
      </c>
      <c r="J232" s="332">
        <f t="shared" si="258"/>
        <v>12.070269009205134</v>
      </c>
      <c r="K232" s="262">
        <f t="shared" si="258"/>
        <v>7.1976013862357284</v>
      </c>
      <c r="L232" s="262">
        <f t="shared" si="258"/>
        <v>8.162280073057337</v>
      </c>
      <c r="M232" s="262">
        <f t="shared" si="258"/>
        <v>7.7800309983301519</v>
      </c>
      <c r="N232" s="1452">
        <f t="shared" si="258"/>
        <v>8.0871443924111439</v>
      </c>
      <c r="O232" s="1373">
        <f t="shared" si="258"/>
        <v>7.623983590047394</v>
      </c>
      <c r="P232" s="332">
        <f t="shared" si="258"/>
        <v>8.3769819819819826</v>
      </c>
      <c r="Q232" s="262">
        <f t="shared" si="258"/>
        <v>7.8146531992516381</v>
      </c>
      <c r="R232" s="262">
        <f t="shared" si="258"/>
        <v>8.5326991998960438</v>
      </c>
      <c r="S232" s="1452">
        <f t="shared" si="258"/>
        <v>9.0409014763014781</v>
      </c>
      <c r="T232" s="1452">
        <f t="shared" si="258"/>
        <v>9.5535597382007396</v>
      </c>
      <c r="U232" s="1452">
        <f t="shared" si="258"/>
        <v>7.3456989413583917</v>
      </c>
      <c r="V232" s="262" t="e">
        <f t="shared" si="258"/>
        <v>#DIV/0!</v>
      </c>
    </row>
    <row r="233" spans="3:113" x14ac:dyDescent="0.25">
      <c r="C233" s="1" t="s">
        <v>115</v>
      </c>
      <c r="F233" s="332">
        <f t="shared" ref="F233:V233" si="259">((X$77+AP$77+BH$77)/F$59)*100</f>
        <v>6.2534778195488725</v>
      </c>
      <c r="G233" s="262">
        <f t="shared" si="259"/>
        <v>5.9571950938609852</v>
      </c>
      <c r="H233" s="262">
        <f t="shared" si="259"/>
        <v>7.1993650464332868</v>
      </c>
      <c r="I233" s="1373">
        <f t="shared" si="259"/>
        <v>6.5850088180487152</v>
      </c>
      <c r="J233" s="332">
        <f t="shared" si="259"/>
        <v>17.502404419658827</v>
      </c>
      <c r="K233" s="262">
        <f t="shared" si="259"/>
        <v>12.655975948464379</v>
      </c>
      <c r="L233" s="262">
        <f t="shared" si="259"/>
        <v>13.543127478322633</v>
      </c>
      <c r="M233" s="262">
        <f t="shared" si="259"/>
        <v>13.159608033555978</v>
      </c>
      <c r="N233" s="1452">
        <f t="shared" si="259"/>
        <v>13.156124739833494</v>
      </c>
      <c r="O233" s="1373">
        <f t="shared" si="259"/>
        <v>12.392300533175355</v>
      </c>
      <c r="P233" s="332">
        <f t="shared" si="259"/>
        <v>13.499231531531533</v>
      </c>
      <c r="Q233" s="262">
        <f t="shared" si="259"/>
        <v>12.986675176177116</v>
      </c>
      <c r="R233" s="262">
        <f t="shared" si="259"/>
        <v>13.967121356835227</v>
      </c>
      <c r="S233" s="1452">
        <f t="shared" si="259"/>
        <v>13.976083139083141</v>
      </c>
      <c r="T233" s="1452">
        <f t="shared" si="259"/>
        <v>14.799947965364446</v>
      </c>
      <c r="U233" s="1452">
        <f t="shared" si="259"/>
        <v>11.640968062329012</v>
      </c>
      <c r="V233" s="262" t="e">
        <f t="shared" si="259"/>
        <v>#DIV/0!</v>
      </c>
    </row>
    <row r="234" spans="3:113" x14ac:dyDescent="0.25">
      <c r="C234" s="1" t="s">
        <v>116</v>
      </c>
      <c r="F234" s="332">
        <f t="shared" ref="F234:V234" si="260">((X$78+AP$78+BH$78)/F$59)*100</f>
        <v>15.357778947368422</v>
      </c>
      <c r="G234" s="262">
        <f t="shared" si="260"/>
        <v>14.463657042110603</v>
      </c>
      <c r="H234" s="262">
        <f t="shared" si="260"/>
        <v>15.431886892146176</v>
      </c>
      <c r="I234" s="1373">
        <f t="shared" si="260"/>
        <v>15.044161153999735</v>
      </c>
      <c r="J234" s="332">
        <f t="shared" si="260"/>
        <v>23.381345617618987</v>
      </c>
      <c r="K234" s="262">
        <f t="shared" si="260"/>
        <v>19.625456381813791</v>
      </c>
      <c r="L234" s="262">
        <f t="shared" si="260"/>
        <v>20.733017439026643</v>
      </c>
      <c r="M234" s="262">
        <f t="shared" si="260"/>
        <v>20.72446019640585</v>
      </c>
      <c r="N234" s="1452">
        <f t="shared" si="260"/>
        <v>20.467481268011532</v>
      </c>
      <c r="O234" s="1373">
        <f t="shared" si="260"/>
        <v>19.51074739336493</v>
      </c>
      <c r="P234" s="332">
        <f t="shared" si="260"/>
        <v>19.178603603603605</v>
      </c>
      <c r="Q234" s="262">
        <f t="shared" si="260"/>
        <v>18.443990476301838</v>
      </c>
      <c r="R234" s="262">
        <f t="shared" si="260"/>
        <v>20.432096518341133</v>
      </c>
      <c r="S234" s="1452">
        <f t="shared" si="260"/>
        <v>20.194005361305358</v>
      </c>
      <c r="T234" s="1452">
        <f t="shared" si="260"/>
        <v>21.604306516525064</v>
      </c>
      <c r="U234" s="1452">
        <f t="shared" si="260"/>
        <v>16.276699199080131</v>
      </c>
      <c r="V234" s="262" t="e">
        <f t="shared" si="260"/>
        <v>#DIV/0!</v>
      </c>
    </row>
    <row r="235" spans="3:113" x14ac:dyDescent="0.25">
      <c r="C235" s="1" t="s">
        <v>111</v>
      </c>
      <c r="F235" s="332">
        <f t="shared" ref="F235:V235" si="261">((X$79+AP$79+BH$79)/F$59)*100</f>
        <v>12.089130075187967</v>
      </c>
      <c r="G235" s="262">
        <f t="shared" si="261"/>
        <v>10.454798964992387</v>
      </c>
      <c r="H235" s="262">
        <f t="shared" si="261"/>
        <v>11.133356399930813</v>
      </c>
      <c r="I235" s="1373">
        <f t="shared" si="261"/>
        <v>10.970137894316519</v>
      </c>
      <c r="J235" s="332">
        <f t="shared" si="261"/>
        <v>10.960439841047357</v>
      </c>
      <c r="K235" s="262">
        <f t="shared" si="261"/>
        <v>10.49483813595433</v>
      </c>
      <c r="L235" s="262">
        <f t="shared" si="261"/>
        <v>11.475701915541286</v>
      </c>
      <c r="M235" s="262">
        <f t="shared" si="261"/>
        <v>11.223589937579515</v>
      </c>
      <c r="N235" s="1452">
        <f t="shared" si="261"/>
        <v>11.138098903298111</v>
      </c>
      <c r="O235" s="1373">
        <f t="shared" si="261"/>
        <v>10.816914988151657</v>
      </c>
      <c r="P235" s="332">
        <f t="shared" si="261"/>
        <v>10.015787387387387</v>
      </c>
      <c r="Q235" s="262">
        <f t="shared" si="261"/>
        <v>9.5251279946211422</v>
      </c>
      <c r="R235" s="262">
        <f t="shared" si="261"/>
        <v>10.404029484109307</v>
      </c>
      <c r="S235" s="1452">
        <f t="shared" si="261"/>
        <v>10.191581468531469</v>
      </c>
      <c r="T235" s="1452">
        <f t="shared" si="261"/>
        <v>10.869157282816376</v>
      </c>
      <c r="U235" s="1452">
        <f t="shared" si="261"/>
        <v>8.5428826573093861</v>
      </c>
      <c r="V235" s="262" t="e">
        <f t="shared" si="261"/>
        <v>#DIV/0!</v>
      </c>
    </row>
    <row r="236" spans="3:113" x14ac:dyDescent="0.25">
      <c r="C236" s="1" t="s">
        <v>112</v>
      </c>
      <c r="F236" s="332">
        <f t="shared" ref="F236:V236" si="262">((X$80+AP$80+BH$80)/F$59)*100</f>
        <v>54.463963157894725</v>
      </c>
      <c r="G236" s="262">
        <f t="shared" si="262"/>
        <v>56.080988569254188</v>
      </c>
      <c r="H236" s="262">
        <f t="shared" si="262"/>
        <v>54.075389053077195</v>
      </c>
      <c r="I236" s="1373">
        <f t="shared" si="262"/>
        <v>53.964781844802346</v>
      </c>
      <c r="J236" s="332">
        <f t="shared" si="262"/>
        <v>29.809768156785545</v>
      </c>
      <c r="K236" s="262">
        <f t="shared" si="262"/>
        <v>34.53699005418877</v>
      </c>
      <c r="L236" s="262">
        <f t="shared" si="262"/>
        <v>32.998872240148316</v>
      </c>
      <c r="M236" s="262">
        <f t="shared" si="262"/>
        <v>33.713477471374041</v>
      </c>
      <c r="N236" s="1452">
        <f t="shared" si="262"/>
        <v>34.879426352865842</v>
      </c>
      <c r="O236" s="1373">
        <f t="shared" si="262"/>
        <v>35.438153376777251</v>
      </c>
      <c r="P236" s="332">
        <f t="shared" si="262"/>
        <v>32.892229729729735</v>
      </c>
      <c r="Q236" s="262">
        <f t="shared" si="262"/>
        <v>34.983457866386033</v>
      </c>
      <c r="R236" s="262">
        <f t="shared" si="262"/>
        <v>32.818146561966294</v>
      </c>
      <c r="S236" s="1452">
        <f t="shared" si="262"/>
        <v>30.44121037296037</v>
      </c>
      <c r="T236" s="1452">
        <f t="shared" si="262"/>
        <v>30.606343997723478</v>
      </c>
      <c r="U236" s="1452">
        <f t="shared" si="262"/>
        <v>30.715413286546923</v>
      </c>
      <c r="V236" s="262" t="e">
        <f t="shared" si="262"/>
        <v>#DIV/0!</v>
      </c>
    </row>
    <row r="237" spans="3:113" s="506" customFormat="1" ht="15.75" thickBot="1" x14ac:dyDescent="0.3">
      <c r="C237" s="671" t="s">
        <v>284</v>
      </c>
      <c r="D237" s="671"/>
      <c r="E237" s="671"/>
      <c r="F237" s="672">
        <v>54</v>
      </c>
      <c r="G237" s="673">
        <v>54</v>
      </c>
      <c r="H237" s="673">
        <v>54.4</v>
      </c>
      <c r="I237" s="1384">
        <v>54.4</v>
      </c>
      <c r="J237" s="672">
        <v>31</v>
      </c>
      <c r="K237" s="673">
        <v>31.3</v>
      </c>
      <c r="L237" s="673">
        <v>31.3</v>
      </c>
      <c r="M237" s="673">
        <v>30</v>
      </c>
      <c r="N237" s="1462">
        <v>30.9</v>
      </c>
      <c r="O237" s="1384">
        <v>30</v>
      </c>
      <c r="P237" s="672">
        <v>32</v>
      </c>
      <c r="Q237" s="673">
        <v>33.200000000000003</v>
      </c>
      <c r="R237" s="673">
        <v>32</v>
      </c>
      <c r="S237" s="1462">
        <v>29.9</v>
      </c>
      <c r="T237" s="1462">
        <v>29</v>
      </c>
      <c r="U237" s="1462">
        <v>30.4</v>
      </c>
      <c r="V237" s="501"/>
      <c r="W237" s="503"/>
      <c r="X237" s="500"/>
      <c r="Y237" s="501"/>
      <c r="Z237" s="501"/>
      <c r="AA237" s="502"/>
      <c r="AB237" s="500"/>
      <c r="AC237" s="501"/>
      <c r="AD237" s="501"/>
      <c r="AE237" s="501"/>
      <c r="AF237" s="501"/>
      <c r="AG237" s="502"/>
      <c r="AH237" s="500"/>
      <c r="AI237" s="501"/>
      <c r="AJ237" s="501"/>
      <c r="AK237" s="501"/>
      <c r="AL237" s="501"/>
      <c r="AM237" s="501"/>
      <c r="AN237" s="501"/>
      <c r="AO237" s="504"/>
      <c r="AP237" s="501"/>
      <c r="AQ237" s="501"/>
      <c r="AR237" s="501"/>
      <c r="AS237" s="502"/>
      <c r="AT237" s="500"/>
      <c r="AU237" s="501"/>
      <c r="AV237" s="501"/>
      <c r="AW237" s="501"/>
      <c r="AX237" s="501"/>
      <c r="AY237" s="502"/>
      <c r="AZ237" s="500"/>
      <c r="BA237" s="501"/>
      <c r="BB237" s="501"/>
      <c r="BC237" s="501"/>
      <c r="BD237" s="501"/>
      <c r="BE237" s="501"/>
      <c r="BF237" s="501"/>
      <c r="BG237" s="504"/>
      <c r="BH237" s="501"/>
      <c r="BI237" s="501"/>
      <c r="BJ237" s="501"/>
      <c r="BK237" s="502"/>
      <c r="BL237" s="500"/>
      <c r="BM237" s="501"/>
      <c r="BN237" s="501"/>
      <c r="BO237" s="501"/>
      <c r="BP237" s="501"/>
      <c r="BQ237" s="502"/>
      <c r="BR237" s="500"/>
      <c r="BS237" s="501"/>
      <c r="BT237" s="501"/>
      <c r="BU237" s="501"/>
      <c r="BV237" s="501"/>
      <c r="BW237" s="501"/>
      <c r="BX237" s="501"/>
      <c r="BY237" s="504"/>
      <c r="BZ237" s="505"/>
      <c r="CA237" s="501"/>
      <c r="CB237" s="501"/>
      <c r="CC237" s="501"/>
      <c r="CD237" s="502"/>
      <c r="CE237" s="500"/>
      <c r="CF237" s="501"/>
      <c r="CG237" s="501"/>
      <c r="CH237" s="501"/>
      <c r="CI237" s="501"/>
      <c r="CJ237" s="502"/>
      <c r="CK237" s="500"/>
      <c r="CL237" s="501"/>
      <c r="CM237" s="501"/>
      <c r="CN237" s="501"/>
      <c r="CO237" s="501"/>
      <c r="CP237" s="501"/>
      <c r="CQ237" s="501"/>
      <c r="CR237" s="504"/>
      <c r="CS237" s="501"/>
      <c r="CT237" s="501"/>
      <c r="CU237" s="501"/>
      <c r="CV237" s="502"/>
      <c r="CW237" s="500"/>
      <c r="CX237" s="501"/>
      <c r="CY237" s="501"/>
      <c r="CZ237" s="501"/>
      <c r="DA237" s="501"/>
      <c r="DB237" s="502"/>
      <c r="DC237" s="500"/>
      <c r="DD237" s="501"/>
      <c r="DE237" s="501"/>
      <c r="DF237" s="501"/>
      <c r="DG237" s="501"/>
      <c r="DH237" s="501"/>
      <c r="DI237" s="501"/>
    </row>
    <row r="238" spans="3:113" ht="6.75" customHeight="1" thickTop="1" x14ac:dyDescent="0.25">
      <c r="F238" s="397"/>
      <c r="G238" s="395"/>
      <c r="H238" s="395"/>
      <c r="I238" s="1380"/>
      <c r="J238" s="397"/>
      <c r="K238" s="395"/>
      <c r="L238" s="395"/>
      <c r="M238" s="395"/>
      <c r="N238" s="1458"/>
      <c r="O238" s="1380"/>
      <c r="P238" s="397"/>
      <c r="Q238" s="395"/>
      <c r="R238" s="395"/>
      <c r="S238" s="1458"/>
      <c r="T238" s="1458"/>
      <c r="U238" s="1458"/>
      <c r="V238" s="234"/>
      <c r="W238" s="468"/>
      <c r="X238" s="352"/>
      <c r="Y238" s="234"/>
      <c r="Z238" s="234"/>
      <c r="AA238" s="235"/>
      <c r="AB238" s="352"/>
      <c r="AC238" s="234"/>
      <c r="AD238" s="234"/>
      <c r="AE238" s="234"/>
      <c r="AF238" s="234"/>
      <c r="AG238" s="235"/>
      <c r="AH238" s="352"/>
      <c r="AI238" s="234"/>
      <c r="AJ238" s="234"/>
      <c r="AK238" s="234"/>
      <c r="AL238" s="234"/>
      <c r="AM238" s="234"/>
      <c r="AN238" s="234"/>
      <c r="AO238" s="486"/>
      <c r="AP238" s="234"/>
      <c r="AQ238" s="234"/>
      <c r="AR238" s="234"/>
      <c r="AS238" s="235"/>
      <c r="AT238" s="352"/>
      <c r="AU238" s="234"/>
      <c r="AV238" s="234"/>
      <c r="AW238" s="234"/>
      <c r="AX238" s="234"/>
      <c r="AY238" s="235"/>
      <c r="AZ238" s="352"/>
      <c r="BA238" s="234"/>
      <c r="BB238" s="234"/>
      <c r="BC238" s="234"/>
      <c r="BD238" s="234"/>
      <c r="BE238" s="234"/>
      <c r="BF238" s="234"/>
      <c r="BG238" s="486"/>
      <c r="BH238" s="234"/>
      <c r="BI238" s="234"/>
      <c r="BJ238" s="234"/>
      <c r="BK238" s="235"/>
      <c r="BL238" s="352"/>
      <c r="BM238" s="234"/>
      <c r="BN238" s="234"/>
      <c r="BO238" s="234"/>
      <c r="BP238" s="234"/>
      <c r="BQ238" s="235"/>
      <c r="BR238" s="352"/>
      <c r="BS238" s="234"/>
      <c r="BT238" s="234"/>
      <c r="BU238" s="234"/>
      <c r="BV238" s="234"/>
      <c r="BW238" s="234"/>
      <c r="BX238" s="234"/>
      <c r="BY238" s="486"/>
      <c r="BZ238" s="488"/>
      <c r="CA238" s="234"/>
      <c r="CB238" s="234"/>
      <c r="CC238" s="234"/>
      <c r="CD238" s="235"/>
      <c r="CE238" s="352"/>
      <c r="CF238" s="234"/>
      <c r="CG238" s="234"/>
      <c r="CH238" s="234"/>
      <c r="CI238" s="234"/>
      <c r="CJ238" s="235"/>
      <c r="CK238" s="352"/>
      <c r="CL238" s="234"/>
      <c r="CM238" s="234"/>
      <c r="CN238" s="234"/>
      <c r="CO238" s="234"/>
      <c r="CP238" s="234"/>
      <c r="CQ238" s="234"/>
      <c r="CR238" s="486"/>
      <c r="CS238" s="234"/>
      <c r="CT238" s="234"/>
      <c r="CU238" s="234"/>
      <c r="CV238" s="235"/>
      <c r="CW238" s="352"/>
      <c r="CX238" s="234"/>
      <c r="CY238" s="234"/>
      <c r="CZ238" s="234"/>
      <c r="DA238" s="234"/>
      <c r="DB238" s="235"/>
      <c r="DC238" s="352"/>
      <c r="DD238" s="234"/>
      <c r="DE238" s="234"/>
      <c r="DF238" s="234"/>
      <c r="DG238" s="234"/>
      <c r="DH238" s="234"/>
      <c r="DI238" s="234"/>
    </row>
    <row r="239" spans="3:113" x14ac:dyDescent="0.25">
      <c r="C239" s="1" t="s">
        <v>221</v>
      </c>
      <c r="F239" s="964">
        <f>F212+F215+F218+F221</f>
        <v>2.0339672932330823</v>
      </c>
      <c r="G239" s="262">
        <f t="shared" ref="G239:U239" si="263">G212+G215+G218+G221</f>
        <v>0.93375078640284115</v>
      </c>
      <c r="H239" s="262">
        <f t="shared" si="263"/>
        <v>1.2399304090950274</v>
      </c>
      <c r="I239" s="1385">
        <f t="shared" si="263"/>
        <v>1.2487003194462931</v>
      </c>
      <c r="J239" s="964">
        <f t="shared" si="263"/>
        <v>4.3088890007223606</v>
      </c>
      <c r="K239" s="262">
        <f t="shared" si="263"/>
        <v>3.180243189553519</v>
      </c>
      <c r="L239" s="262">
        <f t="shared" si="263"/>
        <v>2.9007851849801978</v>
      </c>
      <c r="M239" s="262">
        <f t="shared" si="263"/>
        <v>2.8609204022874253</v>
      </c>
      <c r="N239" s="1452">
        <f t="shared" si="263"/>
        <v>3.0272150476304835</v>
      </c>
      <c r="O239" s="1385">
        <f t="shared" si="263"/>
        <v>2.9365908191811481</v>
      </c>
      <c r="P239" s="964">
        <f t="shared" si="263"/>
        <v>3.3669171171171177</v>
      </c>
      <c r="Q239" s="262">
        <f t="shared" si="263"/>
        <v>3.7391201197250812</v>
      </c>
      <c r="R239" s="262">
        <f t="shared" si="263"/>
        <v>3.5043154825994405</v>
      </c>
      <c r="S239" s="1452">
        <f t="shared" si="263"/>
        <v>3.4293931154493658</v>
      </c>
      <c r="T239" s="1452">
        <f t="shared" si="263"/>
        <v>3.2273137029057186</v>
      </c>
      <c r="U239" s="1385">
        <f t="shared" si="263"/>
        <v>3.1992408657467983</v>
      </c>
      <c r="V239" s="262" t="e">
        <f>SUM(V$212:V$221)</f>
        <v>#DIV/0!</v>
      </c>
      <c r="AC239" s="1503" t="s">
        <v>884</v>
      </c>
      <c r="AD239" s="1503" t="s">
        <v>840</v>
      </c>
      <c r="AE239" s="1503" t="s">
        <v>841</v>
      </c>
    </row>
    <row r="240" spans="3:113" x14ac:dyDescent="0.25">
      <c r="C240" s="1" t="s">
        <v>229</v>
      </c>
      <c r="F240" s="964">
        <f t="shared" ref="F240:V240" si="264">F$239/F$137</f>
        <v>2.0647068812202307</v>
      </c>
      <c r="G240" s="262">
        <f t="shared" si="264"/>
        <v>0.95894702192561521</v>
      </c>
      <c r="H240" s="262">
        <f t="shared" si="264"/>
        <v>1.2466702579060671</v>
      </c>
      <c r="I240" s="1386">
        <f t="shared" si="264"/>
        <v>1.3112610227983013</v>
      </c>
      <c r="J240" s="332">
        <f t="shared" si="264"/>
        <v>3.9715540890735079</v>
      </c>
      <c r="K240" s="262">
        <f t="shared" si="264"/>
        <v>3.3804224996417647</v>
      </c>
      <c r="L240" s="262">
        <f t="shared" si="264"/>
        <v>3.019385294061538</v>
      </c>
      <c r="M240" s="262">
        <f t="shared" si="264"/>
        <v>2.9775989185061986</v>
      </c>
      <c r="N240" s="1452">
        <f t="shared" si="264"/>
        <v>3.1152367746875638</v>
      </c>
      <c r="O240" s="1373">
        <f t="shared" si="264"/>
        <v>3.0880012041213414</v>
      </c>
      <c r="P240" s="332">
        <f t="shared" si="264"/>
        <v>3.5661328899180895</v>
      </c>
      <c r="Q240" s="262">
        <f t="shared" si="264"/>
        <v>3.9748063348098959</v>
      </c>
      <c r="R240" s="262">
        <f t="shared" si="264"/>
        <v>3.6690019009425954</v>
      </c>
      <c r="S240" s="1452">
        <f t="shared" si="264"/>
        <v>3.6565880511030353</v>
      </c>
      <c r="T240" s="1452">
        <f t="shared" si="264"/>
        <v>3.3120378895696954</v>
      </c>
      <c r="U240" s="1452">
        <f t="shared" si="264"/>
        <v>3.7896836077903671</v>
      </c>
      <c r="V240" s="262" t="e">
        <f t="shared" si="264"/>
        <v>#DIV/0!</v>
      </c>
      <c r="X240" s="320" t="s">
        <v>881</v>
      </c>
      <c r="Y240" s="279">
        <f>AVERAGE(K240:N240)</f>
        <v>3.1231608717242665</v>
      </c>
      <c r="Z240" s="279">
        <f>AVERAGE(Q240:T240)</f>
        <v>3.6531085441063054</v>
      </c>
      <c r="AA240" s="240" t="s">
        <v>295</v>
      </c>
      <c r="AC240" s="279">
        <f>AVERAGE(H240:I240)</f>
        <v>1.2789656403521841</v>
      </c>
      <c r="AD240" s="279">
        <f>AVERAGE(M240:O240)</f>
        <v>3.0602789657717011</v>
      </c>
      <c r="AE240" s="1465">
        <f>AVERAGE(R240:T240)</f>
        <v>3.5458759472051091</v>
      </c>
    </row>
    <row r="241" spans="3:113" x14ac:dyDescent="0.25">
      <c r="C241" s="637" t="s">
        <v>245</v>
      </c>
      <c r="D241" s="637"/>
      <c r="E241" s="637"/>
      <c r="F241" s="638">
        <v>1.6</v>
      </c>
      <c r="G241" s="639">
        <v>1.7</v>
      </c>
      <c r="H241" s="639">
        <v>1.6</v>
      </c>
      <c r="I241" s="1373">
        <v>1.7</v>
      </c>
      <c r="J241" s="638">
        <v>3.5</v>
      </c>
      <c r="K241" s="639">
        <v>3.6</v>
      </c>
      <c r="L241" s="639">
        <v>4.0999999999999996</v>
      </c>
      <c r="M241" s="639">
        <v>3.5</v>
      </c>
      <c r="N241" s="1452">
        <v>4.0999999999999996</v>
      </c>
      <c r="O241" s="1373">
        <v>3.8</v>
      </c>
      <c r="P241" s="638">
        <v>4</v>
      </c>
      <c r="Q241" s="639">
        <v>3.8</v>
      </c>
      <c r="R241" s="639">
        <v>3.8</v>
      </c>
      <c r="S241" s="639">
        <v>4.05</v>
      </c>
      <c r="T241" s="639">
        <v>4.09</v>
      </c>
      <c r="U241" s="639">
        <v>4.0999999999999996</v>
      </c>
      <c r="X241" s="320" t="s">
        <v>881</v>
      </c>
      <c r="Y241" s="279">
        <f>AVERAGE(K241:N241)</f>
        <v>3.8249999999999997</v>
      </c>
      <c r="Z241" s="279">
        <f>AVERAGE(Q241:T241)</f>
        <v>3.9349999999999996</v>
      </c>
      <c r="AA241" s="240" t="s">
        <v>616</v>
      </c>
      <c r="AC241" s="279">
        <f>AVERAGE(H241:I241)</f>
        <v>1.65</v>
      </c>
      <c r="AD241" s="674">
        <f>AVERAGE(M241:O241)</f>
        <v>3.7999999999999994</v>
      </c>
      <c r="AE241" s="674">
        <f>AVERAGE(R241:T241)</f>
        <v>3.98</v>
      </c>
    </row>
    <row r="242" spans="3:113" x14ac:dyDescent="0.25">
      <c r="C242" s="601">
        <v>0.05</v>
      </c>
      <c r="D242" s="601"/>
      <c r="E242" s="601"/>
      <c r="F242" s="332">
        <f>F$241+$C$242*F$241</f>
        <v>1.6800000000000002</v>
      </c>
      <c r="G242" s="262">
        <f t="shared" ref="G242:U242" si="265">G$241+$C$242*G$241</f>
        <v>1.7849999999999999</v>
      </c>
      <c r="H242" s="262">
        <f t="shared" si="265"/>
        <v>1.6800000000000002</v>
      </c>
      <c r="I242" s="1373">
        <f t="shared" si="265"/>
        <v>1.7849999999999999</v>
      </c>
      <c r="J242" s="332">
        <f t="shared" si="265"/>
        <v>3.6749999999999998</v>
      </c>
      <c r="K242" s="262">
        <f t="shared" si="265"/>
        <v>3.7800000000000002</v>
      </c>
      <c r="L242" s="262">
        <f t="shared" si="265"/>
        <v>4.3049999999999997</v>
      </c>
      <c r="M242" s="262">
        <f t="shared" si="265"/>
        <v>3.6749999999999998</v>
      </c>
      <c r="N242" s="1452">
        <f t="shared" si="265"/>
        <v>4.3049999999999997</v>
      </c>
      <c r="O242" s="1373">
        <f t="shared" si="265"/>
        <v>3.9899999999999998</v>
      </c>
      <c r="P242" s="332">
        <f t="shared" si="265"/>
        <v>4.2</v>
      </c>
      <c r="Q242" s="262">
        <f t="shared" si="265"/>
        <v>3.9899999999999998</v>
      </c>
      <c r="R242" s="262">
        <f t="shared" si="265"/>
        <v>3.9899999999999998</v>
      </c>
      <c r="S242" s="1452">
        <f t="shared" si="265"/>
        <v>4.2524999999999995</v>
      </c>
      <c r="T242" s="1452">
        <f t="shared" si="265"/>
        <v>4.2945000000000002</v>
      </c>
      <c r="U242" s="1452">
        <f t="shared" si="265"/>
        <v>4.3049999999999997</v>
      </c>
    </row>
    <row r="243" spans="3:113" s="506" customFormat="1" ht="15.75" thickBot="1" x14ac:dyDescent="0.3">
      <c r="C243" s="599">
        <v>-0.05</v>
      </c>
      <c r="D243" s="599"/>
      <c r="E243" s="599"/>
      <c r="F243" s="604">
        <f>F$241+$C$243*F$241</f>
        <v>1.52</v>
      </c>
      <c r="G243" s="513">
        <f t="shared" ref="G243:U243" si="266">G$241+$C$243*G$241</f>
        <v>1.615</v>
      </c>
      <c r="H243" s="513">
        <f t="shared" si="266"/>
        <v>1.52</v>
      </c>
      <c r="I243" s="1384">
        <f t="shared" si="266"/>
        <v>1.615</v>
      </c>
      <c r="J243" s="604">
        <f t="shared" si="266"/>
        <v>3.3250000000000002</v>
      </c>
      <c r="K243" s="513">
        <f t="shared" si="266"/>
        <v>3.42</v>
      </c>
      <c r="L243" s="513">
        <f t="shared" si="266"/>
        <v>3.8949999999999996</v>
      </c>
      <c r="M243" s="513">
        <f t="shared" si="266"/>
        <v>3.3250000000000002</v>
      </c>
      <c r="N243" s="1462">
        <f t="shared" si="266"/>
        <v>3.8949999999999996</v>
      </c>
      <c r="O243" s="1384">
        <f t="shared" si="266"/>
        <v>3.61</v>
      </c>
      <c r="P243" s="604">
        <f t="shared" si="266"/>
        <v>3.8</v>
      </c>
      <c r="Q243" s="513">
        <f t="shared" si="266"/>
        <v>3.61</v>
      </c>
      <c r="R243" s="513">
        <f t="shared" si="266"/>
        <v>3.61</v>
      </c>
      <c r="S243" s="1462">
        <f t="shared" si="266"/>
        <v>3.8474999999999997</v>
      </c>
      <c r="T243" s="1462">
        <f t="shared" si="266"/>
        <v>3.8855</v>
      </c>
      <c r="U243" s="1462">
        <f t="shared" si="266"/>
        <v>3.8949999999999996</v>
      </c>
      <c r="V243" s="501"/>
      <c r="W243" s="503"/>
      <c r="X243" s="500"/>
      <c r="Y243" s="501"/>
      <c r="Z243" s="501"/>
      <c r="AA243" s="502"/>
      <c r="AB243" s="500"/>
      <c r="AC243" s="501"/>
      <c r="AD243" s="501"/>
      <c r="AE243" s="501"/>
      <c r="AF243" s="501"/>
      <c r="AG243" s="502"/>
      <c r="AH243" s="500"/>
      <c r="AI243" s="501"/>
      <c r="AJ243" s="501"/>
      <c r="AK243" s="501"/>
      <c r="AL243" s="501"/>
      <c r="AM243" s="501"/>
      <c r="AN243" s="501"/>
      <c r="AO243" s="504"/>
      <c r="AP243" s="501"/>
      <c r="AQ243" s="501"/>
      <c r="AR243" s="501"/>
      <c r="AS243" s="502"/>
      <c r="AT243" s="500"/>
      <c r="AU243" s="501"/>
      <c r="AV243" s="501"/>
      <c r="AW243" s="501"/>
      <c r="AX243" s="501"/>
      <c r="AY243" s="502"/>
      <c r="AZ243" s="500"/>
      <c r="BA243" s="501"/>
      <c r="BB243" s="501"/>
      <c r="BC243" s="501"/>
      <c r="BD243" s="501"/>
      <c r="BE243" s="501"/>
      <c r="BF243" s="501"/>
      <c r="BG243" s="504"/>
      <c r="BH243" s="501"/>
      <c r="BI243" s="501"/>
      <c r="BJ243" s="501"/>
      <c r="BK243" s="502"/>
      <c r="BL243" s="500"/>
      <c r="BM243" s="501"/>
      <c r="BN243" s="501"/>
      <c r="BO243" s="501"/>
      <c r="BP243" s="501"/>
      <c r="BQ243" s="502"/>
      <c r="BR243" s="500"/>
      <c r="BS243" s="501"/>
      <c r="BT243" s="501"/>
      <c r="BU243" s="501"/>
      <c r="BV243" s="501"/>
      <c r="BW243" s="501"/>
      <c r="BX243" s="501"/>
      <c r="BY243" s="504"/>
      <c r="BZ243" s="505"/>
      <c r="CA243" s="501"/>
      <c r="CB243" s="501"/>
      <c r="CC243" s="501"/>
      <c r="CD243" s="502"/>
      <c r="CE243" s="500"/>
      <c r="CF243" s="501"/>
      <c r="CG243" s="501"/>
      <c r="CH243" s="501"/>
      <c r="CI243" s="501"/>
      <c r="CJ243" s="502"/>
      <c r="CK243" s="500"/>
      <c r="CL243" s="501"/>
      <c r="CM243" s="501"/>
      <c r="CN243" s="501"/>
      <c r="CO243" s="501"/>
      <c r="CP243" s="501"/>
      <c r="CQ243" s="501"/>
      <c r="CR243" s="504"/>
      <c r="CS243" s="501"/>
      <c r="CT243" s="501"/>
      <c r="CU243" s="501"/>
      <c r="CV243" s="502"/>
      <c r="CW243" s="500"/>
      <c r="CX243" s="501"/>
      <c r="CY243" s="501"/>
      <c r="CZ243" s="501"/>
      <c r="DA243" s="501"/>
      <c r="DB243" s="502"/>
      <c r="DC243" s="500"/>
      <c r="DD243" s="501"/>
      <c r="DE243" s="501"/>
      <c r="DF243" s="501"/>
      <c r="DG243" s="501"/>
      <c r="DH243" s="501"/>
      <c r="DI243" s="501"/>
    </row>
    <row r="244" spans="3:113" ht="11.45" customHeight="1" thickTop="1" x14ac:dyDescent="0.25">
      <c r="F244" s="397"/>
      <c r="G244" s="395"/>
      <c r="H244" s="395"/>
      <c r="I244" s="1380"/>
      <c r="J244" s="397"/>
      <c r="K244" s="395"/>
      <c r="L244" s="395"/>
      <c r="M244" s="395"/>
      <c r="N244" s="1458"/>
      <c r="O244" s="1463"/>
      <c r="P244" s="397"/>
      <c r="Q244" s="395"/>
      <c r="R244" s="395"/>
      <c r="S244" s="1458"/>
      <c r="T244" s="1458"/>
      <c r="U244" s="1458"/>
      <c r="V244" s="234"/>
      <c r="W244" s="468"/>
      <c r="X244" s="352"/>
      <c r="Y244" s="234"/>
      <c r="Z244" s="234"/>
      <c r="AA244" s="235"/>
      <c r="AB244" s="352"/>
      <c r="AC244" s="234"/>
      <c r="AD244" s="234"/>
      <c r="AE244" s="234"/>
      <c r="AF244" s="234"/>
      <c r="AG244" s="235"/>
      <c r="AH244" s="352"/>
      <c r="AI244" s="234"/>
      <c r="AJ244" s="234"/>
      <c r="AK244" s="234"/>
      <c r="AL244" s="234"/>
      <c r="AM244" s="234"/>
      <c r="AN244" s="234"/>
      <c r="AO244" s="486"/>
      <c r="AP244" s="234"/>
      <c r="AQ244" s="234"/>
      <c r="AR244" s="234"/>
      <c r="AS244" s="235"/>
      <c r="AT244" s="352"/>
      <c r="AU244" s="234"/>
      <c r="AV244" s="234"/>
      <c r="AW244" s="234"/>
      <c r="AX244" s="234"/>
      <c r="AY244" s="235"/>
      <c r="AZ244" s="352"/>
      <c r="BA244" s="234"/>
      <c r="BB244" s="234"/>
      <c r="BC244" s="234"/>
      <c r="BD244" s="234"/>
      <c r="BE244" s="234"/>
      <c r="BF244" s="234"/>
      <c r="BG244" s="486"/>
      <c r="BH244" s="234"/>
      <c r="BI244" s="234"/>
      <c r="BJ244" s="234"/>
      <c r="BK244" s="235"/>
      <c r="BL244" s="352"/>
      <c r="BM244" s="234"/>
      <c r="BN244" s="234"/>
      <c r="BO244" s="234"/>
      <c r="BP244" s="234"/>
      <c r="BQ244" s="235"/>
      <c r="BR244" s="352"/>
      <c r="BS244" s="234"/>
      <c r="BT244" s="234"/>
      <c r="BU244" s="234"/>
      <c r="BV244" s="234"/>
      <c r="BW244" s="234"/>
      <c r="BX244" s="234"/>
      <c r="BY244" s="486"/>
      <c r="BZ244" s="488"/>
      <c r="CA244" s="234"/>
      <c r="CB244" s="234"/>
      <c r="CC244" s="234"/>
      <c r="CD244" s="235"/>
      <c r="CE244" s="352"/>
      <c r="CF244" s="234"/>
      <c r="CG244" s="234"/>
      <c r="CH244" s="234"/>
      <c r="CI244" s="234"/>
      <c r="CJ244" s="235"/>
      <c r="CK244" s="352"/>
      <c r="CL244" s="234"/>
      <c r="CM244" s="234"/>
      <c r="CN244" s="234"/>
      <c r="CO244" s="234"/>
      <c r="CP244" s="234"/>
      <c r="CQ244" s="234"/>
      <c r="CR244" s="486"/>
      <c r="CS244" s="234"/>
      <c r="CT244" s="234"/>
      <c r="CU244" s="234"/>
      <c r="CV244" s="235"/>
      <c r="CW244" s="352"/>
      <c r="CX244" s="234"/>
      <c r="CY244" s="234"/>
      <c r="CZ244" s="234"/>
      <c r="DA244" s="234"/>
      <c r="DB244" s="235"/>
      <c r="DC244" s="352"/>
      <c r="DD244" s="234"/>
      <c r="DE244" s="234"/>
      <c r="DF244" s="234"/>
      <c r="DG244" s="234"/>
      <c r="DH244" s="234"/>
      <c r="DI244" s="234"/>
    </row>
    <row r="245" spans="3:113" x14ac:dyDescent="0.25">
      <c r="C245" s="1" t="s">
        <v>228</v>
      </c>
      <c r="F245" s="332">
        <f t="shared" ref="F245:V245" si="267">SUM(F$224:F$225)+SUM(F$230:F$234)</f>
        <v>26.888215799673603</v>
      </c>
      <c r="G245" s="261">
        <f t="shared" si="267"/>
        <v>26.15214476313523</v>
      </c>
      <c r="H245" s="261">
        <f t="shared" si="267"/>
        <v>29.802985437863512</v>
      </c>
      <c r="I245" s="1337">
        <f t="shared" si="267"/>
        <v>26.54918567506245</v>
      </c>
      <c r="J245" s="322">
        <f t="shared" si="267"/>
        <v>60.168706271763696</v>
      </c>
      <c r="K245" s="828">
        <f t="shared" si="267"/>
        <v>43.207025201750433</v>
      </c>
      <c r="L245" s="261">
        <f t="shared" si="267"/>
        <v>46.278209282372963</v>
      </c>
      <c r="M245" s="261">
        <f t="shared" si="267"/>
        <v>45.492389340752403</v>
      </c>
      <c r="N245" s="1418">
        <f t="shared" si="267"/>
        <v>45.050435139419463</v>
      </c>
      <c r="O245" s="1383">
        <f t="shared" si="267"/>
        <v>42.818836086006101</v>
      </c>
      <c r="P245" s="612">
        <f t="shared" si="267"/>
        <v>45.453242845170756</v>
      </c>
      <c r="Q245" s="261">
        <f t="shared" si="267"/>
        <v>43.780252195143618</v>
      </c>
      <c r="R245" s="261">
        <f t="shared" si="267"/>
        <v>46.731101687738857</v>
      </c>
      <c r="S245" s="1418">
        <f t="shared" si="267"/>
        <v>47.703748845340705</v>
      </c>
      <c r="T245" s="1418">
        <f t="shared" si="267"/>
        <v>50.241559987785479</v>
      </c>
      <c r="U245" s="1418">
        <f t="shared" si="267"/>
        <v>39.737929458240316</v>
      </c>
      <c r="V245" s="261" t="e">
        <f t="shared" si="267"/>
        <v>#DIV/0!</v>
      </c>
    </row>
    <row r="246" spans="3:113" x14ac:dyDescent="0.25">
      <c r="C246" s="1" t="s">
        <v>227</v>
      </c>
      <c r="F246" s="320">
        <f t="shared" ref="F246:V246" si="268">F$245/F$137</f>
        <v>27.294580581517117</v>
      </c>
      <c r="G246" s="261">
        <f t="shared" si="268"/>
        <v>26.857831557163113</v>
      </c>
      <c r="H246" s="261">
        <f t="shared" si="268"/>
        <v>29.964984542406338</v>
      </c>
      <c r="I246" s="1337">
        <f t="shared" si="268"/>
        <v>27.879317255385477</v>
      </c>
      <c r="J246" s="322">
        <f t="shared" si="268"/>
        <v>55.458210083347495</v>
      </c>
      <c r="K246" s="828">
        <f t="shared" si="268"/>
        <v>45.926676492652533</v>
      </c>
      <c r="L246" s="261">
        <f t="shared" si="268"/>
        <v>48.170317907788466</v>
      </c>
      <c r="M246" s="261">
        <f t="shared" si="268"/>
        <v>47.34773088862692</v>
      </c>
      <c r="N246" s="1418">
        <f t="shared" si="268"/>
        <v>46.36035764021721</v>
      </c>
      <c r="O246" s="1464">
        <f t="shared" si="268"/>
        <v>45.026571808710919</v>
      </c>
      <c r="P246" s="612">
        <f t="shared" si="268"/>
        <v>48.142647598758565</v>
      </c>
      <c r="Q246" s="261">
        <f t="shared" si="268"/>
        <v>46.539832418549416</v>
      </c>
      <c r="R246" s="261">
        <f t="shared" si="268"/>
        <v>48.92724464358789</v>
      </c>
      <c r="S246" s="1418">
        <f t="shared" si="268"/>
        <v>50.864089402546213</v>
      </c>
      <c r="T246" s="1418">
        <f t="shared" si="268"/>
        <v>51.560513054808993</v>
      </c>
      <c r="U246" s="1418">
        <f t="shared" si="268"/>
        <v>47.071848039884955</v>
      </c>
      <c r="V246" s="261" t="e">
        <f t="shared" si="268"/>
        <v>#DIV/0!</v>
      </c>
    </row>
    <row r="247" spans="3:113" x14ac:dyDescent="0.25">
      <c r="C247" s="620" t="s">
        <v>244</v>
      </c>
      <c r="G247" s="256"/>
      <c r="H247" s="256"/>
      <c r="I247" s="1331"/>
      <c r="J247" s="321"/>
      <c r="K247" s="256"/>
      <c r="L247" s="256"/>
      <c r="M247" s="256"/>
      <c r="N247" s="1413"/>
      <c r="O247" s="1331"/>
      <c r="P247" s="321"/>
      <c r="Q247" s="256"/>
      <c r="R247" s="256"/>
      <c r="S247" s="1413"/>
      <c r="T247" s="1413"/>
      <c r="U247" s="1413"/>
    </row>
    <row r="248" spans="3:113" x14ac:dyDescent="0.25">
      <c r="C248" s="1" t="s">
        <v>321</v>
      </c>
      <c r="F248" s="320">
        <f>5%*F$247</f>
        <v>0</v>
      </c>
      <c r="G248" s="256">
        <f>5%*G$247</f>
        <v>0</v>
      </c>
      <c r="H248" s="256">
        <f t="shared" ref="H248:U248" si="269">5%*H$247</f>
        <v>0</v>
      </c>
      <c r="I248" s="1331">
        <f t="shared" si="269"/>
        <v>0</v>
      </c>
      <c r="J248" s="321">
        <f t="shared" si="269"/>
        <v>0</v>
      </c>
      <c r="K248" s="256">
        <f t="shared" si="269"/>
        <v>0</v>
      </c>
      <c r="L248" s="256">
        <f t="shared" si="269"/>
        <v>0</v>
      </c>
      <c r="M248" s="256">
        <f t="shared" si="269"/>
        <v>0</v>
      </c>
      <c r="N248" s="1413">
        <f t="shared" si="269"/>
        <v>0</v>
      </c>
      <c r="O248" s="1331">
        <f t="shared" si="269"/>
        <v>0</v>
      </c>
      <c r="P248" s="321">
        <f t="shared" si="269"/>
        <v>0</v>
      </c>
      <c r="Q248" s="256">
        <f t="shared" si="269"/>
        <v>0</v>
      </c>
      <c r="R248" s="256">
        <f t="shared" si="269"/>
        <v>0</v>
      </c>
      <c r="S248" s="1413">
        <f t="shared" si="269"/>
        <v>0</v>
      </c>
      <c r="T248" s="1413">
        <f t="shared" si="269"/>
        <v>0</v>
      </c>
      <c r="U248" s="1413">
        <f t="shared" si="269"/>
        <v>0</v>
      </c>
    </row>
    <row r="249" spans="3:113" x14ac:dyDescent="0.25">
      <c r="C249" s="170">
        <v>0.05</v>
      </c>
      <c r="D249" s="170"/>
      <c r="E249" s="170"/>
      <c r="F249" s="320">
        <f>F$248+F$247</f>
        <v>0</v>
      </c>
      <c r="G249" s="256">
        <f>G$248+G$247</f>
        <v>0</v>
      </c>
      <c r="H249" s="256">
        <f t="shared" ref="H249:U249" si="270">H$248+H$247</f>
        <v>0</v>
      </c>
      <c r="I249" s="1331">
        <f t="shared" si="270"/>
        <v>0</v>
      </c>
      <c r="J249" s="321">
        <f t="shared" si="270"/>
        <v>0</v>
      </c>
      <c r="K249" s="256">
        <f t="shared" si="270"/>
        <v>0</v>
      </c>
      <c r="L249" s="256">
        <f t="shared" si="270"/>
        <v>0</v>
      </c>
      <c r="M249" s="256">
        <f t="shared" si="270"/>
        <v>0</v>
      </c>
      <c r="N249" s="1413">
        <f t="shared" si="270"/>
        <v>0</v>
      </c>
      <c r="O249" s="1331">
        <f t="shared" si="270"/>
        <v>0</v>
      </c>
      <c r="P249" s="321">
        <f t="shared" si="270"/>
        <v>0</v>
      </c>
      <c r="Q249" s="256">
        <f t="shared" si="270"/>
        <v>0</v>
      </c>
      <c r="R249" s="256">
        <f t="shared" si="270"/>
        <v>0</v>
      </c>
      <c r="S249" s="1413">
        <f t="shared" si="270"/>
        <v>0</v>
      </c>
      <c r="T249" s="1413">
        <f t="shared" si="270"/>
        <v>0</v>
      </c>
      <c r="U249" s="1413">
        <f t="shared" si="270"/>
        <v>0</v>
      </c>
    </row>
    <row r="250" spans="3:113" x14ac:dyDescent="0.25">
      <c r="C250" s="167">
        <v>-0.05</v>
      </c>
      <c r="D250" s="167"/>
      <c r="E250" s="167"/>
      <c r="F250" s="320">
        <f>F$247-F$248</f>
        <v>0</v>
      </c>
      <c r="G250" s="256">
        <f>G$247-G$248</f>
        <v>0</v>
      </c>
      <c r="H250" s="256">
        <f t="shared" ref="H250:U250" si="271">H$247-H$248</f>
        <v>0</v>
      </c>
      <c r="I250" s="1331">
        <f t="shared" si="271"/>
        <v>0</v>
      </c>
      <c r="J250" s="321">
        <f t="shared" si="271"/>
        <v>0</v>
      </c>
      <c r="K250" s="256">
        <f t="shared" si="271"/>
        <v>0</v>
      </c>
      <c r="L250" s="256">
        <f t="shared" si="271"/>
        <v>0</v>
      </c>
      <c r="M250" s="256">
        <f t="shared" si="271"/>
        <v>0</v>
      </c>
      <c r="N250" s="1413">
        <f t="shared" si="271"/>
        <v>0</v>
      </c>
      <c r="O250" s="1331">
        <f t="shared" si="271"/>
        <v>0</v>
      </c>
      <c r="P250" s="321">
        <f t="shared" si="271"/>
        <v>0</v>
      </c>
      <c r="Q250" s="256">
        <f t="shared" si="271"/>
        <v>0</v>
      </c>
      <c r="R250" s="256">
        <f t="shared" si="271"/>
        <v>0</v>
      </c>
      <c r="S250" s="1413">
        <f t="shared" si="271"/>
        <v>0</v>
      </c>
      <c r="T250" s="1413">
        <f t="shared" si="271"/>
        <v>0</v>
      </c>
      <c r="U250" s="1413">
        <f t="shared" si="271"/>
        <v>0</v>
      </c>
    </row>
    <row r="251" spans="3:113" x14ac:dyDescent="0.25">
      <c r="Y251" s="252" t="s">
        <v>840</v>
      </c>
      <c r="Z251" s="241" t="s">
        <v>841</v>
      </c>
      <c r="AC251" s="252"/>
    </row>
    <row r="252" spans="3:113" x14ac:dyDescent="0.25">
      <c r="C252" s="1" t="s">
        <v>233</v>
      </c>
      <c r="F252" s="322">
        <f>SUM(F$224:F$225)+SUM(F$230:F$231)</f>
        <v>2.5582184312525493</v>
      </c>
      <c r="G252" s="261">
        <f>SUM(G$224:G$225)+SUM(G$230:G$231)</f>
        <v>3.1749861938810433</v>
      </c>
      <c r="H252" s="261">
        <f>SUM(H$224:H$225)+SUM(H$230:H$231)</f>
        <v>3.1843242165140326</v>
      </c>
      <c r="I252" s="1337">
        <f>SUM(I$224:I$225)+SUM(I$230:I$231)</f>
        <v>1.9208956777245023</v>
      </c>
      <c r="J252" s="322">
        <f>SUM(J$224:J$225)+SUM(J$230:J$231)-1.5</f>
        <v>5.7146872252807359</v>
      </c>
      <c r="K252" s="828">
        <f>SUM(K$224:K$225)+SUM(K$230:K$231)</f>
        <v>3.7279914852365406</v>
      </c>
      <c r="L252" s="263">
        <f t="shared" ref="L252:V252" si="272">SUM(L$224:L$225)+SUM(L$230:L$231)</f>
        <v>3.8397842919663532</v>
      </c>
      <c r="M252" s="261">
        <f t="shared" si="272"/>
        <v>3.8282901124604267</v>
      </c>
      <c r="N252" s="1418">
        <f t="shared" si="272"/>
        <v>3.3396847391632978</v>
      </c>
      <c r="O252" s="1337">
        <f t="shared" si="272"/>
        <v>3.2918045694184208</v>
      </c>
      <c r="P252" s="322">
        <f t="shared" si="272"/>
        <v>4.3984257280536347</v>
      </c>
      <c r="Q252" s="261">
        <f t="shared" si="272"/>
        <v>4.5349333434130283</v>
      </c>
      <c r="R252" s="261">
        <f t="shared" si="272"/>
        <v>3.7991846126664495</v>
      </c>
      <c r="S252" s="1418">
        <f t="shared" si="272"/>
        <v>4.4927588686507294</v>
      </c>
      <c r="T252" s="1418">
        <f t="shared" si="272"/>
        <v>4.2837457676952262</v>
      </c>
      <c r="U252" s="1418">
        <f t="shared" si="272"/>
        <v>4.4745632554727841</v>
      </c>
      <c r="V252" s="261" t="e">
        <f t="shared" si="272"/>
        <v>#DIV/0!</v>
      </c>
      <c r="Y252" s="253"/>
      <c r="Z252" s="253"/>
      <c r="AC252" s="253"/>
      <c r="AD252" s="253"/>
    </row>
    <row r="253" spans="3:113" x14ac:dyDescent="0.25">
      <c r="C253" s="168" t="s">
        <v>235</v>
      </c>
      <c r="D253" s="168"/>
      <c r="E253" s="168"/>
      <c r="F253" s="322">
        <f>F$252/F$137</f>
        <v>2.5968810886214557</v>
      </c>
      <c r="G253" s="261">
        <f>G$252/G$137</f>
        <v>3.2606596959412277</v>
      </c>
      <c r="H253" s="261">
        <f>H$252/H$137</f>
        <v>3.2016331425853761</v>
      </c>
      <c r="I253" s="1337">
        <f>I$252/I$137</f>
        <v>2.0171338085176176</v>
      </c>
      <c r="J253" s="322">
        <f>J$252/J$137</f>
        <v>5.2672949833553293</v>
      </c>
      <c r="K253" s="828">
        <f t="shared" ref="K253:V253" si="273">K$252/K$137</f>
        <v>3.9626486227727034</v>
      </c>
      <c r="L253" s="261">
        <f t="shared" si="273"/>
        <v>3.996775867293616</v>
      </c>
      <c r="M253" s="261">
        <f t="shared" si="273"/>
        <v>3.9844214083957294</v>
      </c>
      <c r="N253" s="1418">
        <f t="shared" si="273"/>
        <v>3.4367920850049569</v>
      </c>
      <c r="O253" s="1337">
        <f t="shared" si="273"/>
        <v>3.4615297465687429</v>
      </c>
      <c r="P253" s="322">
        <f t="shared" si="273"/>
        <v>4.6586744214554336</v>
      </c>
      <c r="Q253" s="261">
        <f t="shared" si="273"/>
        <v>4.8207816823665048</v>
      </c>
      <c r="R253" s="261">
        <f t="shared" si="273"/>
        <v>3.9777284993659281</v>
      </c>
      <c r="S253" s="1418">
        <f t="shared" si="273"/>
        <v>4.7904010542234978</v>
      </c>
      <c r="T253" s="1418">
        <f t="shared" si="273"/>
        <v>4.3962036535575333</v>
      </c>
      <c r="U253" s="1418">
        <f t="shared" si="273"/>
        <v>5.30037584942139</v>
      </c>
      <c r="V253" s="261" t="e">
        <f t="shared" si="273"/>
        <v>#DIV/0!</v>
      </c>
      <c r="X253" s="320" t="s">
        <v>830</v>
      </c>
      <c r="Y253" s="279">
        <f>AVERAGE(K253:N253)</f>
        <v>3.8451594958667514</v>
      </c>
      <c r="Z253" s="279">
        <f>AVERAGE(Q253:T253)</f>
        <v>4.4962787223783653</v>
      </c>
      <c r="AA253" s="240" t="s">
        <v>295</v>
      </c>
      <c r="AC253" s="1465">
        <f>AVERAGE(H253:I253)</f>
        <v>2.6093834755514971</v>
      </c>
      <c r="AD253" s="1465">
        <f>AVERAGE(M253:O253)</f>
        <v>3.6275810799898096</v>
      </c>
      <c r="AE253" s="1465">
        <f>AVERAGE(R253:T253)</f>
        <v>4.3881110690489864</v>
      </c>
    </row>
    <row r="254" spans="3:113" x14ac:dyDescent="0.25">
      <c r="C254" s="657" t="s">
        <v>243</v>
      </c>
      <c r="D254" s="657"/>
      <c r="E254" s="657"/>
      <c r="F254" s="681">
        <v>2.2000000000000002</v>
      </c>
      <c r="G254" s="641">
        <v>2</v>
      </c>
      <c r="H254" s="641">
        <v>1.7</v>
      </c>
      <c r="I254" s="1337">
        <v>1.7</v>
      </c>
      <c r="J254" s="640">
        <v>4.9000000000000004</v>
      </c>
      <c r="K254" s="641">
        <v>5.0999999999999996</v>
      </c>
      <c r="L254" s="641">
        <v>5.6</v>
      </c>
      <c r="M254" s="641">
        <v>5.8</v>
      </c>
      <c r="N254" s="1418">
        <v>5.9</v>
      </c>
      <c r="O254" s="1337">
        <v>5.8</v>
      </c>
      <c r="P254" s="640">
        <v>5.7</v>
      </c>
      <c r="Q254" s="641">
        <v>5.5</v>
      </c>
      <c r="R254" s="641">
        <v>5.7</v>
      </c>
      <c r="S254" s="641">
        <v>5.9</v>
      </c>
      <c r="T254" s="641">
        <v>6</v>
      </c>
      <c r="U254" s="641">
        <v>6.1</v>
      </c>
      <c r="X254" s="320" t="s">
        <v>830</v>
      </c>
      <c r="Y254" s="279">
        <f>AVERAGE(K254:N254)</f>
        <v>5.6</v>
      </c>
      <c r="Z254" s="279">
        <f>AVERAGE(Q254:T254)</f>
        <v>5.7750000000000004</v>
      </c>
      <c r="AA254" s="240" t="s">
        <v>616</v>
      </c>
      <c r="AC254" s="674">
        <f>AVERAGE(H254:I254)</f>
        <v>1.7</v>
      </c>
      <c r="AD254" s="674">
        <f>AVERAGE(M254:O254)</f>
        <v>5.833333333333333</v>
      </c>
      <c r="AE254" s="674">
        <f>AVERAGE(R254:T254)</f>
        <v>5.8666666666666671</v>
      </c>
    </row>
    <row r="255" spans="3:113" x14ac:dyDescent="0.25">
      <c r="C255" s="168" t="s">
        <v>234</v>
      </c>
      <c r="D255" s="168"/>
      <c r="E255" s="168"/>
      <c r="F255" s="322">
        <f t="shared" ref="F255:V255" si="274">SUM(F$232:F$233)</f>
        <v>8.9722184210526308</v>
      </c>
      <c r="G255" s="261">
        <f t="shared" si="274"/>
        <v>8.5135015271435837</v>
      </c>
      <c r="H255" s="261">
        <f t="shared" si="274"/>
        <v>11.186774329203306</v>
      </c>
      <c r="I255" s="1337">
        <f>SUM(I$232:I$233)+0.4</f>
        <v>9.9841288433382136</v>
      </c>
      <c r="J255" s="322">
        <f t="shared" si="274"/>
        <v>29.572673428863961</v>
      </c>
      <c r="K255" s="261">
        <f t="shared" si="274"/>
        <v>19.853577334700105</v>
      </c>
      <c r="L255" s="261">
        <f t="shared" si="274"/>
        <v>21.70540755137997</v>
      </c>
      <c r="M255" s="261">
        <f t="shared" si="274"/>
        <v>20.939639031886131</v>
      </c>
      <c r="N255" s="1418">
        <f t="shared" si="274"/>
        <v>21.243269132244638</v>
      </c>
      <c r="O255" s="1337">
        <f t="shared" si="274"/>
        <v>20.01628412322275</v>
      </c>
      <c r="P255" s="322">
        <f t="shared" si="274"/>
        <v>21.876213513513516</v>
      </c>
      <c r="Q255" s="261">
        <f t="shared" si="274"/>
        <v>20.801328375428753</v>
      </c>
      <c r="R255" s="261">
        <f t="shared" si="274"/>
        <v>22.499820556731272</v>
      </c>
      <c r="S255" s="1418">
        <f t="shared" si="274"/>
        <v>23.016984615384619</v>
      </c>
      <c r="T255" s="1418">
        <f t="shared" si="274"/>
        <v>24.353507703565185</v>
      </c>
      <c r="U255" s="1418">
        <f t="shared" si="274"/>
        <v>18.986667003687405</v>
      </c>
      <c r="V255" s="261" t="e">
        <f t="shared" si="274"/>
        <v>#DIV/0!</v>
      </c>
    </row>
    <row r="256" spans="3:113" x14ac:dyDescent="0.25">
      <c r="C256" s="168" t="s">
        <v>236</v>
      </c>
      <c r="D256" s="168"/>
      <c r="E256" s="168"/>
      <c r="F256" s="322">
        <f>F$255/F$137</f>
        <v>9.1078166179909221</v>
      </c>
      <c r="G256" s="261">
        <f>G$255/G$137+0.5</f>
        <v>9.2432289798269416</v>
      </c>
      <c r="H256" s="261">
        <f>H$255/H$137</f>
        <v>11.24758190929732</v>
      </c>
      <c r="I256" s="1337">
        <f>I$255/I$137</f>
        <v>10.484340233588583</v>
      </c>
      <c r="J256" s="322">
        <f>J$255/J$137</f>
        <v>27.257483787944039</v>
      </c>
      <c r="K256" s="261">
        <f t="shared" ref="K256:V256" si="275">K$255/K$137</f>
        <v>21.10325390871137</v>
      </c>
      <c r="L256" s="261">
        <f t="shared" si="275"/>
        <v>22.592844413846635</v>
      </c>
      <c r="M256" s="261">
        <f t="shared" si="275"/>
        <v>21.793632037229354</v>
      </c>
      <c r="N256" s="1418">
        <f t="shared" si="275"/>
        <v>21.860955424079823</v>
      </c>
      <c r="O256" s="1337">
        <f t="shared" si="275"/>
        <v>21.048322112435873</v>
      </c>
      <c r="P256" s="322">
        <f t="shared" si="275"/>
        <v>23.170598444730718</v>
      </c>
      <c r="Q256" s="261">
        <f t="shared" si="275"/>
        <v>22.112488807980359</v>
      </c>
      <c r="R256" s="261">
        <f t="shared" si="275"/>
        <v>23.557206765036682</v>
      </c>
      <c r="S256" s="1418">
        <f t="shared" si="275"/>
        <v>24.541844018372192</v>
      </c>
      <c r="T256" s="1418">
        <f t="shared" si="275"/>
        <v>24.992841627237286</v>
      </c>
      <c r="U256" s="1418">
        <f t="shared" si="275"/>
        <v>22.490791950312349</v>
      </c>
      <c r="V256" s="261" t="e">
        <f t="shared" si="275"/>
        <v>#DIV/0!</v>
      </c>
      <c r="X256" s="320" t="s">
        <v>234</v>
      </c>
      <c r="Y256" s="279">
        <f>AVERAGE(K256:N256)</f>
        <v>21.837671445966794</v>
      </c>
      <c r="Z256" s="279">
        <f>AVERAGE(Q256:T256)</f>
        <v>23.801095304656627</v>
      </c>
      <c r="AA256" s="240" t="s">
        <v>295</v>
      </c>
      <c r="AC256" s="1465">
        <f>AVERAGE(H256:I256)</f>
        <v>10.865961071442952</v>
      </c>
      <c r="AD256" s="1465">
        <f>AVERAGE(M256:O256)</f>
        <v>21.567636524581683</v>
      </c>
      <c r="AE256" s="1465">
        <f>AVERAGE(R256:T256)</f>
        <v>24.36396413688205</v>
      </c>
    </row>
    <row r="257" spans="3:31" x14ac:dyDescent="0.25">
      <c r="C257" s="657" t="s">
        <v>242</v>
      </c>
      <c r="D257" s="657"/>
      <c r="E257" s="657"/>
      <c r="F257" s="640">
        <v>11.2</v>
      </c>
      <c r="G257" s="641">
        <v>11.2</v>
      </c>
      <c r="H257" s="641">
        <v>10.6</v>
      </c>
      <c r="I257" s="1337">
        <v>10.5</v>
      </c>
      <c r="J257" s="640">
        <v>22.5</v>
      </c>
      <c r="K257" s="641">
        <v>22.2</v>
      </c>
      <c r="L257" s="641">
        <v>22.1</v>
      </c>
      <c r="M257" s="641">
        <v>22.9</v>
      </c>
      <c r="N257" s="1418">
        <v>22.8</v>
      </c>
      <c r="O257" s="1337">
        <v>22.9</v>
      </c>
      <c r="P257" s="640">
        <v>22.8</v>
      </c>
      <c r="Q257" s="641">
        <v>22.1</v>
      </c>
      <c r="R257" s="641">
        <v>22.8</v>
      </c>
      <c r="S257" s="641">
        <v>23.9</v>
      </c>
      <c r="T257" s="641">
        <v>24</v>
      </c>
      <c r="U257" s="641">
        <v>23.8</v>
      </c>
      <c r="X257" s="320" t="s">
        <v>234</v>
      </c>
      <c r="Y257" s="279">
        <f>AVERAGE(K257:N257)</f>
        <v>22.499999999999996</v>
      </c>
      <c r="Z257" s="279">
        <f>AVERAGE(Q257:T257)</f>
        <v>23.200000000000003</v>
      </c>
      <c r="AA257" s="240" t="s">
        <v>616</v>
      </c>
      <c r="AC257" s="674">
        <f>AVERAGE(H257:I257)</f>
        <v>10.55</v>
      </c>
      <c r="AD257" s="674">
        <f>AVERAGE(M257:O257)</f>
        <v>22.866666666666664</v>
      </c>
      <c r="AE257" s="674">
        <f>AVERAGE(R257:T257)</f>
        <v>23.566666666666666</v>
      </c>
    </row>
    <row r="258" spans="3:31" x14ac:dyDescent="0.25">
      <c r="C258" s="1" t="s">
        <v>237</v>
      </c>
      <c r="F258" s="322">
        <f t="shared" ref="F258:V258" si="276">F$234+F$235</f>
        <v>27.44690902255639</v>
      </c>
      <c r="G258" s="261">
        <f t="shared" si="276"/>
        <v>24.918456007102989</v>
      </c>
      <c r="H258" s="261">
        <f t="shared" si="276"/>
        <v>26.565243292076989</v>
      </c>
      <c r="I258" s="1337">
        <f>I$234+I$235+0.9</f>
        <v>26.914299048316252</v>
      </c>
      <c r="J258" s="322">
        <f t="shared" si="276"/>
        <v>34.341785458666344</v>
      </c>
      <c r="K258" s="261">
        <f t="shared" si="276"/>
        <v>30.120294517768123</v>
      </c>
      <c r="L258" s="261">
        <f t="shared" si="276"/>
        <v>32.208719354567933</v>
      </c>
      <c r="M258" s="261">
        <f t="shared" si="276"/>
        <v>31.948050133985365</v>
      </c>
      <c r="N258" s="1418">
        <f t="shared" si="276"/>
        <v>31.605580171309644</v>
      </c>
      <c r="O258" s="1337">
        <f t="shared" si="276"/>
        <v>30.327662381516589</v>
      </c>
      <c r="P258" s="322">
        <f t="shared" si="276"/>
        <v>29.194390990990993</v>
      </c>
      <c r="Q258" s="261">
        <f t="shared" si="276"/>
        <v>27.969118470922979</v>
      </c>
      <c r="R258" s="261">
        <f t="shared" si="276"/>
        <v>30.836126002450442</v>
      </c>
      <c r="S258" s="1418">
        <f t="shared" si="276"/>
        <v>30.385586829836825</v>
      </c>
      <c r="T258" s="1418">
        <f t="shared" si="276"/>
        <v>32.473463799341438</v>
      </c>
      <c r="U258" s="1418">
        <f t="shared" si="276"/>
        <v>24.819581856389519</v>
      </c>
      <c r="V258" s="261" t="e">
        <f t="shared" si="276"/>
        <v>#DIV/0!</v>
      </c>
    </row>
    <row r="259" spans="3:31" x14ac:dyDescent="0.25">
      <c r="C259" s="1" t="s">
        <v>238</v>
      </c>
      <c r="F259" s="322">
        <f>F$258/F$137</f>
        <v>27.861717401079048</v>
      </c>
      <c r="G259" s="261">
        <f>G$258/G$137+1</f>
        <v>26.590853070175427</v>
      </c>
      <c r="H259" s="261">
        <f>H$258/H$137</f>
        <v>26.709643108472942</v>
      </c>
      <c r="I259" s="1337">
        <f>I$258/I$137+0.2</f>
        <v>28.462723047627456</v>
      </c>
      <c r="J259" s="322">
        <f t="shared" ref="J259:T259" si="277">J$258/J$137</f>
        <v>31.653230900491149</v>
      </c>
      <c r="K259" s="261">
        <f t="shared" si="277"/>
        <v>32.016206061900093</v>
      </c>
      <c r="L259" s="261">
        <f t="shared" si="277"/>
        <v>33.52558957598287</v>
      </c>
      <c r="M259" s="261">
        <f t="shared" si="277"/>
        <v>33.251005323768339</v>
      </c>
      <c r="N259" s="1418">
        <f t="shared" si="277"/>
        <v>32.524569310682892</v>
      </c>
      <c r="O259" s="1337">
        <f t="shared" si="277"/>
        <v>31.891354199092344</v>
      </c>
      <c r="P259" s="322">
        <f t="shared" si="277"/>
        <v>30.921782239547735</v>
      </c>
      <c r="Q259" s="261">
        <f t="shared" si="277"/>
        <v>29.732082874472358</v>
      </c>
      <c r="R259" s="261">
        <f t="shared" si="277"/>
        <v>32.285279531046221</v>
      </c>
      <c r="S259" s="1418">
        <f t="shared" si="277"/>
        <v>32.398611062463821</v>
      </c>
      <c r="T259" s="1418">
        <f t="shared" si="277"/>
        <v>33.325964690743525</v>
      </c>
      <c r="U259" s="1418">
        <v>32.89</v>
      </c>
      <c r="V259" s="261" t="e">
        <f>V$258/V$137</f>
        <v>#DIV/0!</v>
      </c>
      <c r="X259" s="320" t="s">
        <v>237</v>
      </c>
      <c r="Y259" s="279">
        <f>AVERAGE(K259:N259)</f>
        <v>32.829342568083547</v>
      </c>
      <c r="Z259" s="279">
        <f>AVERAGE(Q259:T259)</f>
        <v>31.935484539681482</v>
      </c>
      <c r="AA259" s="240" t="s">
        <v>295</v>
      </c>
      <c r="AC259" s="1465">
        <f>AVERAGE(H259:I259)</f>
        <v>27.586183078050198</v>
      </c>
      <c r="AD259" s="1465">
        <f>AVERAGE(M259:O259)</f>
        <v>32.555642944514524</v>
      </c>
      <c r="AE259" s="1465">
        <f>AVERAGE(R259:T259)</f>
        <v>32.669951761417856</v>
      </c>
    </row>
    <row r="260" spans="3:31" x14ac:dyDescent="0.25">
      <c r="C260" s="637" t="s">
        <v>241</v>
      </c>
      <c r="D260" s="637"/>
      <c r="E260" s="637"/>
      <c r="F260" s="640">
        <v>28.6</v>
      </c>
      <c r="G260" s="641">
        <v>28.7</v>
      </c>
      <c r="H260" s="641">
        <v>28.9</v>
      </c>
      <c r="I260" s="1337">
        <v>28.7</v>
      </c>
      <c r="J260" s="640">
        <v>34.200000000000003</v>
      </c>
      <c r="K260" s="641">
        <v>33.700000000000003</v>
      </c>
      <c r="L260" s="641">
        <v>33</v>
      </c>
      <c r="M260" s="641">
        <v>33.9</v>
      </c>
      <c r="N260" s="1418">
        <v>33</v>
      </c>
      <c r="O260" s="1337">
        <v>33.5</v>
      </c>
      <c r="P260" s="640">
        <v>33</v>
      </c>
      <c r="Q260" s="641">
        <v>33</v>
      </c>
      <c r="R260" s="641">
        <v>33.299999999999997</v>
      </c>
      <c r="S260" s="641">
        <v>33.9</v>
      </c>
      <c r="T260" s="641">
        <v>33.799999999999997</v>
      </c>
      <c r="U260" s="641">
        <v>33.299999999999997</v>
      </c>
      <c r="X260" s="320" t="s">
        <v>237</v>
      </c>
      <c r="Y260" s="279">
        <f>AVERAGE(K260:N260)</f>
        <v>33.4</v>
      </c>
      <c r="Z260" s="279">
        <f>AVERAGE(Q260:T260)</f>
        <v>33.5</v>
      </c>
      <c r="AA260" s="240" t="s">
        <v>616</v>
      </c>
      <c r="AC260" s="674">
        <f>AVERAGE(H260:I260)</f>
        <v>28.799999999999997</v>
      </c>
      <c r="AD260" s="674">
        <f>AVERAGE(M260:O260)</f>
        <v>33.466666666666669</v>
      </c>
      <c r="AE260" s="674">
        <f>AVERAGE(R260:T260)</f>
        <v>33.666666666666664</v>
      </c>
    </row>
    <row r="261" spans="3:31" x14ac:dyDescent="0.25">
      <c r="C261" s="1" t="s">
        <v>239</v>
      </c>
      <c r="F261" s="833">
        <f>F$236/F137</f>
        <v>55.28708346724823</v>
      </c>
      <c r="G261" s="261">
        <f>G$236</f>
        <v>56.080988569254188</v>
      </c>
      <c r="H261" s="261">
        <v>54.08</v>
      </c>
      <c r="I261" s="1023">
        <f>54.46</f>
        <v>54.46</v>
      </c>
      <c r="J261" s="833">
        <f t="shared" ref="J261:U261" si="278">J$236</f>
        <v>29.809768156785545</v>
      </c>
      <c r="K261" s="261">
        <f t="shared" si="278"/>
        <v>34.53699005418877</v>
      </c>
      <c r="L261" s="261">
        <f t="shared" si="278"/>
        <v>32.998872240148316</v>
      </c>
      <c r="M261" s="261">
        <f t="shared" si="278"/>
        <v>33.713477471374041</v>
      </c>
      <c r="N261" s="1418">
        <f t="shared" si="278"/>
        <v>34.879426352865842</v>
      </c>
      <c r="O261" s="1023">
        <f t="shared" si="278"/>
        <v>35.438153376777251</v>
      </c>
      <c r="P261" s="833">
        <f t="shared" si="278"/>
        <v>32.892229729729735</v>
      </c>
      <c r="Q261" s="261">
        <f t="shared" si="278"/>
        <v>34.983457866386033</v>
      </c>
      <c r="R261" s="261">
        <f t="shared" si="278"/>
        <v>32.818146561966294</v>
      </c>
      <c r="S261" s="1418">
        <f t="shared" si="278"/>
        <v>30.44121037296037</v>
      </c>
      <c r="T261" s="1418">
        <f t="shared" si="278"/>
        <v>30.606343997723478</v>
      </c>
      <c r="U261" s="1023">
        <f t="shared" si="278"/>
        <v>30.715413286546923</v>
      </c>
      <c r="V261" s="261" t="e">
        <f>V$236/V$137</f>
        <v>#DIV/0!</v>
      </c>
      <c r="X261" s="320" t="s">
        <v>160</v>
      </c>
      <c r="Y261" s="279">
        <f>AVERAGE(K261:N261)</f>
        <v>34.032191529644237</v>
      </c>
      <c r="Z261" s="279">
        <f>AVERAGE(Q261:T261)</f>
        <v>32.212289699759047</v>
      </c>
      <c r="AA261" s="240" t="s">
        <v>295</v>
      </c>
      <c r="AC261" s="1465">
        <f>AVERAGE(H261:I261)</f>
        <v>54.269999999999996</v>
      </c>
      <c r="AD261" s="1465">
        <f>AVERAGE(M261:O261)</f>
        <v>34.677019067005709</v>
      </c>
      <c r="AE261" s="1465">
        <f>AVERAGE(R261:T261)</f>
        <v>31.288566977550047</v>
      </c>
    </row>
    <row r="262" spans="3:31" x14ac:dyDescent="0.25">
      <c r="C262" s="637" t="s">
        <v>240</v>
      </c>
      <c r="D262" s="637"/>
      <c r="E262" s="637"/>
      <c r="F262" s="640">
        <v>53</v>
      </c>
      <c r="G262" s="641">
        <v>53</v>
      </c>
      <c r="H262" s="641">
        <v>53.8</v>
      </c>
      <c r="I262" s="1337">
        <v>54.4</v>
      </c>
      <c r="J262" s="640">
        <v>31</v>
      </c>
      <c r="K262" s="641">
        <v>31.3</v>
      </c>
      <c r="L262" s="641">
        <v>31.3</v>
      </c>
      <c r="M262" s="641">
        <v>30</v>
      </c>
      <c r="N262" s="1418">
        <v>30.9</v>
      </c>
      <c r="O262" s="1337">
        <v>30</v>
      </c>
      <c r="P262" s="640">
        <v>32</v>
      </c>
      <c r="Q262" s="641">
        <v>33.200000000000003</v>
      </c>
      <c r="R262" s="641">
        <v>32</v>
      </c>
      <c r="S262" s="641">
        <v>29.9</v>
      </c>
      <c r="T262" s="641">
        <v>29</v>
      </c>
      <c r="U262" s="641">
        <v>30.4</v>
      </c>
      <c r="X262" s="320" t="s">
        <v>160</v>
      </c>
      <c r="Y262" s="279">
        <f>AVERAGE(K262:N262)</f>
        <v>30.875</v>
      </c>
      <c r="Z262" s="279">
        <f>AVERAGE(Q262:T262)</f>
        <v>31.024999999999999</v>
      </c>
      <c r="AA262" s="240" t="s">
        <v>616</v>
      </c>
      <c r="AC262" s="674">
        <f>AVERAGE(H262:I262)</f>
        <v>54.099999999999994</v>
      </c>
      <c r="AD262" s="674">
        <f>AVERAGE(M262:O262)</f>
        <v>30.3</v>
      </c>
      <c r="AE262" s="674">
        <f>AVERAGE(R262:T262)</f>
        <v>30.3</v>
      </c>
    </row>
    <row r="263" spans="3:31" x14ac:dyDescent="0.25">
      <c r="G263" s="279"/>
      <c r="H263" s="279"/>
      <c r="I263" s="1387"/>
      <c r="J263" s="330"/>
      <c r="K263" s="279"/>
      <c r="L263" s="279"/>
      <c r="M263" s="279"/>
      <c r="N263" s="1465"/>
      <c r="O263" s="1387"/>
      <c r="P263" s="330"/>
      <c r="Q263" s="279"/>
      <c r="R263" s="279"/>
      <c r="S263" s="1465"/>
      <c r="T263" s="1465"/>
      <c r="U263" s="1465"/>
    </row>
    <row r="264" spans="3:31" x14ac:dyDescent="0.25">
      <c r="G264" s="279"/>
      <c r="Y264" s="279"/>
    </row>
    <row r="265" spans="3:31" x14ac:dyDescent="0.25">
      <c r="C265" s="1" t="s">
        <v>223</v>
      </c>
      <c r="F265" s="333" cm="1">
        <f t="array" ref="F265:V265">'HPS DAILY'!J90:Z90</f>
        <v>153.31</v>
      </c>
      <c r="G265" s="255">
        <v>250.3</v>
      </c>
      <c r="H265" s="255">
        <v>50</v>
      </c>
      <c r="I265" s="1388">
        <v>224.78</v>
      </c>
      <c r="J265" s="333">
        <v>428.74</v>
      </c>
      <c r="K265" s="828">
        <v>1832.7</v>
      </c>
      <c r="L265" s="828">
        <v>2657.3</v>
      </c>
      <c r="M265" s="255">
        <v>3072</v>
      </c>
      <c r="N265" s="1466">
        <v>4183.8</v>
      </c>
      <c r="O265" s="1377">
        <v>4329.1000000000004</v>
      </c>
      <c r="P265" s="333">
        <v>5116.2</v>
      </c>
      <c r="Q265" s="828">
        <v>9382.7999999999993</v>
      </c>
      <c r="R265" s="828">
        <v>11823</v>
      </c>
      <c r="S265" s="1460">
        <v>12960</v>
      </c>
      <c r="T265" s="1466">
        <v>18485</v>
      </c>
      <c r="U265" s="1460">
        <v>16439</v>
      </c>
      <c r="V265" s="241">
        <v>19799</v>
      </c>
      <c r="Y265" s="1306">
        <f>AVERAGE(K265:N265)</f>
        <v>2936.45</v>
      </c>
      <c r="Z265" s="1306">
        <f>AVERAGE(Q265:T265)</f>
        <v>13162.7</v>
      </c>
      <c r="AC265" s="1451">
        <f>AVERAGE(G265:I265)</f>
        <v>175.02666666666667</v>
      </c>
      <c r="AD265" s="1502">
        <f>AVERAGE(M265:O265)</f>
        <v>3861.6333333333337</v>
      </c>
      <c r="AE265" s="1502">
        <f>AVERAGE(S265:U265)</f>
        <v>15961.333333333334</v>
      </c>
    </row>
    <row r="266" spans="3:31" x14ac:dyDescent="0.25">
      <c r="C266" s="1" t="s">
        <v>210</v>
      </c>
      <c r="G266" s="256"/>
      <c r="H266" s="256"/>
      <c r="I266" s="1331"/>
      <c r="J266" s="321">
        <v>400</v>
      </c>
      <c r="K266" s="256">
        <v>600</v>
      </c>
      <c r="L266" s="256">
        <v>700</v>
      </c>
      <c r="M266" s="256">
        <v>900</v>
      </c>
      <c r="N266" s="1413">
        <v>913</v>
      </c>
      <c r="O266" s="1331">
        <v>913</v>
      </c>
      <c r="P266" s="321">
        <v>1600</v>
      </c>
      <c r="Q266" s="256">
        <v>5700</v>
      </c>
      <c r="R266" s="256">
        <v>6400</v>
      </c>
      <c r="S266" s="1413">
        <v>7600</v>
      </c>
      <c r="T266" s="1413">
        <v>10044</v>
      </c>
      <c r="U266" s="1413">
        <v>9500</v>
      </c>
      <c r="Y266" s="241">
        <f>AVERAGE(K266:N266)</f>
        <v>778.25</v>
      </c>
      <c r="Z266" s="241">
        <f>AVERAGE(Q266:T266)</f>
        <v>7436</v>
      </c>
      <c r="AC266" s="711" t="e">
        <f>AVERAGE(G266:I266)</f>
        <v>#DIV/0!</v>
      </c>
      <c r="AD266" s="711">
        <f>AVERAGE(M266:O266)</f>
        <v>908.66666666666663</v>
      </c>
      <c r="AE266" s="711">
        <f>AVERAGE(S266:U266)</f>
        <v>9048</v>
      </c>
    </row>
    <row r="268" spans="3:31" ht="30" x14ac:dyDescent="0.25">
      <c r="C268" s="168" t="s">
        <v>416</v>
      </c>
      <c r="D268" s="168"/>
      <c r="E268" s="168"/>
      <c r="F268" s="321">
        <f t="shared" ref="F268:U268" si="279">F$226+F$228+F$240+F$253+F$256+F$259+F$261</f>
        <v>101.5963351389067</v>
      </c>
      <c r="G268" s="261">
        <f t="shared" si="279"/>
        <v>100.93706601193641</v>
      </c>
      <c r="H268" s="255">
        <f t="shared" si="279"/>
        <v>101.25024045662863</v>
      </c>
      <c r="I268" s="1377">
        <f t="shared" si="279"/>
        <v>101.46759234328033</v>
      </c>
      <c r="J268" s="322">
        <f t="shared" si="279"/>
        <v>103.65324604151448</v>
      </c>
      <c r="K268" s="256">
        <f t="shared" si="279"/>
        <v>100.72094696978027</v>
      </c>
      <c r="L268" s="261">
        <f t="shared" si="279"/>
        <v>101.53829717891493</v>
      </c>
      <c r="M268" s="261">
        <f t="shared" si="279"/>
        <v>101.18319530459974</v>
      </c>
      <c r="N268" s="1418">
        <f t="shared" si="279"/>
        <v>101.16750110445273</v>
      </c>
      <c r="O268" s="1337">
        <f t="shared" si="279"/>
        <v>100.26581224754992</v>
      </c>
      <c r="P268" s="322">
        <f t="shared" si="279"/>
        <v>100.23852419050097</v>
      </c>
      <c r="Q268" s="261">
        <f t="shared" si="279"/>
        <v>100.77546035858386</v>
      </c>
      <c r="R268" s="261">
        <f t="shared" si="279"/>
        <v>101.32906101655823</v>
      </c>
      <c r="S268" s="1418">
        <f t="shared" si="279"/>
        <v>100.92565296216566</v>
      </c>
      <c r="T268" s="1418">
        <f t="shared" si="279"/>
        <v>101.62805286925598</v>
      </c>
      <c r="U268" s="1418">
        <f t="shared" si="279"/>
        <v>100.47415869014374</v>
      </c>
      <c r="Y268" s="1501"/>
    </row>
    <row r="269" spans="3:31" x14ac:dyDescent="0.25">
      <c r="C269" s="168"/>
      <c r="D269" s="168"/>
      <c r="E269" s="168"/>
      <c r="F269" s="321"/>
      <c r="G269" s="387"/>
      <c r="H269" s="522"/>
      <c r="I269" s="1377"/>
      <c r="J269" s="322"/>
      <c r="K269" s="370"/>
      <c r="L269" s="387"/>
      <c r="M269" s="387"/>
      <c r="N269" s="1418"/>
      <c r="O269" s="1337"/>
      <c r="P269" s="322"/>
      <c r="Q269" s="261"/>
      <c r="R269" s="261"/>
      <c r="S269" s="1418"/>
      <c r="T269" s="1418"/>
      <c r="U269" s="1418"/>
    </row>
    <row r="270" spans="3:31" x14ac:dyDescent="0.25">
      <c r="C270" s="168" t="s">
        <v>605</v>
      </c>
      <c r="D270" s="168"/>
      <c r="E270" s="168"/>
      <c r="F270" s="965">
        <f>F102</f>
        <v>33.006559611206001</v>
      </c>
      <c r="G270" s="263">
        <f t="shared" ref="G270:U270" si="280">G102</f>
        <v>31.93012387952475</v>
      </c>
      <c r="H270" s="263">
        <f t="shared" si="280"/>
        <v>31.386821983251117</v>
      </c>
      <c r="I270" s="1389">
        <f t="shared" si="280"/>
        <v>31.409112218375402</v>
      </c>
      <c r="J270" s="965">
        <f t="shared" si="280"/>
        <v>15.555761488371354</v>
      </c>
      <c r="K270" s="263">
        <f t="shared" si="280"/>
        <v>17.421760635630022</v>
      </c>
      <c r="L270" s="263">
        <f t="shared" si="280"/>
        <v>18.980726674177717</v>
      </c>
      <c r="M270" s="263">
        <f t="shared" si="280"/>
        <v>17.615055616150762</v>
      </c>
      <c r="N270" s="1441">
        <f t="shared" si="280"/>
        <v>17.497397801920744</v>
      </c>
      <c r="O270" s="1389">
        <f t="shared" si="280"/>
        <v>17.732713430380773</v>
      </c>
      <c r="P270" s="965">
        <f t="shared" si="280"/>
        <v>18.024200147071664</v>
      </c>
      <c r="Q270" s="263">
        <f t="shared" si="280"/>
        <v>18.113156246504921</v>
      </c>
      <c r="R270" s="263">
        <f t="shared" si="280"/>
        <v>19.015425255042231</v>
      </c>
      <c r="S270" s="1441">
        <f t="shared" si="280"/>
        <v>18.172460312793756</v>
      </c>
      <c r="T270" s="1441">
        <f t="shared" si="280"/>
        <v>17.622309197846416</v>
      </c>
      <c r="U270" s="1389">
        <f t="shared" si="280"/>
        <v>18.001716737324799</v>
      </c>
    </row>
    <row r="271" spans="3:31" x14ac:dyDescent="0.25">
      <c r="C271" s="168" t="s">
        <v>606</v>
      </c>
      <c r="D271" s="168"/>
      <c r="E271" s="168"/>
      <c r="F271" s="965">
        <f>X102+AP102+BH102+SUM(CA124:CA129)+SUM(CS124:CS129)</f>
        <v>36.554816330391922</v>
      </c>
      <c r="G271" s="556">
        <f>Y102+AQ102+BI102+SUM(CB124:CB129)+SUM(CT124:CT129)</f>
        <v>33.02409641449681</v>
      </c>
      <c r="H271" s="556">
        <f>Z102+AR102+BJ102+SUM(CC124:CC129)+SUM(CU124:CU129)</f>
        <v>34.664952290837462</v>
      </c>
      <c r="I271" s="1390">
        <f>AA102+AS102+BK102+SUM(CD124:CD129)+SUM(CV124:CV129)</f>
        <v>34.346406786107224</v>
      </c>
      <c r="J271" s="965">
        <f t="shared" ref="J271:U271" si="281">AB102+AT102+BL102+SUM(CE124:CE129)+SUM(CW124:CW129)</f>
        <v>20.485836389443719</v>
      </c>
      <c r="K271" s="556">
        <f t="shared" si="281"/>
        <v>19.009849755060483</v>
      </c>
      <c r="L271" s="556">
        <f t="shared" si="281"/>
        <v>21.553553332058247</v>
      </c>
      <c r="M271" s="556">
        <f t="shared" si="281"/>
        <v>19.796735236716071</v>
      </c>
      <c r="N271" s="1441">
        <f t="shared" si="281"/>
        <v>19.803714411628039</v>
      </c>
      <c r="O271" s="1391">
        <f t="shared" si="281"/>
        <v>19.388987569591556</v>
      </c>
      <c r="P271" s="965">
        <f t="shared" si="281"/>
        <v>19.742280644300056</v>
      </c>
      <c r="Q271" s="263">
        <f t="shared" si="281"/>
        <v>20.208810707491814</v>
      </c>
      <c r="R271" s="263">
        <f t="shared" si="281"/>
        <v>21.614917942752047</v>
      </c>
      <c r="S271" s="1441">
        <f t="shared" si="281"/>
        <v>20.487603731366097</v>
      </c>
      <c r="T271" s="1441">
        <f t="shared" si="281"/>
        <v>20.489758263077896</v>
      </c>
      <c r="U271" s="1389">
        <f t="shared" si="281"/>
        <v>18.07524758879136</v>
      </c>
    </row>
    <row r="272" spans="3:31" x14ac:dyDescent="0.25">
      <c r="C272" s="168" t="s">
        <v>629</v>
      </c>
      <c r="D272" s="168"/>
      <c r="E272" s="168"/>
      <c r="F272" s="965">
        <f>F271-F270</f>
        <v>3.5482567191859218</v>
      </c>
      <c r="G272" s="263">
        <f t="shared" ref="G272:U272" si="282">G271-G270</f>
        <v>1.0939725349720604</v>
      </c>
      <c r="H272" s="263">
        <f t="shared" si="282"/>
        <v>3.2781303075863448</v>
      </c>
      <c r="I272" s="1391">
        <f t="shared" si="282"/>
        <v>2.9372945677318221</v>
      </c>
      <c r="J272" s="965">
        <f t="shared" si="282"/>
        <v>4.9300749010723646</v>
      </c>
      <c r="K272" s="263">
        <f t="shared" si="282"/>
        <v>1.5880891194304603</v>
      </c>
      <c r="L272" s="263">
        <f t="shared" si="282"/>
        <v>2.5728266578805297</v>
      </c>
      <c r="M272" s="263">
        <f t="shared" si="282"/>
        <v>2.1816796205653084</v>
      </c>
      <c r="N272" s="1441">
        <f t="shared" si="282"/>
        <v>2.3063166097072951</v>
      </c>
      <c r="O272" s="1391">
        <f t="shared" si="282"/>
        <v>1.6562741392107831</v>
      </c>
      <c r="P272" s="965">
        <f t="shared" si="282"/>
        <v>1.7180804972283923</v>
      </c>
      <c r="Q272" s="263">
        <f t="shared" si="282"/>
        <v>2.0956544609868928</v>
      </c>
      <c r="R272" s="263">
        <f t="shared" si="282"/>
        <v>2.5994926877098159</v>
      </c>
      <c r="S272" s="1441">
        <f t="shared" si="282"/>
        <v>2.3151434185723403</v>
      </c>
      <c r="T272" s="1441">
        <f t="shared" si="282"/>
        <v>2.8674490652314795</v>
      </c>
      <c r="U272" s="1391">
        <f t="shared" si="282"/>
        <v>7.3530851466561131E-2</v>
      </c>
    </row>
    <row r="273" spans="3:21" x14ac:dyDescent="0.25">
      <c r="C273" s="168" t="s">
        <v>607</v>
      </c>
      <c r="D273" s="168"/>
      <c r="E273" s="168"/>
      <c r="F273" s="966">
        <f>F272/F$137</f>
        <v>3.6018819421594102</v>
      </c>
      <c r="G273" s="256">
        <f t="shared" ref="G273:U273" si="283">G272/G$137</f>
        <v>1.1234921777375451</v>
      </c>
      <c r="H273" s="256">
        <f t="shared" si="283"/>
        <v>3.2959491323316339</v>
      </c>
      <c r="I273" s="1392">
        <f t="shared" si="283"/>
        <v>3.0844549482071142</v>
      </c>
      <c r="J273" s="966">
        <f t="shared" si="283"/>
        <v>4.5441084997803696</v>
      </c>
      <c r="K273" s="256">
        <f t="shared" si="283"/>
        <v>1.6880508410153023</v>
      </c>
      <c r="L273" s="256">
        <f t="shared" si="283"/>
        <v>2.6780180122255408</v>
      </c>
      <c r="M273" s="256">
        <f t="shared" si="283"/>
        <v>2.2706562802405545</v>
      </c>
      <c r="N273" s="1413">
        <f t="shared" si="283"/>
        <v>2.3733769169311798</v>
      </c>
      <c r="O273" s="1392">
        <f t="shared" si="283"/>
        <v>1.7416714997645151</v>
      </c>
      <c r="P273" s="966">
        <f t="shared" si="283"/>
        <v>1.8197369152760976</v>
      </c>
      <c r="Q273" s="256">
        <f t="shared" si="283"/>
        <v>2.2277488714954066</v>
      </c>
      <c r="R273" s="256">
        <f t="shared" si="283"/>
        <v>2.7216566716244697</v>
      </c>
      <c r="S273" s="1413">
        <f t="shared" si="283"/>
        <v>2.4685200780290781</v>
      </c>
      <c r="T273" s="1413">
        <f t="shared" si="283"/>
        <v>2.9427260020949095</v>
      </c>
      <c r="U273" s="1392">
        <f t="shared" si="283"/>
        <v>8.7101495061906745E-2</v>
      </c>
    </row>
    <row r="274" spans="3:21" x14ac:dyDescent="0.25">
      <c r="C274" s="168" t="s">
        <v>608</v>
      </c>
      <c r="D274" s="168"/>
      <c r="E274" s="168"/>
      <c r="F274" s="966">
        <f>F273*2</f>
        <v>7.2037638843188203</v>
      </c>
      <c r="G274" s="256">
        <f t="shared" ref="G274:U274" si="284">G273*2</f>
        <v>2.2469843554750901</v>
      </c>
      <c r="H274" s="256">
        <f t="shared" si="284"/>
        <v>6.5918982646632678</v>
      </c>
      <c r="I274" s="1390">
        <f t="shared" si="284"/>
        <v>6.1689098964142284</v>
      </c>
      <c r="J274" s="966">
        <f t="shared" si="284"/>
        <v>9.0882169995607391</v>
      </c>
      <c r="K274" s="256">
        <f t="shared" si="284"/>
        <v>3.3761016820306047</v>
      </c>
      <c r="L274" s="256">
        <f t="shared" si="284"/>
        <v>5.3560360244510816</v>
      </c>
      <c r="M274" s="256">
        <f t="shared" si="284"/>
        <v>4.5413125604811091</v>
      </c>
      <c r="N274" s="1413">
        <f t="shared" si="284"/>
        <v>4.7467538338623596</v>
      </c>
      <c r="O274" s="1390">
        <f t="shared" si="284"/>
        <v>3.4833429995290301</v>
      </c>
      <c r="P274" s="256">
        <f t="shared" si="284"/>
        <v>3.6394738305521952</v>
      </c>
      <c r="Q274" s="256">
        <f t="shared" si="284"/>
        <v>4.4554977429908131</v>
      </c>
      <c r="R274" s="256">
        <f t="shared" si="284"/>
        <v>5.4433133432489393</v>
      </c>
      <c r="S274" s="1413">
        <f t="shared" si="284"/>
        <v>4.9370401560581563</v>
      </c>
      <c r="T274" s="1413">
        <f t="shared" si="284"/>
        <v>5.8854520041898191</v>
      </c>
      <c r="U274" s="1390">
        <f t="shared" si="284"/>
        <v>0.17420299012381349</v>
      </c>
    </row>
    <row r="275" spans="3:21" x14ac:dyDescent="0.25">
      <c r="C275" s="168" t="s">
        <v>609</v>
      </c>
      <c r="D275" s="168"/>
      <c r="E275" s="168"/>
      <c r="F275" s="966">
        <f>0.082*(F274/2)*(273.15+15)</f>
        <v>85.10634709392518</v>
      </c>
      <c r="G275" s="256">
        <f t="shared" ref="G275:U275" si="285">0.082*(G274/2)*(273.15+15)</f>
        <v>26.546210223236034</v>
      </c>
      <c r="H275" s="256">
        <f t="shared" si="285"/>
        <v>77.877674883471542</v>
      </c>
      <c r="I275" s="1390">
        <f t="shared" si="285"/>
        <v>72.880426852722152</v>
      </c>
      <c r="J275" s="966">
        <f t="shared" si="285"/>
        <v>107.3695588653605</v>
      </c>
      <c r="K275" s="256">
        <f t="shared" si="285"/>
        <v>39.885771686761863</v>
      </c>
      <c r="L275" s="256">
        <f t="shared" si="285"/>
        <v>63.277012998268745</v>
      </c>
      <c r="M275" s="256">
        <f t="shared" si="285"/>
        <v>53.651747786407896</v>
      </c>
      <c r="N275" s="1413">
        <f t="shared" si="285"/>
        <v>56.078861806324994</v>
      </c>
      <c r="O275" s="1390">
        <f t="shared" si="285"/>
        <v>41.152736697885892</v>
      </c>
      <c r="P275" s="966">
        <f t="shared" si="285"/>
        <v>42.997289755218219</v>
      </c>
      <c r="Q275" s="256">
        <f t="shared" si="285"/>
        <v>52.637918660354913</v>
      </c>
      <c r="R275" s="256">
        <f t="shared" si="285"/>
        <v>64.308120334144462</v>
      </c>
      <c r="S275" s="1413">
        <f t="shared" si="285"/>
        <v>58.326932959694467</v>
      </c>
      <c r="T275" s="1413">
        <f t="shared" si="285"/>
        <v>69.531612795299154</v>
      </c>
      <c r="U275" s="1390">
        <f t="shared" si="285"/>
        <v>2.0580602557712511</v>
      </c>
    </row>
    <row r="276" spans="3:21" x14ac:dyDescent="0.25">
      <c r="C276" s="168" t="s">
        <v>610</v>
      </c>
      <c r="D276" s="168"/>
      <c r="E276" s="168"/>
      <c r="F276" s="966">
        <f>F275/28.317</f>
        <v>3.0054860011274211</v>
      </c>
      <c r="G276" s="256">
        <f t="shared" ref="G276:U276" si="286">G275/28.317</f>
        <v>0.93746548798375651</v>
      </c>
      <c r="H276" s="256">
        <f t="shared" si="286"/>
        <v>2.7502092341516242</v>
      </c>
      <c r="I276" s="1392">
        <f t="shared" si="286"/>
        <v>2.5737340414846965</v>
      </c>
      <c r="J276" s="966">
        <f t="shared" si="286"/>
        <v>3.7916996456319705</v>
      </c>
      <c r="K276" s="256">
        <f t="shared" si="286"/>
        <v>1.4085451031804874</v>
      </c>
      <c r="L276" s="256">
        <f t="shared" si="286"/>
        <v>2.2345945191322789</v>
      </c>
      <c r="M276" s="256">
        <f t="shared" si="286"/>
        <v>1.8946833275561639</v>
      </c>
      <c r="N276" s="1413">
        <f t="shared" si="286"/>
        <v>1.9803955859139384</v>
      </c>
      <c r="O276" s="1392">
        <f t="shared" si="286"/>
        <v>1.4532873079028814</v>
      </c>
      <c r="P276" s="966">
        <f t="shared" si="286"/>
        <v>1.5184267314764353</v>
      </c>
      <c r="Q276" s="256">
        <f t="shared" si="286"/>
        <v>1.8588804838208466</v>
      </c>
      <c r="R276" s="256">
        <f t="shared" si="286"/>
        <v>2.2710075337833975</v>
      </c>
      <c r="S276" s="1413">
        <f t="shared" si="286"/>
        <v>2.0597850393648502</v>
      </c>
      <c r="T276" s="1413">
        <f t="shared" si="286"/>
        <v>2.4554724298230446</v>
      </c>
      <c r="U276" s="1392">
        <f t="shared" si="286"/>
        <v>7.2679318281288666E-2</v>
      </c>
    </row>
    <row r="277" spans="3:21" x14ac:dyDescent="0.25">
      <c r="C277" s="168" t="s">
        <v>611</v>
      </c>
      <c r="D277" s="168"/>
      <c r="E277" s="168"/>
      <c r="F277" s="966">
        <f>(F59/F62)/158.99/1000</f>
        <v>2.0360560600582553E-3</v>
      </c>
      <c r="G277" s="256">
        <f t="shared" ref="G277:U277" si="287">(G59/G62)/158.99/1000</f>
        <v>1.9696546077236483E-3</v>
      </c>
      <c r="H277" s="256">
        <f t="shared" si="287"/>
        <v>1.9361402659873615E-3</v>
      </c>
      <c r="I277" s="1392">
        <f t="shared" si="287"/>
        <v>1.9375152704967538E-3</v>
      </c>
      <c r="J277" s="966">
        <f t="shared" si="287"/>
        <v>9.505638143598367E-4</v>
      </c>
      <c r="K277" s="256">
        <f t="shared" si="287"/>
        <v>1.0645891719957431E-3</v>
      </c>
      <c r="L277" s="256">
        <f t="shared" si="287"/>
        <v>1.1598526989640065E-3</v>
      </c>
      <c r="M277" s="256">
        <f t="shared" si="287"/>
        <v>1.0764008222397866E-3</v>
      </c>
      <c r="N277" s="1413">
        <f t="shared" si="287"/>
        <v>1.0692111220912382E-3</v>
      </c>
      <c r="O277" s="1392">
        <f t="shared" si="287"/>
        <v>1.0835905223883346E-3</v>
      </c>
      <c r="P277" s="966">
        <f t="shared" si="287"/>
        <v>1.0966966961982387E-3</v>
      </c>
      <c r="Q277" s="256">
        <f t="shared" si="287"/>
        <v>1.1021093003392877E-3</v>
      </c>
      <c r="R277" s="256">
        <f t="shared" si="287"/>
        <v>1.1570085709127834E-3</v>
      </c>
      <c r="S277" s="1413">
        <f t="shared" si="287"/>
        <v>1.1057177030999869E-3</v>
      </c>
      <c r="T277" s="1413">
        <f t="shared" si="287"/>
        <v>1.0722433239181428E-3</v>
      </c>
      <c r="U277" s="1392">
        <f t="shared" si="287"/>
        <v>1.0953286753713799E-3</v>
      </c>
    </row>
    <row r="278" spans="3:21" x14ac:dyDescent="0.25">
      <c r="C278" s="168" t="s">
        <v>612</v>
      </c>
      <c r="D278" s="168"/>
      <c r="E278" s="168"/>
      <c r="F278" s="966">
        <f>F276/F277</f>
        <v>1476.1312618481775</v>
      </c>
      <c r="G278" s="256">
        <f t="shared" ref="G278:U278" si="288">G276/G277</f>
        <v>475.95425325214546</v>
      </c>
      <c r="H278" s="256">
        <f t="shared" si="288"/>
        <v>1420.4597065952332</v>
      </c>
      <c r="I278" s="1392">
        <f t="shared" si="288"/>
        <v>1328.3683905236135</v>
      </c>
      <c r="J278" s="966">
        <f t="shared" si="288"/>
        <v>3988.8954201202314</v>
      </c>
      <c r="K278" s="256">
        <f t="shared" si="288"/>
        <v>1323.0879481330285</v>
      </c>
      <c r="L278" s="256">
        <f t="shared" si="288"/>
        <v>1926.6192346047424</v>
      </c>
      <c r="M278" s="256">
        <f t="shared" si="288"/>
        <v>1760.2024156890609</v>
      </c>
      <c r="N278" s="1413">
        <f t="shared" si="288"/>
        <v>1852.2025678525881</v>
      </c>
      <c r="O278" s="1392">
        <f t="shared" si="288"/>
        <v>1341.1775738862136</v>
      </c>
      <c r="P278" s="966">
        <f t="shared" si="288"/>
        <v>1384.5457333282279</v>
      </c>
      <c r="Q278" s="256">
        <f t="shared" si="288"/>
        <v>1686.6571067393993</v>
      </c>
      <c r="R278" s="256">
        <f t="shared" si="288"/>
        <v>1962.8268889933647</v>
      </c>
      <c r="S278" s="1413">
        <f t="shared" si="288"/>
        <v>1862.8489293334483</v>
      </c>
      <c r="T278" s="1413">
        <f t="shared" si="288"/>
        <v>2290.0328452038002</v>
      </c>
      <c r="U278" s="1392">
        <f t="shared" si="288"/>
        <v>66.353889855614497</v>
      </c>
    </row>
    <row r="279" spans="3:21" x14ac:dyDescent="0.25">
      <c r="C279" s="168" t="s">
        <v>613</v>
      </c>
      <c r="D279" s="168"/>
      <c r="E279" s="168"/>
      <c r="F279" s="966"/>
      <c r="G279" s="967">
        <f>AVERAGE(F278:I278)</f>
        <v>1175.2284030547926</v>
      </c>
      <c r="H279" s="967"/>
      <c r="I279" s="1390"/>
      <c r="J279" s="966"/>
      <c r="K279" s="968">
        <f>AVERAGE(K278:O278)</f>
        <v>1640.6579480331268</v>
      </c>
      <c r="L279" s="967"/>
      <c r="M279" s="967"/>
      <c r="N279" s="1392"/>
      <c r="O279" s="1390"/>
      <c r="P279" s="966"/>
      <c r="Q279" s="967"/>
      <c r="R279" s="1256">
        <f>AVERAGE(P278:T278)</f>
        <v>1837.3823007196479</v>
      </c>
      <c r="S279" s="1392"/>
      <c r="T279" s="1392"/>
      <c r="U279" s="1392"/>
    </row>
    <row r="280" spans="3:21" x14ac:dyDescent="0.25">
      <c r="C280" s="168" t="s">
        <v>845</v>
      </c>
      <c r="D280" s="168"/>
      <c r="E280" s="168"/>
      <c r="F280" s="321"/>
      <c r="G280" s="967">
        <v>1041</v>
      </c>
      <c r="H280" s="967"/>
      <c r="I280" s="1390"/>
      <c r="J280" s="321"/>
      <c r="K280" s="967">
        <v>1605</v>
      </c>
      <c r="L280" s="967"/>
      <c r="M280" s="967"/>
      <c r="N280" s="1392"/>
      <c r="O280" s="1390"/>
      <c r="P280" s="321"/>
      <c r="Q280" s="967"/>
      <c r="R280" s="967">
        <v>1334</v>
      </c>
      <c r="S280" s="1392"/>
      <c r="T280" s="1392"/>
      <c r="U280" s="1392"/>
    </row>
    <row r="281" spans="3:21" x14ac:dyDescent="0.25">
      <c r="C281" s="168"/>
      <c r="D281" s="168"/>
      <c r="E281" s="168"/>
      <c r="F281" s="321"/>
      <c r="G281" s="256"/>
      <c r="H281" s="256"/>
      <c r="I281" s="1331"/>
      <c r="J281" s="321"/>
      <c r="K281" s="828"/>
      <c r="L281" s="256"/>
      <c r="M281" s="256"/>
      <c r="N281" s="1413"/>
      <c r="O281" s="1331"/>
      <c r="P281" s="321"/>
      <c r="Q281" s="256"/>
      <c r="R281" s="256"/>
      <c r="S281" s="1413"/>
      <c r="T281" s="1418"/>
      <c r="U281" s="1413"/>
    </row>
    <row r="282" spans="3:21" x14ac:dyDescent="0.25">
      <c r="F282" s="321"/>
      <c r="G282" s="256"/>
      <c r="H282" s="256"/>
      <c r="I282" s="1331"/>
      <c r="J282" s="321"/>
      <c r="K282" s="828"/>
      <c r="L282" s="256"/>
      <c r="M282" s="256"/>
      <c r="N282" s="1413"/>
      <c r="O282" s="1331"/>
      <c r="P282" s="321"/>
      <c r="Q282" s="256"/>
      <c r="R282" s="256"/>
      <c r="S282" s="1413"/>
      <c r="T282" s="1413"/>
      <c r="U282" s="1413"/>
    </row>
    <row r="283" spans="3:21" x14ac:dyDescent="0.25">
      <c r="C283" s="168"/>
      <c r="D283" s="168"/>
      <c r="E283" s="168"/>
      <c r="G283" s="279"/>
      <c r="H283" s="279"/>
      <c r="I283" s="1387"/>
      <c r="J283" s="330"/>
      <c r="K283" s="279"/>
      <c r="L283" s="279"/>
      <c r="M283" s="279"/>
      <c r="N283" s="1465"/>
      <c r="O283" s="1387"/>
      <c r="P283" s="330"/>
      <c r="Q283" s="279"/>
      <c r="R283" s="279"/>
      <c r="S283" s="1465"/>
      <c r="T283" s="1465"/>
      <c r="U283" s="1465"/>
    </row>
    <row r="284" spans="3:21" x14ac:dyDescent="0.25">
      <c r="D284"/>
      <c r="E284"/>
      <c r="G284" s="280"/>
      <c r="H284" s="280"/>
      <c r="I284" s="1393"/>
      <c r="J284" s="334"/>
      <c r="T284" s="1467"/>
      <c r="U284" s="1467"/>
    </row>
    <row r="285" spans="3:21" x14ac:dyDescent="0.25">
      <c r="C285"/>
      <c r="D285"/>
      <c r="E285"/>
      <c r="G285" s="280"/>
      <c r="H285" s="280"/>
      <c r="I285" s="1393"/>
      <c r="J285" s="334"/>
      <c r="K285" s="280"/>
      <c r="L285" s="280"/>
      <c r="M285" s="280"/>
      <c r="N285" s="1467"/>
      <c r="O285" s="1393"/>
      <c r="P285" s="334"/>
      <c r="Q285" s="280"/>
      <c r="R285" s="280"/>
      <c r="S285" s="1467"/>
      <c r="T285" s="1467"/>
      <c r="U285" s="1467"/>
    </row>
    <row r="286" spans="3:21" x14ac:dyDescent="0.25">
      <c r="C286"/>
      <c r="D286"/>
      <c r="E286"/>
      <c r="G286" s="280"/>
      <c r="H286" s="280"/>
      <c r="I286" s="1393"/>
      <c r="J286" s="334"/>
      <c r="L286" s="280"/>
      <c r="M286" s="280"/>
      <c r="N286" s="1467"/>
      <c r="O286" s="1393"/>
      <c r="P286" s="334"/>
      <c r="Q286" s="280"/>
      <c r="S286" s="1467"/>
      <c r="T286" s="1467"/>
      <c r="U286" s="1467"/>
    </row>
    <row r="287" spans="3:21" x14ac:dyDescent="0.25">
      <c r="C287"/>
      <c r="D287"/>
      <c r="E287"/>
      <c r="G287" s="279"/>
      <c r="H287" s="279"/>
      <c r="I287" s="1387"/>
      <c r="J287" s="330"/>
      <c r="K287" s="279"/>
      <c r="L287" s="279"/>
      <c r="M287" s="279"/>
      <c r="N287" s="1465"/>
      <c r="O287" s="1387"/>
      <c r="P287" s="330"/>
      <c r="Q287" s="279"/>
      <c r="R287" s="279"/>
      <c r="S287" s="1465"/>
      <c r="T287" s="1465"/>
      <c r="U287" s="1465"/>
    </row>
    <row r="288" spans="3:21" x14ac:dyDescent="0.25">
      <c r="C288"/>
      <c r="D288"/>
      <c r="E288"/>
      <c r="G288" s="279"/>
      <c r="H288" s="279"/>
      <c r="I288" s="1387"/>
      <c r="J288" s="330"/>
      <c r="K288" s="279"/>
      <c r="L288" s="279"/>
      <c r="M288" s="279"/>
      <c r="N288" s="1465"/>
      <c r="O288" s="1387"/>
      <c r="P288" s="330"/>
      <c r="Q288" s="279"/>
      <c r="R288" s="279"/>
      <c r="S288" s="1465"/>
      <c r="T288" s="1465"/>
      <c r="U288" s="1465"/>
    </row>
    <row r="289" spans="3:21" x14ac:dyDescent="0.25">
      <c r="C289"/>
      <c r="D289"/>
      <c r="E289"/>
      <c r="G289" s="279"/>
      <c r="H289" s="279"/>
      <c r="I289" s="1387"/>
      <c r="J289" s="330"/>
      <c r="K289" s="279"/>
      <c r="L289" s="279"/>
      <c r="M289" s="279"/>
      <c r="N289" s="1465"/>
      <c r="O289" s="1387"/>
      <c r="P289" s="330"/>
      <c r="Q289" s="279"/>
      <c r="R289" s="279"/>
      <c r="S289" s="1465"/>
      <c r="T289" s="1465"/>
      <c r="U289" s="1465"/>
    </row>
    <row r="290" spans="3:21" x14ac:dyDescent="0.25">
      <c r="C290"/>
      <c r="D290"/>
      <c r="E290"/>
      <c r="G290" s="279"/>
      <c r="H290" s="279"/>
      <c r="I290" s="1387"/>
      <c r="J290" s="330"/>
      <c r="K290" s="279"/>
      <c r="L290" s="279"/>
      <c r="M290" s="279"/>
      <c r="N290" s="1465"/>
      <c r="O290" s="1387"/>
      <c r="P290" s="330"/>
      <c r="Q290" s="279"/>
      <c r="R290" s="279"/>
      <c r="S290" s="1465"/>
      <c r="T290" s="1465"/>
      <c r="U290" s="1465"/>
    </row>
    <row r="293" spans="3:21" x14ac:dyDescent="0.25">
      <c r="H293" s="279"/>
      <c r="K293" s="279"/>
    </row>
  </sheetData>
  <mergeCells count="56">
    <mergeCell ref="AZ2:BA2"/>
    <mergeCell ref="BH2:BI2"/>
    <mergeCell ref="BL2:BM2"/>
    <mergeCell ref="BR2:BS2"/>
    <mergeCell ref="CS3:CT3"/>
    <mergeCell ref="CS2:CT2"/>
    <mergeCell ref="F2:G2"/>
    <mergeCell ref="J2:K2"/>
    <mergeCell ref="P2:Q2"/>
    <mergeCell ref="AT2:AU2"/>
    <mergeCell ref="F7:I7"/>
    <mergeCell ref="J7:O7"/>
    <mergeCell ref="P7:U7"/>
    <mergeCell ref="AP7:AS7"/>
    <mergeCell ref="AT7:AY7"/>
    <mergeCell ref="X7:AA7"/>
    <mergeCell ref="AB7:AG7"/>
    <mergeCell ref="AH7:AL7"/>
    <mergeCell ref="AZ7:BE7"/>
    <mergeCell ref="BH7:BK7"/>
    <mergeCell ref="BL7:BQ7"/>
    <mergeCell ref="BR7:BW7"/>
    <mergeCell ref="CA7:CD7"/>
    <mergeCell ref="CE7:CI7"/>
    <mergeCell ref="CK7:CQ7"/>
    <mergeCell ref="CS7:CV7"/>
    <mergeCell ref="DC53:DH53"/>
    <mergeCell ref="BL53:BQ53"/>
    <mergeCell ref="BR53:BW53"/>
    <mergeCell ref="CA53:CD53"/>
    <mergeCell ref="CE53:CJ53"/>
    <mergeCell ref="CK53:CP53"/>
    <mergeCell ref="CW7:DB7"/>
    <mergeCell ref="DC7:DH7"/>
    <mergeCell ref="CS53:CV53"/>
    <mergeCell ref="CW44:DA44"/>
    <mergeCell ref="CS44:CV44"/>
    <mergeCell ref="DC44:DH44"/>
    <mergeCell ref="CS105:DB105"/>
    <mergeCell ref="F53:I53"/>
    <mergeCell ref="J53:O53"/>
    <mergeCell ref="P53:U53"/>
    <mergeCell ref="AP53:AS53"/>
    <mergeCell ref="AT53:AY53"/>
    <mergeCell ref="AZ53:BE53"/>
    <mergeCell ref="BH53:BK53"/>
    <mergeCell ref="CW53:DB53"/>
    <mergeCell ref="X53:AA53"/>
    <mergeCell ref="AB53:AG53"/>
    <mergeCell ref="AH53:AM53"/>
    <mergeCell ref="CA115:CD115"/>
    <mergeCell ref="CE115:CJ115"/>
    <mergeCell ref="CK115:CP115"/>
    <mergeCell ref="CW115:DB115"/>
    <mergeCell ref="DC115:DG115"/>
    <mergeCell ref="CS115:CV115"/>
  </mergeCells>
  <phoneticPr fontId="29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C59F-7C8B-4369-9F51-80EA1A9C96DE}">
  <dimension ref="G46:BX51"/>
  <sheetViews>
    <sheetView zoomScale="42" zoomScaleNormal="70" zoomScaleSheetLayoutView="68" zoomScalePageLayoutView="63" workbookViewId="0">
      <selection activeCell="W46" sqref="W46"/>
    </sheetView>
  </sheetViews>
  <sheetFormatPr defaultColWidth="8.85546875" defaultRowHeight="15" x14ac:dyDescent="0.25"/>
  <cols>
    <col min="1" max="16384" width="8.85546875" style="142"/>
  </cols>
  <sheetData>
    <row r="46" spans="7:76" x14ac:dyDescent="0.25">
      <c r="BW46" s="142">
        <v>8.5</v>
      </c>
      <c r="BX46" s="142">
        <v>-5</v>
      </c>
    </row>
    <row r="47" spans="7:76" x14ac:dyDescent="0.25">
      <c r="G47" s="142">
        <v>4.5</v>
      </c>
      <c r="H47" s="142">
        <v>-5</v>
      </c>
      <c r="AA47" s="142">
        <v>8.5</v>
      </c>
      <c r="AB47" s="142">
        <v>-5</v>
      </c>
      <c r="AZ47" s="142">
        <v>8.5</v>
      </c>
      <c r="BA47" s="142">
        <v>-5</v>
      </c>
      <c r="BW47" s="142">
        <v>8.5</v>
      </c>
      <c r="BX47" s="142">
        <v>150</v>
      </c>
    </row>
    <row r="48" spans="7:76" x14ac:dyDescent="0.25">
      <c r="G48" s="142">
        <v>4.5</v>
      </c>
      <c r="H48" s="142">
        <v>150</v>
      </c>
      <c r="AA48" s="142">
        <v>8.5</v>
      </c>
      <c r="AB48" s="142">
        <v>150</v>
      </c>
      <c r="AZ48" s="142">
        <v>8.5</v>
      </c>
      <c r="BA48" s="142">
        <v>150</v>
      </c>
    </row>
    <row r="49" spans="7:76" x14ac:dyDescent="0.25">
      <c r="BW49" s="142">
        <v>21</v>
      </c>
      <c r="BX49" s="142">
        <v>-5</v>
      </c>
    </row>
    <row r="50" spans="7:76" x14ac:dyDescent="0.25">
      <c r="G50" s="142">
        <v>10.5</v>
      </c>
      <c r="H50" s="142">
        <v>-5</v>
      </c>
      <c r="AA50" s="142">
        <v>21</v>
      </c>
      <c r="AB50" s="142">
        <v>-5</v>
      </c>
      <c r="AZ50" s="142">
        <v>21</v>
      </c>
      <c r="BA50" s="142">
        <v>-5</v>
      </c>
      <c r="BW50" s="142">
        <v>21</v>
      </c>
      <c r="BX50" s="142">
        <v>150</v>
      </c>
    </row>
    <row r="51" spans="7:76" x14ac:dyDescent="0.25">
      <c r="G51" s="142">
        <v>10.5</v>
      </c>
      <c r="H51" s="142">
        <v>150</v>
      </c>
      <c r="AA51" s="142">
        <v>21</v>
      </c>
      <c r="AB51" s="142">
        <v>150</v>
      </c>
      <c r="AZ51" s="142">
        <v>21</v>
      </c>
      <c r="BA51" s="142">
        <v>150</v>
      </c>
    </row>
  </sheetData>
  <pageMargins left="0.7" right="0.7" top="0.75" bottom="0.75" header="0.3" footer="0.3"/>
  <pageSetup paperSize="9" scale="72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6E8A-AD18-4962-BD34-54FC934407A3}">
  <dimension ref="H51:AM57"/>
  <sheetViews>
    <sheetView topLeftCell="B8" zoomScale="58" zoomScaleNormal="45" workbookViewId="0">
      <selection activeCell="AY26" sqref="AY26"/>
    </sheetView>
  </sheetViews>
  <sheetFormatPr defaultRowHeight="15" x14ac:dyDescent="0.25"/>
  <sheetData>
    <row r="51" spans="8:39" x14ac:dyDescent="0.25">
      <c r="AL51">
        <v>4.5</v>
      </c>
      <c r="AM51">
        <v>250</v>
      </c>
    </row>
    <row r="52" spans="8:39" x14ac:dyDescent="0.25">
      <c r="V52">
        <v>10.5</v>
      </c>
      <c r="W52">
        <v>0</v>
      </c>
      <c r="AL52">
        <v>4.5</v>
      </c>
      <c r="AM52">
        <v>20</v>
      </c>
    </row>
    <row r="53" spans="8:39" x14ac:dyDescent="0.25">
      <c r="H53" t="s">
        <v>545</v>
      </c>
      <c r="I53">
        <v>4.5</v>
      </c>
      <c r="J53">
        <v>0</v>
      </c>
      <c r="V53">
        <v>10.5</v>
      </c>
      <c r="W53">
        <v>1000</v>
      </c>
    </row>
    <row r="54" spans="8:39" x14ac:dyDescent="0.25">
      <c r="I54">
        <v>4.5</v>
      </c>
      <c r="J54">
        <v>1</v>
      </c>
      <c r="AL54">
        <v>10.5</v>
      </c>
      <c r="AM54">
        <v>250</v>
      </c>
    </row>
    <row r="55" spans="8:39" x14ac:dyDescent="0.25">
      <c r="AL55">
        <v>10.5</v>
      </c>
      <c r="AM55">
        <v>20</v>
      </c>
    </row>
    <row r="56" spans="8:39" x14ac:dyDescent="0.25">
      <c r="I56">
        <v>10.5</v>
      </c>
      <c r="J56">
        <v>0</v>
      </c>
    </row>
    <row r="57" spans="8:39" x14ac:dyDescent="0.25">
      <c r="I57">
        <v>10.5</v>
      </c>
      <c r="J57"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3E69-E4BE-4682-AB0A-D64F67302174}">
  <dimension ref="I2:X53"/>
  <sheetViews>
    <sheetView topLeftCell="P7" zoomScale="61" zoomScaleNormal="56" workbookViewId="0">
      <selection activeCell="W35" sqref="W35"/>
    </sheetView>
  </sheetViews>
  <sheetFormatPr defaultRowHeight="15" x14ac:dyDescent="0.25"/>
  <sheetData>
    <row r="2" spans="22:24" x14ac:dyDescent="0.25">
      <c r="V2" t="s">
        <v>549</v>
      </c>
    </row>
    <row r="3" spans="22:24" x14ac:dyDescent="0.25">
      <c r="W3" t="s">
        <v>555</v>
      </c>
      <c r="X3" t="s">
        <v>556</v>
      </c>
    </row>
    <row r="4" spans="22:24" x14ac:dyDescent="0.25">
      <c r="V4" t="s">
        <v>550</v>
      </c>
      <c r="W4">
        <v>55</v>
      </c>
      <c r="X4">
        <v>55</v>
      </c>
    </row>
    <row r="5" spans="22:24" x14ac:dyDescent="0.25">
      <c r="V5" t="s">
        <v>551</v>
      </c>
      <c r="W5">
        <v>25</v>
      </c>
      <c r="X5">
        <v>25</v>
      </c>
    </row>
    <row r="6" spans="22:24" x14ac:dyDescent="0.25">
      <c r="V6" s="864" t="s">
        <v>553</v>
      </c>
      <c r="W6">
        <v>10</v>
      </c>
      <c r="X6" s="863" t="s">
        <v>17</v>
      </c>
    </row>
    <row r="7" spans="22:24" x14ac:dyDescent="0.25">
      <c r="V7" s="865" t="s">
        <v>552</v>
      </c>
      <c r="W7" s="863" t="s">
        <v>17</v>
      </c>
      <c r="X7">
        <v>10</v>
      </c>
    </row>
    <row r="8" spans="22:24" x14ac:dyDescent="0.25">
      <c r="V8" t="s">
        <v>554</v>
      </c>
      <c r="W8">
        <v>10</v>
      </c>
      <c r="X8">
        <v>10</v>
      </c>
    </row>
    <row r="49" spans="9:11" x14ac:dyDescent="0.25">
      <c r="I49" t="s">
        <v>545</v>
      </c>
      <c r="J49">
        <v>4.5</v>
      </c>
      <c r="K49">
        <v>0</v>
      </c>
    </row>
    <row r="50" spans="9:11" x14ac:dyDescent="0.25">
      <c r="J50">
        <v>4.5</v>
      </c>
      <c r="K50">
        <v>120</v>
      </c>
    </row>
    <row r="52" spans="9:11" x14ac:dyDescent="0.25">
      <c r="J52">
        <v>10.5</v>
      </c>
      <c r="K52">
        <v>0</v>
      </c>
    </row>
    <row r="53" spans="9:11" x14ac:dyDescent="0.25">
      <c r="J53">
        <v>10.5</v>
      </c>
      <c r="K53">
        <v>120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860E-5CA2-4437-B60B-0EC8FA25CDA9}">
  <sheetPr>
    <tabColor theme="0"/>
  </sheetPr>
  <dimension ref="X8:Z12"/>
  <sheetViews>
    <sheetView topLeftCell="C8" zoomScale="47" zoomScaleNormal="140" workbookViewId="0">
      <selection activeCell="AA43" sqref="AA43"/>
    </sheetView>
  </sheetViews>
  <sheetFormatPr defaultColWidth="9.140625" defaultRowHeight="15" x14ac:dyDescent="0.25"/>
  <cols>
    <col min="1" max="16384" width="9.140625" style="142"/>
  </cols>
  <sheetData>
    <row r="8" spans="24:26" x14ac:dyDescent="0.25">
      <c r="X8" t="s">
        <v>545</v>
      </c>
      <c r="Y8">
        <v>4.5</v>
      </c>
      <c r="Z8">
        <v>-10</v>
      </c>
    </row>
    <row r="9" spans="24:26" x14ac:dyDescent="0.25">
      <c r="X9"/>
      <c r="Y9">
        <v>4.5</v>
      </c>
      <c r="Z9">
        <v>100</v>
      </c>
    </row>
    <row r="10" spans="24:26" x14ac:dyDescent="0.25">
      <c r="X10"/>
      <c r="Y10"/>
      <c r="Z10"/>
    </row>
    <row r="11" spans="24:26" x14ac:dyDescent="0.25">
      <c r="X11"/>
      <c r="Y11">
        <v>10.5</v>
      </c>
      <c r="Z11">
        <v>-10</v>
      </c>
    </row>
    <row r="12" spans="24:26" x14ac:dyDescent="0.25">
      <c r="X12"/>
      <c r="Y12">
        <v>10.5</v>
      </c>
      <c r="Z12">
        <v>100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53E8-2787-4D91-ADC4-C76A6DEADFD1}">
  <sheetPr>
    <tabColor theme="0"/>
  </sheetPr>
  <dimension ref="C40:Y44"/>
  <sheetViews>
    <sheetView topLeftCell="A10" zoomScale="81" zoomScaleNormal="70" workbookViewId="0">
      <selection activeCell="P35" sqref="P35"/>
    </sheetView>
  </sheetViews>
  <sheetFormatPr defaultRowHeight="15" x14ac:dyDescent="0.25"/>
  <sheetData>
    <row r="40" spans="3:25" x14ac:dyDescent="0.25">
      <c r="C40">
        <v>1</v>
      </c>
      <c r="D40">
        <v>2</v>
      </c>
      <c r="E40">
        <v>3</v>
      </c>
      <c r="F40">
        <v>4</v>
      </c>
      <c r="G40">
        <v>5</v>
      </c>
      <c r="H40">
        <v>6</v>
      </c>
      <c r="I40">
        <v>7</v>
      </c>
      <c r="J40">
        <v>8</v>
      </c>
      <c r="K40">
        <v>9</v>
      </c>
      <c r="L40">
        <v>10</v>
      </c>
      <c r="M40">
        <v>11</v>
      </c>
      <c r="N40">
        <v>12</v>
      </c>
      <c r="O40">
        <v>13</v>
      </c>
      <c r="P40">
        <v>14</v>
      </c>
      <c r="Q40">
        <v>15</v>
      </c>
      <c r="R40">
        <v>16</v>
      </c>
      <c r="X40">
        <v>4.5</v>
      </c>
      <c r="Y40">
        <v>0</v>
      </c>
    </row>
    <row r="41" spans="3:25" x14ac:dyDescent="0.25">
      <c r="C41" s="1278">
        <f>'HPS DAILY'!G10</f>
        <v>3.3589621291615117</v>
      </c>
      <c r="D41" s="1278">
        <f>C41</f>
        <v>3.3589621291615117</v>
      </c>
      <c r="E41" s="1278">
        <f t="shared" ref="E41:F41" si="0">D41</f>
        <v>3.3589621291615117</v>
      </c>
      <c r="F41" s="1278">
        <f t="shared" si="0"/>
        <v>3.3589621291615117</v>
      </c>
      <c r="G41" s="1279">
        <f>'HPS DAILY'!H10</f>
        <v>1.431499764927139</v>
      </c>
      <c r="H41" s="1279">
        <f>G41</f>
        <v>1.431499764927139</v>
      </c>
      <c r="I41" s="1279">
        <f t="shared" ref="I41:L41" si="1">H41</f>
        <v>1.431499764927139</v>
      </c>
      <c r="J41" s="1279">
        <f t="shared" si="1"/>
        <v>1.431499764927139</v>
      </c>
      <c r="K41" s="1279">
        <f t="shared" si="1"/>
        <v>1.431499764927139</v>
      </c>
      <c r="L41" s="1279">
        <f t="shared" si="1"/>
        <v>1.431499764927139</v>
      </c>
      <c r="M41" s="1279">
        <f>'HPS DAILY'!I12</f>
        <v>1.0609999999999999</v>
      </c>
      <c r="N41" s="1279">
        <f>M41</f>
        <v>1.0609999999999999</v>
      </c>
      <c r="O41" s="1279">
        <f t="shared" ref="O41:Q41" si="2">N41</f>
        <v>1.0609999999999999</v>
      </c>
      <c r="P41" s="1279">
        <f t="shared" si="2"/>
        <v>1.0609999999999999</v>
      </c>
      <c r="Q41" s="1279">
        <f t="shared" si="2"/>
        <v>1.0609999999999999</v>
      </c>
      <c r="X41">
        <v>4.5</v>
      </c>
      <c r="Y41">
        <v>0.5</v>
      </c>
    </row>
    <row r="43" spans="3:25" x14ac:dyDescent="0.25">
      <c r="X43">
        <v>10.5</v>
      </c>
      <c r="Y43">
        <v>0</v>
      </c>
    </row>
    <row r="44" spans="3:25" x14ac:dyDescent="0.25">
      <c r="X44">
        <v>10.5</v>
      </c>
      <c r="Y44">
        <v>0.5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AEAE-CD74-484A-9594-26A64EBDC5C4}">
  <sheetPr>
    <tabColor theme="0"/>
  </sheetPr>
  <dimension ref="O4:T19"/>
  <sheetViews>
    <sheetView topLeftCell="A3" zoomScale="64" zoomScaleNormal="70" workbookViewId="0">
      <selection activeCell="U21" sqref="U21"/>
    </sheetView>
  </sheetViews>
  <sheetFormatPr defaultColWidth="9.140625" defaultRowHeight="15" x14ac:dyDescent="0.25"/>
  <cols>
    <col min="1" max="16384" width="9.140625" style="146"/>
  </cols>
  <sheetData>
    <row r="4" spans="15:20" x14ac:dyDescent="0.25">
      <c r="O4" s="156" t="s">
        <v>642</v>
      </c>
    </row>
    <row r="5" spans="15:20" x14ac:dyDescent="0.25">
      <c r="O5" s="146" t="s">
        <v>604</v>
      </c>
    </row>
    <row r="6" spans="15:20" x14ac:dyDescent="0.25">
      <c r="O6" s="156"/>
      <c r="P6" s="156"/>
      <c r="Q6" s="156"/>
      <c r="R6" s="156"/>
    </row>
    <row r="7" spans="15:20" x14ac:dyDescent="0.25">
      <c r="O7" s="156"/>
      <c r="P7" s="156"/>
      <c r="Q7" s="156"/>
      <c r="R7" s="156"/>
    </row>
    <row r="8" spans="15:20" x14ac:dyDescent="0.25">
      <c r="O8" s="156"/>
      <c r="P8" s="156"/>
      <c r="Q8" s="156"/>
      <c r="R8" s="156"/>
    </row>
    <row r="9" spans="15:20" x14ac:dyDescent="0.25">
      <c r="O9" s="156"/>
      <c r="P9" s="156"/>
      <c r="Q9" s="156"/>
      <c r="R9" s="156"/>
    </row>
    <row r="10" spans="15:20" x14ac:dyDescent="0.25">
      <c r="O10" s="156">
        <v>-5</v>
      </c>
      <c r="P10" s="156">
        <v>2000</v>
      </c>
      <c r="Q10" s="156"/>
      <c r="R10" t="s">
        <v>545</v>
      </c>
      <c r="S10">
        <v>4.5</v>
      </c>
      <c r="T10">
        <v>-5</v>
      </c>
    </row>
    <row r="11" spans="15:20" x14ac:dyDescent="0.25">
      <c r="O11" s="156">
        <v>50</v>
      </c>
      <c r="P11" s="156">
        <v>2000</v>
      </c>
      <c r="Q11" s="156"/>
      <c r="R11"/>
      <c r="S11">
        <v>4.5</v>
      </c>
      <c r="T11">
        <v>30000</v>
      </c>
    </row>
    <row r="12" spans="15:20" x14ac:dyDescent="0.25">
      <c r="O12" s="156"/>
      <c r="P12" s="156"/>
      <c r="Q12" s="156"/>
      <c r="R12"/>
      <c r="S12"/>
      <c r="T12"/>
    </row>
    <row r="13" spans="15:20" x14ac:dyDescent="0.25">
      <c r="O13" s="156"/>
      <c r="P13" s="156"/>
      <c r="Q13" s="156"/>
      <c r="R13"/>
      <c r="S13">
        <v>10.5</v>
      </c>
      <c r="T13">
        <v>-5</v>
      </c>
    </row>
    <row r="14" spans="15:20" x14ac:dyDescent="0.25">
      <c r="O14" s="156"/>
      <c r="P14" s="156"/>
      <c r="Q14" s="156"/>
      <c r="R14"/>
      <c r="S14">
        <v>10.5</v>
      </c>
      <c r="T14">
        <v>30000</v>
      </c>
    </row>
    <row r="17" spans="15:16" x14ac:dyDescent="0.25">
      <c r="P17" s="146" t="s">
        <v>226</v>
      </c>
    </row>
    <row r="19" spans="15:16" x14ac:dyDescent="0.25">
      <c r="O19" s="157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DE86-4FD1-4361-9991-24E477890CF5}">
  <sheetPr codeName="Sheet19">
    <tabColor theme="6" tint="0.59999389629810485"/>
  </sheetPr>
  <dimension ref="I16:AT62"/>
  <sheetViews>
    <sheetView zoomScale="43" zoomScaleNormal="38" zoomScaleSheetLayoutView="68" zoomScalePageLayoutView="63" workbookViewId="0">
      <selection activeCell="V43" sqref="V43"/>
    </sheetView>
  </sheetViews>
  <sheetFormatPr defaultColWidth="8.85546875" defaultRowHeight="15" x14ac:dyDescent="0.25"/>
  <cols>
    <col min="1" max="16384" width="8.85546875" style="142"/>
  </cols>
  <sheetData>
    <row r="16" spans="45:46" x14ac:dyDescent="0.25">
      <c r="AS16" s="142">
        <v>-5</v>
      </c>
      <c r="AT16" s="142">
        <v>50</v>
      </c>
    </row>
    <row r="17" spans="45:46" x14ac:dyDescent="0.25">
      <c r="AS17" s="142">
        <v>30</v>
      </c>
      <c r="AT17" s="142">
        <v>50</v>
      </c>
    </row>
    <row r="20" spans="45:46" x14ac:dyDescent="0.25">
      <c r="AS20" s="142">
        <v>-5</v>
      </c>
      <c r="AT20" s="142">
        <v>20</v>
      </c>
    </row>
    <row r="21" spans="45:46" x14ac:dyDescent="0.25">
      <c r="AS21" s="142">
        <v>30</v>
      </c>
      <c r="AT21" s="142">
        <v>20</v>
      </c>
    </row>
    <row r="24" spans="45:46" x14ac:dyDescent="0.25">
      <c r="AS24" s="142">
        <v>-5</v>
      </c>
      <c r="AT24" s="142">
        <v>15</v>
      </c>
    </row>
    <row r="25" spans="45:46" x14ac:dyDescent="0.25">
      <c r="AS25" s="142">
        <v>30</v>
      </c>
      <c r="AT25" s="142">
        <v>15</v>
      </c>
    </row>
    <row r="30" spans="45:46" x14ac:dyDescent="0.25">
      <c r="AS30" s="142" t="s">
        <v>853</v>
      </c>
    </row>
    <row r="58" spans="9:32" x14ac:dyDescent="0.25">
      <c r="I58" s="142">
        <v>4.5</v>
      </c>
      <c r="J58" s="142">
        <v>-5</v>
      </c>
      <c r="AE58" s="142">
        <v>4.5</v>
      </c>
      <c r="AF58" s="142">
        <v>-5</v>
      </c>
    </row>
    <row r="59" spans="9:32" x14ac:dyDescent="0.25">
      <c r="I59" s="142">
        <v>4.5</v>
      </c>
      <c r="J59" s="142">
        <v>200</v>
      </c>
      <c r="AE59" s="142">
        <v>4.5</v>
      </c>
      <c r="AF59" s="142">
        <v>200</v>
      </c>
    </row>
    <row r="61" spans="9:32" x14ac:dyDescent="0.25">
      <c r="I61" s="142">
        <v>10.5</v>
      </c>
      <c r="J61" s="142">
        <v>-5</v>
      </c>
      <c r="AE61" s="142">
        <v>10.5</v>
      </c>
      <c r="AF61" s="142">
        <v>-5</v>
      </c>
    </row>
    <row r="62" spans="9:32" x14ac:dyDescent="0.25">
      <c r="I62" s="142">
        <v>10.5</v>
      </c>
      <c r="J62" s="142">
        <v>200</v>
      </c>
      <c r="AE62" s="142">
        <v>10.5</v>
      </c>
      <c r="AF62" s="142">
        <v>200</v>
      </c>
    </row>
  </sheetData>
  <pageMargins left="0.7" right="0.7" top="0.75" bottom="0.75" header="0.3" footer="0.3"/>
  <pageSetup paperSize="9" scale="72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876D-7E17-48A7-BC41-E081ECC6C76B}">
  <sheetPr codeName="Sheet20">
    <tabColor theme="6" tint="0.59999389629810485"/>
  </sheetPr>
  <dimension ref="F41:H46"/>
  <sheetViews>
    <sheetView topLeftCell="A8" zoomScale="65" zoomScaleNormal="100" zoomScaleSheetLayoutView="76" zoomScalePageLayoutView="68" workbookViewId="0">
      <selection activeCell="U29" sqref="U29"/>
    </sheetView>
  </sheetViews>
  <sheetFormatPr defaultColWidth="8.85546875" defaultRowHeight="15" x14ac:dyDescent="0.25"/>
  <cols>
    <col min="1" max="16384" width="8.85546875" style="142"/>
  </cols>
  <sheetData>
    <row r="41" spans="6:8" x14ac:dyDescent="0.25">
      <c r="H41" s="171"/>
    </row>
    <row r="42" spans="6:8" x14ac:dyDescent="0.25">
      <c r="F42" s="142">
        <v>4.5</v>
      </c>
      <c r="G42" s="142">
        <v>0</v>
      </c>
    </row>
    <row r="43" spans="6:8" x14ac:dyDescent="0.25">
      <c r="F43" s="142">
        <v>4.5</v>
      </c>
      <c r="G43" s="142">
        <v>150</v>
      </c>
    </row>
    <row r="45" spans="6:8" x14ac:dyDescent="0.25">
      <c r="F45" s="142">
        <v>10.5</v>
      </c>
      <c r="G45" s="142">
        <v>0</v>
      </c>
    </row>
    <row r="46" spans="6:8" x14ac:dyDescent="0.25">
      <c r="F46" s="142">
        <v>10.5</v>
      </c>
      <c r="G46" s="142">
        <v>150</v>
      </c>
    </row>
  </sheetData>
  <pageMargins left="0.7" right="0.7" top="0.75" bottom="0.75" header="0.3" footer="0.3"/>
  <pageSetup paperSize="9" scale="78" orientation="landscape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EE16-9740-46D5-A60B-1123DC983EEE}">
  <dimension ref="A1"/>
  <sheetViews>
    <sheetView topLeftCell="A8" zoomScale="52" workbookViewId="0">
      <selection activeCell="Y39" sqref="Y3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EFFDA-1340-4682-8DD1-642C158DE4B6}">
  <dimension ref="B2:L15"/>
  <sheetViews>
    <sheetView workbookViewId="0">
      <selection activeCell="H11" sqref="H11"/>
    </sheetView>
  </sheetViews>
  <sheetFormatPr defaultRowHeight="15" x14ac:dyDescent="0.25"/>
  <cols>
    <col min="5" max="5" width="27.42578125" customWidth="1"/>
    <col min="6" max="6" width="21.140625" customWidth="1"/>
    <col min="7" max="7" width="14.85546875" customWidth="1"/>
    <col min="8" max="8" width="6.140625" customWidth="1"/>
    <col min="10" max="10" width="27.85546875" customWidth="1"/>
    <col min="11" max="11" width="26.140625" customWidth="1"/>
  </cols>
  <sheetData>
    <row r="2" spans="2:12" x14ac:dyDescent="0.25">
      <c r="B2" t="s">
        <v>842</v>
      </c>
      <c r="C2">
        <v>100</v>
      </c>
    </row>
    <row r="3" spans="2:12" x14ac:dyDescent="0.25">
      <c r="C3" t="s">
        <v>840</v>
      </c>
      <c r="E3" t="s">
        <v>844</v>
      </c>
      <c r="F3" t="s">
        <v>843</v>
      </c>
      <c r="G3" t="s">
        <v>840</v>
      </c>
      <c r="I3" t="s">
        <v>841</v>
      </c>
      <c r="J3" t="s">
        <v>844</v>
      </c>
      <c r="K3" t="s">
        <v>843</v>
      </c>
      <c r="L3" t="s">
        <v>841</v>
      </c>
    </row>
    <row r="4" spans="2:12" x14ac:dyDescent="0.25">
      <c r="B4" t="s">
        <v>135</v>
      </c>
      <c r="C4">
        <v>5.09</v>
      </c>
      <c r="D4">
        <f>C4*$C$2/100</f>
        <v>5.09</v>
      </c>
      <c r="F4">
        <f>D4</f>
        <v>5.09</v>
      </c>
      <c r="G4">
        <f>F4/$F$11*100</f>
        <v>4.6864929564496824</v>
      </c>
      <c r="I4">
        <v>4.71</v>
      </c>
      <c r="K4">
        <f>I4</f>
        <v>4.71</v>
      </c>
      <c r="L4">
        <f>K4/$K$11*100</f>
        <v>4.333425338117582</v>
      </c>
    </row>
    <row r="5" spans="2:12" x14ac:dyDescent="0.25">
      <c r="B5" t="s">
        <v>136</v>
      </c>
      <c r="C5">
        <v>0.4</v>
      </c>
      <c r="D5">
        <f t="shared" ref="D5:D10" si="0">C5*$C$2/100</f>
        <v>0.4</v>
      </c>
      <c r="F5">
        <f>D5</f>
        <v>0.4</v>
      </c>
      <c r="G5">
        <f t="shared" ref="G5:G6" si="1">F5/$F$11*100</f>
        <v>0.36829021268759787</v>
      </c>
      <c r="I5">
        <v>0.36</v>
      </c>
      <c r="K5">
        <f>I5</f>
        <v>0.36</v>
      </c>
      <c r="L5">
        <f t="shared" ref="L5:L10" si="2">K5/$K$11*100</f>
        <v>0.33121722329561132</v>
      </c>
    </row>
    <row r="6" spans="2:12" x14ac:dyDescent="0.25">
      <c r="B6" t="s">
        <v>221</v>
      </c>
      <c r="C6">
        <v>3.12</v>
      </c>
      <c r="D6">
        <f t="shared" si="0"/>
        <v>3.12</v>
      </c>
      <c r="F6">
        <f>D6</f>
        <v>3.12</v>
      </c>
      <c r="G6">
        <f t="shared" si="1"/>
        <v>2.8726636589632633</v>
      </c>
      <c r="I6">
        <v>3.62</v>
      </c>
      <c r="K6">
        <f>I6</f>
        <v>3.62</v>
      </c>
      <c r="L6">
        <f t="shared" si="2"/>
        <v>3.3305731898058695</v>
      </c>
    </row>
    <row r="7" spans="2:12" x14ac:dyDescent="0.25">
      <c r="B7" t="s">
        <v>830</v>
      </c>
      <c r="C7">
        <v>3.85</v>
      </c>
      <c r="D7">
        <f t="shared" si="0"/>
        <v>3.85</v>
      </c>
      <c r="E7">
        <f>D7*100/$D$11</f>
        <v>4.1599135602377091</v>
      </c>
      <c r="F7">
        <f>3</f>
        <v>3</v>
      </c>
      <c r="G7">
        <f>F7/$F$11*100+1</f>
        <v>3.7621765951569834</v>
      </c>
      <c r="I7">
        <v>4.46</v>
      </c>
      <c r="J7">
        <f>I7*100/$J$11</f>
        <v>4.7874624302275652</v>
      </c>
      <c r="K7">
        <v>4.2</v>
      </c>
      <c r="L7">
        <f t="shared" si="2"/>
        <v>3.864200938448799</v>
      </c>
    </row>
    <row r="8" spans="2:12" x14ac:dyDescent="0.25">
      <c r="B8" t="s">
        <v>234</v>
      </c>
      <c r="C8">
        <v>21.84</v>
      </c>
      <c r="D8">
        <f t="shared" si="0"/>
        <v>21.84</v>
      </c>
      <c r="E8">
        <f>D8*100/$D$11</f>
        <v>23.598055105348461</v>
      </c>
      <c r="F8">
        <f>18.1</f>
        <v>18.100000000000001</v>
      </c>
      <c r="G8">
        <f>F8/$F$11*100+3.5</f>
        <v>20.165132124113804</v>
      </c>
      <c r="I8">
        <v>23.61</v>
      </c>
      <c r="J8">
        <f t="shared" ref="J8:J10" si="3">I8*100/$J$11</f>
        <v>25.34349506225848</v>
      </c>
      <c r="K8">
        <f>24.5</f>
        <v>24.5</v>
      </c>
      <c r="L8">
        <f t="shared" si="2"/>
        <v>22.541172140951325</v>
      </c>
    </row>
    <row r="9" spans="2:12" x14ac:dyDescent="0.25">
      <c r="B9" t="s">
        <v>237</v>
      </c>
      <c r="C9">
        <v>32.83</v>
      </c>
      <c r="D9">
        <f t="shared" si="0"/>
        <v>32.83</v>
      </c>
      <c r="E9">
        <f>D9*100/$D$11</f>
        <v>35.472717450027012</v>
      </c>
      <c r="F9">
        <f>37.4</f>
        <v>37.4</v>
      </c>
      <c r="G9">
        <f>F9/$F$11*100-1.3</f>
        <v>33.135134886290402</v>
      </c>
      <c r="I9">
        <v>32.880000000000003</v>
      </c>
      <c r="J9">
        <f t="shared" si="3"/>
        <v>35.294117647058833</v>
      </c>
      <c r="K9">
        <f>35.6</f>
        <v>35.6</v>
      </c>
      <c r="L9">
        <f t="shared" si="2"/>
        <v>32.753703192566014</v>
      </c>
    </row>
    <row r="10" spans="2:12" x14ac:dyDescent="0.25">
      <c r="B10" t="s">
        <v>160</v>
      </c>
      <c r="C10">
        <v>34.03</v>
      </c>
      <c r="D10">
        <f t="shared" si="0"/>
        <v>34.03</v>
      </c>
      <c r="E10">
        <f>D10*100/$D$11</f>
        <v>36.769313884386818</v>
      </c>
      <c r="F10">
        <f>(100-58.5)</f>
        <v>41.5</v>
      </c>
      <c r="G10">
        <f>F10/$F$11*100-4</f>
        <v>34.210109566338275</v>
      </c>
      <c r="I10">
        <v>32.21</v>
      </c>
      <c r="J10">
        <f t="shared" si="3"/>
        <v>34.574924860455134</v>
      </c>
      <c r="K10">
        <f>100-SUM(K7:K9)</f>
        <v>35.700000000000003</v>
      </c>
      <c r="L10">
        <f t="shared" si="2"/>
        <v>32.845707976814793</v>
      </c>
    </row>
    <row r="11" spans="2:12" x14ac:dyDescent="0.25">
      <c r="D11">
        <f>SUM(D7:D10)</f>
        <v>92.55</v>
      </c>
      <c r="E11">
        <f>SUM(E7:E10)</f>
        <v>100</v>
      </c>
      <c r="F11">
        <f>SUM(F4:F10)</f>
        <v>108.61</v>
      </c>
      <c r="J11">
        <f>SUM(I7:I10)</f>
        <v>93.16</v>
      </c>
      <c r="K11">
        <f>SUM(K4:K10)</f>
        <v>108.69000000000001</v>
      </c>
      <c r="L11">
        <f>SUM(L4:L10)</f>
        <v>100</v>
      </c>
    </row>
    <row r="13" spans="2:12" x14ac:dyDescent="0.25">
      <c r="F13">
        <v>3</v>
      </c>
    </row>
    <row r="14" spans="2:12" x14ac:dyDescent="0.25">
      <c r="F14">
        <v>18.100000000000001</v>
      </c>
    </row>
    <row r="15" spans="2:12" x14ac:dyDescent="0.25">
      <c r="F15">
        <v>37.4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DD3E-7F93-4549-9C73-5B9FA8108BAA}">
  <sheetPr>
    <tabColor rgb="FFFF0000"/>
    <pageSetUpPr fitToPage="1"/>
  </sheetPr>
  <dimension ref="D1:AV323"/>
  <sheetViews>
    <sheetView showGridLines="0" topLeftCell="A106" zoomScale="54" zoomScaleNormal="55" zoomScaleSheetLayoutView="100" workbookViewId="0">
      <selection activeCell="R39" sqref="R39"/>
    </sheetView>
  </sheetViews>
  <sheetFormatPr defaultColWidth="9.140625" defaultRowHeight="17.25" x14ac:dyDescent="0.3"/>
  <cols>
    <col min="1" max="1" width="9.140625" style="7"/>
    <col min="2" max="2" width="35.140625" style="7" customWidth="1"/>
    <col min="3" max="3" width="6.85546875" style="7" customWidth="1"/>
    <col min="4" max="4" width="31.140625" style="18" customWidth="1"/>
    <col min="5" max="6" width="9" style="18" bestFit="1" customWidth="1"/>
    <col min="7" max="7" width="11.140625" style="18" bestFit="1" customWidth="1"/>
    <col min="8" max="9" width="11.140625" style="18" customWidth="1"/>
    <col min="10" max="10" width="17.85546875" style="18" customWidth="1"/>
    <col min="11" max="16" width="14.85546875" style="18" customWidth="1"/>
    <col min="17" max="17" width="15.42578125" style="18" bestFit="1" customWidth="1"/>
    <col min="18" max="18" width="14.85546875" style="18" customWidth="1"/>
    <col min="19" max="19" width="15" style="18" customWidth="1"/>
    <col min="20" max="21" width="14.85546875" style="18" customWidth="1"/>
    <col min="22" max="25" width="15" style="18" customWidth="1"/>
    <col min="26" max="26" width="15.42578125" style="7" bestFit="1" customWidth="1"/>
    <col min="27" max="27" width="13" style="7" customWidth="1"/>
    <col min="28" max="29" width="14.140625" style="7" customWidth="1"/>
    <col min="30" max="31" width="11" style="7" customWidth="1"/>
    <col min="32" max="16384" width="9.140625" style="7"/>
  </cols>
  <sheetData>
    <row r="1" spans="4:48" ht="26.25" customHeight="1" x14ac:dyDescent="0.35">
      <c r="D1" s="1559" t="s">
        <v>5</v>
      </c>
      <c r="E1" s="1559"/>
      <c r="F1" s="1559"/>
      <c r="G1" s="1559"/>
      <c r="H1" s="1559"/>
      <c r="I1" s="1559"/>
      <c r="J1" s="1559"/>
      <c r="K1" s="1559"/>
      <c r="L1" s="1559"/>
      <c r="M1" s="1559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4:48" ht="30.75" customHeight="1" x14ac:dyDescent="0.3">
      <c r="D2" s="8" t="s">
        <v>6</v>
      </c>
      <c r="E2" s="8"/>
      <c r="F2" s="126"/>
      <c r="G2" s="126"/>
      <c r="H2" s="126"/>
      <c r="I2" s="126"/>
      <c r="J2" s="9" t="s">
        <v>355</v>
      </c>
      <c r="K2" s="10"/>
      <c r="L2" s="10"/>
      <c r="M2" s="11"/>
      <c r="N2" s="11"/>
      <c r="O2" s="12"/>
      <c r="P2" s="12"/>
      <c r="Q2" s="7"/>
      <c r="R2" s="12"/>
      <c r="S2" s="12"/>
      <c r="T2" s="12"/>
      <c r="U2" s="12"/>
      <c r="V2" s="12"/>
      <c r="W2" s="12"/>
      <c r="X2" s="12"/>
      <c r="Y2" s="12"/>
    </row>
    <row r="3" spans="4:48" ht="26.25" customHeight="1" x14ac:dyDescent="0.3">
      <c r="D3" s="8" t="s">
        <v>8</v>
      </c>
      <c r="E3" s="8"/>
      <c r="F3" s="126"/>
      <c r="G3" s="126"/>
      <c r="H3" s="126"/>
      <c r="I3" s="126"/>
      <c r="J3" s="14" t="s">
        <v>435</v>
      </c>
      <c r="K3" s="15"/>
      <c r="L3" s="15"/>
      <c r="M3" s="11"/>
      <c r="N3" s="11"/>
      <c r="O3" s="12"/>
      <c r="P3" s="11"/>
      <c r="Q3" s="7"/>
      <c r="R3" s="12"/>
      <c r="S3" s="11"/>
      <c r="T3" s="12"/>
      <c r="U3" s="12"/>
      <c r="V3" s="11"/>
      <c r="W3" s="11"/>
      <c r="X3" s="11"/>
      <c r="Y3" s="11"/>
    </row>
    <row r="4" spans="4:48" ht="28.5" customHeight="1" x14ac:dyDescent="0.3">
      <c r="D4" s="8" t="s">
        <v>9</v>
      </c>
      <c r="E4" s="8"/>
      <c r="F4" s="126"/>
      <c r="G4" s="126"/>
      <c r="H4" s="126"/>
      <c r="I4" s="126"/>
      <c r="J4" s="127" t="s">
        <v>10</v>
      </c>
      <c r="K4" s="127"/>
      <c r="L4" s="127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4:48" s="103" customFormat="1" ht="56.25" customHeight="1" x14ac:dyDescent="0.3">
      <c r="D5" s="128"/>
      <c r="E5" s="128"/>
      <c r="F5" s="128"/>
      <c r="G5" s="128"/>
      <c r="H5" s="128"/>
      <c r="I5" s="128"/>
      <c r="J5" s="13"/>
      <c r="K5" s="13"/>
      <c r="L5" s="13"/>
      <c r="M5" s="129"/>
      <c r="N5" s="129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AQ5" s="103" t="s">
        <v>544</v>
      </c>
      <c r="AU5" s="103" t="s">
        <v>654</v>
      </c>
    </row>
    <row r="6" spans="4:48" s="103" customFormat="1" ht="42.95" customHeight="1" x14ac:dyDescent="0.3">
      <c r="D6" s="128"/>
      <c r="E6" s="128"/>
      <c r="F6" s="128"/>
      <c r="G6" s="128"/>
      <c r="H6" s="128"/>
      <c r="I6" s="128"/>
      <c r="J6" s="219" t="s">
        <v>94</v>
      </c>
      <c r="K6" s="13"/>
      <c r="L6" s="13"/>
      <c r="M6" s="129"/>
      <c r="N6" s="220" t="s">
        <v>358</v>
      </c>
      <c r="O6" s="13"/>
      <c r="P6" s="13"/>
      <c r="Q6" s="13"/>
      <c r="R6" s="13"/>
      <c r="S6" s="13"/>
      <c r="T6" s="219" t="s">
        <v>359</v>
      </c>
      <c r="U6" s="13"/>
      <c r="V6" s="13"/>
      <c r="W6" s="13"/>
      <c r="X6" s="13"/>
      <c r="Y6" s="13"/>
      <c r="AQ6" s="830" t="s">
        <v>445</v>
      </c>
      <c r="AR6" s="103">
        <v>1</v>
      </c>
      <c r="AS6" s="103">
        <v>170.44444444444446</v>
      </c>
      <c r="AU6" s="1084">
        <v>326.7</v>
      </c>
      <c r="AV6" s="103">
        <f>(AU6-32)*5/9</f>
        <v>163.72222222222223</v>
      </c>
    </row>
    <row r="7" spans="4:48" s="103" customFormat="1" ht="39" customHeight="1" x14ac:dyDescent="0.3">
      <c r="D7" s="128"/>
      <c r="E7" s="128"/>
      <c r="F7" s="128"/>
      <c r="G7" s="130" t="s">
        <v>93</v>
      </c>
      <c r="H7" s="130" t="s">
        <v>93</v>
      </c>
      <c r="I7" s="130" t="s">
        <v>93</v>
      </c>
      <c r="J7" s="212">
        <v>1</v>
      </c>
      <c r="K7" s="213">
        <v>2</v>
      </c>
      <c r="L7" s="213">
        <v>3</v>
      </c>
      <c r="M7" s="213">
        <v>4</v>
      </c>
      <c r="N7" s="212">
        <v>5</v>
      </c>
      <c r="O7" s="213">
        <v>6</v>
      </c>
      <c r="P7" s="215">
        <v>7</v>
      </c>
      <c r="Q7" s="215">
        <v>8</v>
      </c>
      <c r="R7" s="215">
        <v>9</v>
      </c>
      <c r="S7" s="215">
        <v>10</v>
      </c>
      <c r="T7" s="218">
        <v>11</v>
      </c>
      <c r="U7" s="215">
        <v>12</v>
      </c>
      <c r="V7" s="215">
        <v>13</v>
      </c>
      <c r="W7" s="215">
        <v>14</v>
      </c>
      <c r="X7" s="215">
        <v>15</v>
      </c>
      <c r="Y7" s="215">
        <v>16</v>
      </c>
      <c r="Z7" s="131"/>
      <c r="AQ7" s="830" t="s">
        <v>446</v>
      </c>
      <c r="AR7" s="103">
        <v>2</v>
      </c>
      <c r="AS7" s="103">
        <v>197.11111111111111</v>
      </c>
      <c r="AU7" s="1084">
        <v>379.8</v>
      </c>
      <c r="AV7" s="103">
        <f t="shared" ref="AV7:AV70" si="0">(AU7-32)*5/9</f>
        <v>193.22222222222223</v>
      </c>
    </row>
    <row r="8" spans="4:48" s="132" customFormat="1" ht="18" thickBot="1" x14ac:dyDescent="0.35">
      <c r="D8" s="144" t="s">
        <v>15</v>
      </c>
      <c r="G8" s="132" t="s">
        <v>94</v>
      </c>
      <c r="H8" s="132" t="s">
        <v>364</v>
      </c>
      <c r="I8" s="132" t="s">
        <v>365</v>
      </c>
      <c r="J8" s="216"/>
      <c r="K8" s="133"/>
      <c r="N8" s="217"/>
      <c r="O8" s="12"/>
      <c r="T8" s="217"/>
      <c r="AQ8" s="830" t="s">
        <v>447</v>
      </c>
      <c r="AR8" s="103">
        <v>3</v>
      </c>
      <c r="AS8" s="1085">
        <v>216.05555555555554</v>
      </c>
      <c r="AU8" s="1084">
        <v>414.4</v>
      </c>
      <c r="AV8" s="103">
        <f t="shared" si="0"/>
        <v>212.44444444444446</v>
      </c>
    </row>
    <row r="9" spans="4:48" s="103" customFormat="1" ht="19.5" customHeight="1" x14ac:dyDescent="0.3">
      <c r="D9" s="134" t="s">
        <v>92</v>
      </c>
      <c r="E9" s="135">
        <v>500</v>
      </c>
      <c r="F9" s="135">
        <v>560</v>
      </c>
      <c r="G9" s="135" t="s">
        <v>93</v>
      </c>
      <c r="H9" s="135" t="s">
        <v>434</v>
      </c>
      <c r="I9" s="135" t="s">
        <v>548</v>
      </c>
      <c r="J9" s="622">
        <v>45856</v>
      </c>
      <c r="K9" s="622">
        <v>45857</v>
      </c>
      <c r="L9" s="622">
        <v>45858</v>
      </c>
      <c r="M9" s="622">
        <v>45859</v>
      </c>
      <c r="N9" s="622">
        <v>45860</v>
      </c>
      <c r="O9" s="622">
        <v>45861</v>
      </c>
      <c r="P9" s="622">
        <v>45862</v>
      </c>
      <c r="Q9" s="622">
        <v>45863</v>
      </c>
      <c r="R9" s="622">
        <v>45864</v>
      </c>
      <c r="S9" s="622">
        <v>45865</v>
      </c>
      <c r="T9" s="622">
        <v>45866</v>
      </c>
      <c r="U9" s="622">
        <v>45867</v>
      </c>
      <c r="V9" s="622">
        <v>45868</v>
      </c>
      <c r="W9" s="622">
        <v>45869</v>
      </c>
      <c r="X9" s="622">
        <v>45870</v>
      </c>
      <c r="Y9" s="622">
        <v>45871</v>
      </c>
      <c r="Z9" s="622">
        <v>45872</v>
      </c>
      <c r="AB9" s="168" t="s">
        <v>441</v>
      </c>
      <c r="AC9" s="168" t="s">
        <v>442</v>
      </c>
      <c r="AD9" s="168" t="s">
        <v>443</v>
      </c>
      <c r="AE9" s="103">
        <v>4.5</v>
      </c>
      <c r="AF9" s="103">
        <v>-5</v>
      </c>
      <c r="AQ9" s="830" t="s">
        <v>448</v>
      </c>
      <c r="AR9" s="103">
        <v>4</v>
      </c>
      <c r="AS9" s="103">
        <v>230.11111111111111</v>
      </c>
      <c r="AU9" s="1084">
        <v>440.5</v>
      </c>
      <c r="AV9" s="103">
        <f t="shared" si="0"/>
        <v>226.94444444444446</v>
      </c>
    </row>
    <row r="10" spans="4:48" s="103" customFormat="1" ht="19.5" customHeight="1" x14ac:dyDescent="0.3">
      <c r="D10" s="136">
        <v>0</v>
      </c>
      <c r="E10" s="136">
        <v>500</v>
      </c>
      <c r="F10" s="136">
        <v>560</v>
      </c>
      <c r="G10" s="137">
        <v>375.98</v>
      </c>
      <c r="H10" s="137">
        <v>462.3</v>
      </c>
      <c r="I10" s="137">
        <v>436.7</v>
      </c>
      <c r="J10" s="138">
        <v>142.1</v>
      </c>
      <c r="K10" s="138">
        <v>140.19999999999999</v>
      </c>
      <c r="L10" s="138">
        <v>152.5</v>
      </c>
      <c r="M10" s="138">
        <v>133.6</v>
      </c>
      <c r="N10" s="138">
        <v>95.5</v>
      </c>
      <c r="O10" s="138">
        <v>110.4</v>
      </c>
      <c r="P10" s="138">
        <v>111.6</v>
      </c>
      <c r="Q10" s="138">
        <v>109.6</v>
      </c>
      <c r="R10" s="138">
        <v>113.9</v>
      </c>
      <c r="S10" s="138">
        <v>111.7</v>
      </c>
      <c r="T10" s="138">
        <v>101.6</v>
      </c>
      <c r="U10" s="138"/>
      <c r="V10" s="138">
        <v>121.9</v>
      </c>
      <c r="W10" s="138"/>
      <c r="X10" s="138"/>
      <c r="Y10" s="138"/>
      <c r="Z10" s="138"/>
      <c r="AB10"/>
      <c r="AC10"/>
      <c r="AD10"/>
      <c r="AE10" s="103">
        <v>4.5</v>
      </c>
      <c r="AF10" s="103">
        <v>105</v>
      </c>
      <c r="AN10" s="103">
        <v>0</v>
      </c>
      <c r="AO10" s="103">
        <v>560</v>
      </c>
      <c r="AQ10" s="830" t="s">
        <v>449</v>
      </c>
      <c r="AR10" s="103">
        <v>5</v>
      </c>
      <c r="AS10" s="103">
        <v>243.72222222222223</v>
      </c>
      <c r="AU10" s="1084">
        <v>463.4</v>
      </c>
      <c r="AV10" s="103">
        <f t="shared" si="0"/>
        <v>239.66666666666666</v>
      </c>
    </row>
    <row r="11" spans="4:48" s="103" customFormat="1" ht="19.5" customHeight="1" x14ac:dyDescent="0.3">
      <c r="D11" s="136">
        <v>1</v>
      </c>
      <c r="E11" s="136">
        <v>500</v>
      </c>
      <c r="F11" s="136">
        <v>560</v>
      </c>
      <c r="G11" s="137">
        <v>402</v>
      </c>
      <c r="H11" s="137">
        <v>528.9</v>
      </c>
      <c r="I11" s="137">
        <v>499.2</v>
      </c>
      <c r="J11" s="138">
        <v>173.4</v>
      </c>
      <c r="K11" s="138">
        <v>187.3</v>
      </c>
      <c r="L11" s="138">
        <v>185.3</v>
      </c>
      <c r="M11" s="138">
        <v>179.1</v>
      </c>
      <c r="N11" s="138">
        <v>125.7</v>
      </c>
      <c r="O11" s="138">
        <v>133.4</v>
      </c>
      <c r="P11" s="138">
        <v>136.19999999999999</v>
      </c>
      <c r="Q11" s="138">
        <v>135.4</v>
      </c>
      <c r="R11" s="138">
        <v>137.80000000000001</v>
      </c>
      <c r="S11" s="138">
        <v>137.30000000000001</v>
      </c>
      <c r="T11" s="138">
        <v>128.30000000000001</v>
      </c>
      <c r="U11" s="138"/>
      <c r="V11" s="138">
        <v>144.19999999999999</v>
      </c>
      <c r="W11" s="138"/>
      <c r="X11" s="138"/>
      <c r="Y11" s="138"/>
      <c r="Z11" s="138"/>
      <c r="AB11">
        <v>1</v>
      </c>
      <c r="AC11">
        <v>41.2</v>
      </c>
      <c r="AD11">
        <v>12.4</v>
      </c>
      <c r="AE11" s="103">
        <v>10.5</v>
      </c>
      <c r="AN11" s="103">
        <v>120</v>
      </c>
      <c r="AO11" s="103">
        <v>560</v>
      </c>
      <c r="AQ11" s="830" t="s">
        <v>450</v>
      </c>
      <c r="AR11" s="103">
        <v>6</v>
      </c>
      <c r="AS11" s="103">
        <v>254.66666666666666</v>
      </c>
      <c r="AU11" s="1084">
        <v>486.9</v>
      </c>
      <c r="AV11" s="103">
        <f t="shared" si="0"/>
        <v>252.72222222222223</v>
      </c>
    </row>
    <row r="12" spans="4:48" s="103" customFormat="1" ht="19.5" customHeight="1" x14ac:dyDescent="0.3">
      <c r="D12" s="136">
        <v>2</v>
      </c>
      <c r="E12" s="136">
        <v>500</v>
      </c>
      <c r="F12" s="136">
        <v>560</v>
      </c>
      <c r="G12" s="137">
        <v>422</v>
      </c>
      <c r="H12" s="137">
        <v>546.9</v>
      </c>
      <c r="I12" s="137">
        <v>527.20000000000005</v>
      </c>
      <c r="J12" s="138">
        <v>215</v>
      </c>
      <c r="K12" s="138">
        <v>232</v>
      </c>
      <c r="L12" s="138">
        <v>226.6</v>
      </c>
      <c r="M12" s="138">
        <v>224.9</v>
      </c>
      <c r="N12" s="138">
        <v>155.6</v>
      </c>
      <c r="O12" s="138">
        <v>162.30000000000001</v>
      </c>
      <c r="P12" s="138">
        <v>162.80000000000001</v>
      </c>
      <c r="Q12" s="138">
        <v>164.5</v>
      </c>
      <c r="R12" s="138">
        <v>163.19999999999999</v>
      </c>
      <c r="S12" s="138">
        <v>163.19999999999999</v>
      </c>
      <c r="T12" s="138">
        <v>159.30000000000001</v>
      </c>
      <c r="U12" s="138"/>
      <c r="V12" s="138">
        <v>169.7</v>
      </c>
      <c r="W12" s="138"/>
      <c r="X12" s="138"/>
      <c r="Y12" s="138"/>
      <c r="Z12" s="138"/>
      <c r="AB12">
        <v>2</v>
      </c>
      <c r="AC12">
        <v>41.6</v>
      </c>
      <c r="AD12">
        <v>12.2</v>
      </c>
      <c r="AE12" s="103">
        <v>10.5</v>
      </c>
      <c r="AQ12" s="830" t="s">
        <v>451</v>
      </c>
      <c r="AR12" s="103">
        <v>7</v>
      </c>
      <c r="AS12" s="103">
        <v>265.83333333333331</v>
      </c>
      <c r="AU12" s="1084">
        <v>505.8</v>
      </c>
      <c r="AV12" s="103">
        <f t="shared" si="0"/>
        <v>263.22222222222223</v>
      </c>
    </row>
    <row r="13" spans="4:48" s="103" customFormat="1" ht="19.5" customHeight="1" x14ac:dyDescent="0.3">
      <c r="D13" s="136">
        <v>3</v>
      </c>
      <c r="E13" s="136">
        <v>500</v>
      </c>
      <c r="F13" s="136">
        <v>560</v>
      </c>
      <c r="G13" s="137">
        <v>462</v>
      </c>
      <c r="H13" s="137">
        <v>555.20000000000005</v>
      </c>
      <c r="I13" s="137">
        <v>538.6</v>
      </c>
      <c r="J13" s="138">
        <v>248.3</v>
      </c>
      <c r="K13" s="138">
        <v>261.39999999999998</v>
      </c>
      <c r="L13" s="138">
        <v>255</v>
      </c>
      <c r="M13" s="138">
        <v>255.3</v>
      </c>
      <c r="N13" s="138">
        <v>174.7</v>
      </c>
      <c r="O13" s="138">
        <v>180.8</v>
      </c>
      <c r="P13" s="138">
        <v>181.4</v>
      </c>
      <c r="Q13" s="138">
        <v>184.4</v>
      </c>
      <c r="R13" s="138">
        <v>181.5</v>
      </c>
      <c r="S13" s="138">
        <v>180.4</v>
      </c>
      <c r="T13" s="138">
        <v>178.5</v>
      </c>
      <c r="U13" s="138"/>
      <c r="V13" s="138">
        <v>185.8</v>
      </c>
      <c r="W13" s="138"/>
      <c r="X13" s="138"/>
      <c r="Y13" s="138"/>
      <c r="Z13" s="138"/>
      <c r="AB13" s="759">
        <v>3</v>
      </c>
      <c r="AC13" s="759">
        <v>42</v>
      </c>
      <c r="AD13" s="759">
        <v>11.5</v>
      </c>
      <c r="AQ13" s="830" t="s">
        <v>452</v>
      </c>
      <c r="AR13" s="103">
        <v>8</v>
      </c>
      <c r="AS13" s="103">
        <v>275.55555555555554</v>
      </c>
      <c r="AU13" s="1084">
        <v>522.5</v>
      </c>
      <c r="AV13" s="103">
        <f t="shared" si="0"/>
        <v>272.5</v>
      </c>
    </row>
    <row r="14" spans="4:48" s="103" customFormat="1" ht="19.5" customHeight="1" x14ac:dyDescent="0.3">
      <c r="D14" s="136">
        <v>4</v>
      </c>
      <c r="E14" s="136">
        <v>500</v>
      </c>
      <c r="F14" s="136">
        <v>560</v>
      </c>
      <c r="G14" s="137">
        <v>489</v>
      </c>
      <c r="H14" s="137">
        <v>561</v>
      </c>
      <c r="I14" s="137">
        <v>546.5</v>
      </c>
      <c r="J14" s="138">
        <v>270.7</v>
      </c>
      <c r="K14" s="138">
        <v>285.2</v>
      </c>
      <c r="L14" s="138">
        <v>279.10000000000002</v>
      </c>
      <c r="M14" s="138">
        <v>279.7</v>
      </c>
      <c r="N14" s="138">
        <v>190.5</v>
      </c>
      <c r="O14" s="138">
        <v>196.7</v>
      </c>
      <c r="P14" s="138">
        <v>196.4</v>
      </c>
      <c r="Q14" s="138">
        <v>200.6</v>
      </c>
      <c r="R14" s="138">
        <v>196.9</v>
      </c>
      <c r="S14" s="138">
        <v>196.6</v>
      </c>
      <c r="T14" s="138">
        <v>195.4</v>
      </c>
      <c r="U14" s="138"/>
      <c r="V14" s="138">
        <v>200.3</v>
      </c>
      <c r="W14" s="138"/>
      <c r="X14" s="138"/>
      <c r="Y14" s="138"/>
      <c r="Z14" s="138"/>
      <c r="AB14">
        <v>4</v>
      </c>
      <c r="AC14">
        <v>42.5</v>
      </c>
      <c r="AD14">
        <v>11.3</v>
      </c>
      <c r="AN14" s="103">
        <v>0</v>
      </c>
      <c r="AO14" s="103">
        <v>160</v>
      </c>
      <c r="AQ14" s="830" t="s">
        <v>453</v>
      </c>
      <c r="AR14" s="103">
        <v>9</v>
      </c>
      <c r="AS14" s="103">
        <v>285.94444444444446</v>
      </c>
      <c r="AU14" s="1084">
        <v>542</v>
      </c>
      <c r="AV14" s="103">
        <f t="shared" si="0"/>
        <v>283.33333333333331</v>
      </c>
    </row>
    <row r="15" spans="4:48" s="103" customFormat="1" ht="19.5" customHeight="1" x14ac:dyDescent="0.3">
      <c r="D15" s="623">
        <v>5</v>
      </c>
      <c r="E15" s="623">
        <v>500</v>
      </c>
      <c r="F15" s="623">
        <v>560</v>
      </c>
      <c r="G15" s="624">
        <v>510</v>
      </c>
      <c r="H15" s="624">
        <v>565.70000000000005</v>
      </c>
      <c r="I15" s="624">
        <v>553.1</v>
      </c>
      <c r="J15" s="625">
        <v>291.2</v>
      </c>
      <c r="K15" s="625">
        <v>305.60000000000002</v>
      </c>
      <c r="L15" s="625">
        <v>299.2</v>
      </c>
      <c r="M15" s="625">
        <v>300.89999999999998</v>
      </c>
      <c r="N15" s="625">
        <v>203.2</v>
      </c>
      <c r="O15" s="625">
        <v>211.2</v>
      </c>
      <c r="P15" s="625">
        <v>209.9</v>
      </c>
      <c r="Q15" s="625">
        <v>215.6</v>
      </c>
      <c r="R15" s="625">
        <v>211</v>
      </c>
      <c r="S15" s="625">
        <v>210.8</v>
      </c>
      <c r="T15" s="625">
        <v>210.7</v>
      </c>
      <c r="U15" s="625"/>
      <c r="V15" s="625">
        <v>212.1</v>
      </c>
      <c r="W15" s="625"/>
      <c r="X15" s="625"/>
      <c r="Y15" s="625"/>
      <c r="Z15" s="625"/>
      <c r="AB15">
        <v>5</v>
      </c>
      <c r="AC15">
        <v>43</v>
      </c>
      <c r="AD15">
        <v>16</v>
      </c>
      <c r="AN15" s="103">
        <v>120</v>
      </c>
      <c r="AO15" s="103">
        <v>160</v>
      </c>
      <c r="AQ15" s="830" t="s">
        <v>454</v>
      </c>
      <c r="AR15" s="103">
        <v>10</v>
      </c>
      <c r="AS15" s="103">
        <v>293.94444444444446</v>
      </c>
      <c r="AU15" s="1084">
        <v>557.1</v>
      </c>
      <c r="AV15" s="103">
        <f t="shared" si="0"/>
        <v>291.72222222222223</v>
      </c>
    </row>
    <row r="16" spans="4:48" s="103" customFormat="1" ht="19.5" customHeight="1" x14ac:dyDescent="0.3">
      <c r="D16" s="136">
        <v>6</v>
      </c>
      <c r="E16" s="136">
        <v>500</v>
      </c>
      <c r="F16" s="136">
        <v>560</v>
      </c>
      <c r="G16" s="137">
        <v>518</v>
      </c>
      <c r="H16" s="137">
        <v>569.70000000000005</v>
      </c>
      <c r="I16" s="137">
        <v>558.5</v>
      </c>
      <c r="J16" s="138">
        <v>308.60000000000002</v>
      </c>
      <c r="K16" s="138">
        <v>323.2</v>
      </c>
      <c r="L16" s="138">
        <v>317.3</v>
      </c>
      <c r="M16" s="138">
        <v>317.7</v>
      </c>
      <c r="N16" s="138">
        <v>216</v>
      </c>
      <c r="O16" s="138">
        <v>222.6</v>
      </c>
      <c r="P16" s="138">
        <v>220.8</v>
      </c>
      <c r="Q16" s="138">
        <v>227.3</v>
      </c>
      <c r="R16" s="138">
        <v>222.2</v>
      </c>
      <c r="S16" s="138">
        <v>222.9</v>
      </c>
      <c r="T16" s="138">
        <v>223.5</v>
      </c>
      <c r="U16" s="138"/>
      <c r="V16" s="138">
        <v>221.4</v>
      </c>
      <c r="W16" s="138"/>
      <c r="X16" s="138"/>
      <c r="Y16" s="138"/>
      <c r="Z16" s="138"/>
      <c r="AB16">
        <v>6</v>
      </c>
      <c r="AC16">
        <v>44.6</v>
      </c>
      <c r="AD16">
        <v>15.8</v>
      </c>
      <c r="AQ16" s="830" t="s">
        <v>455</v>
      </c>
      <c r="AR16" s="103">
        <v>11</v>
      </c>
      <c r="AS16" s="103">
        <v>301.94444444444446</v>
      </c>
      <c r="AU16" s="1084">
        <v>572.79999999999995</v>
      </c>
      <c r="AV16" s="103">
        <f t="shared" si="0"/>
        <v>300.44444444444446</v>
      </c>
    </row>
    <row r="17" spans="4:48" s="103" customFormat="1" ht="19.5" customHeight="1" x14ac:dyDescent="0.3">
      <c r="D17" s="136">
        <v>7</v>
      </c>
      <c r="E17" s="136">
        <v>500</v>
      </c>
      <c r="F17" s="136">
        <v>560</v>
      </c>
      <c r="G17" s="137">
        <v>525</v>
      </c>
      <c r="H17" s="137">
        <v>573.20000000000005</v>
      </c>
      <c r="I17" s="137">
        <v>563.20000000000005</v>
      </c>
      <c r="J17" s="138">
        <v>324.2</v>
      </c>
      <c r="K17" s="138">
        <v>338.6</v>
      </c>
      <c r="L17" s="138">
        <v>332.5</v>
      </c>
      <c r="M17" s="138">
        <v>332.7</v>
      </c>
      <c r="N17" s="138">
        <v>226</v>
      </c>
      <c r="O17" s="138">
        <v>234</v>
      </c>
      <c r="P17" s="138">
        <v>231.5</v>
      </c>
      <c r="Q17" s="138">
        <v>238.1</v>
      </c>
      <c r="R17" s="138">
        <v>232.1</v>
      </c>
      <c r="S17" s="138">
        <v>235.2</v>
      </c>
      <c r="T17" s="138">
        <v>234.8</v>
      </c>
      <c r="U17" s="138"/>
      <c r="V17" s="138">
        <v>231.3</v>
      </c>
      <c r="W17" s="138"/>
      <c r="X17" s="138"/>
      <c r="Y17" s="138"/>
      <c r="Z17" s="138"/>
      <c r="AB17">
        <v>7</v>
      </c>
      <c r="AC17">
        <v>44.8</v>
      </c>
      <c r="AD17">
        <v>15.8</v>
      </c>
      <c r="AN17" s="103">
        <v>0</v>
      </c>
      <c r="AO17" s="103">
        <v>360</v>
      </c>
      <c r="AQ17" s="830" t="s">
        <v>456</v>
      </c>
      <c r="AR17" s="103">
        <v>12</v>
      </c>
      <c r="AS17" s="103">
        <v>309.33333333333331</v>
      </c>
      <c r="AU17" s="1084">
        <v>585.5</v>
      </c>
      <c r="AV17" s="103">
        <f t="shared" si="0"/>
        <v>307.5</v>
      </c>
    </row>
    <row r="18" spans="4:48" s="103" customFormat="1" ht="19.5" customHeight="1" x14ac:dyDescent="0.3">
      <c r="D18" s="136">
        <v>8</v>
      </c>
      <c r="E18" s="136">
        <v>500</v>
      </c>
      <c r="F18" s="136">
        <v>560</v>
      </c>
      <c r="G18" s="137">
        <v>533</v>
      </c>
      <c r="H18" s="137">
        <v>576.70000000000005</v>
      </c>
      <c r="I18" s="137">
        <v>567.4</v>
      </c>
      <c r="J18" s="138">
        <v>338.5</v>
      </c>
      <c r="K18" s="138">
        <v>351.3</v>
      </c>
      <c r="L18" s="138">
        <v>345.5</v>
      </c>
      <c r="M18" s="138">
        <v>345.9</v>
      </c>
      <c r="N18" s="138">
        <v>235.1</v>
      </c>
      <c r="O18" s="138">
        <v>244.8</v>
      </c>
      <c r="P18" s="138">
        <v>241.8</v>
      </c>
      <c r="Q18" s="138">
        <v>249.9</v>
      </c>
      <c r="R18" s="138">
        <v>244.3</v>
      </c>
      <c r="S18" s="138">
        <v>246.7</v>
      </c>
      <c r="T18" s="138">
        <v>247.8</v>
      </c>
      <c r="U18" s="138"/>
      <c r="V18" s="138">
        <v>239.7</v>
      </c>
      <c r="W18" s="138"/>
      <c r="X18" s="138"/>
      <c r="Y18" s="138"/>
      <c r="Z18" s="138"/>
      <c r="AB18">
        <v>8</v>
      </c>
      <c r="AC18">
        <v>44.5</v>
      </c>
      <c r="AD18">
        <v>15.8</v>
      </c>
      <c r="AN18" s="103">
        <v>120</v>
      </c>
      <c r="AO18" s="103">
        <v>360</v>
      </c>
      <c r="AQ18" s="830" t="s">
        <v>457</v>
      </c>
      <c r="AR18" s="103">
        <v>13</v>
      </c>
      <c r="AS18" s="103">
        <v>316.44444444444446</v>
      </c>
      <c r="AU18" s="1084">
        <v>599.6</v>
      </c>
      <c r="AV18" s="103">
        <f t="shared" si="0"/>
        <v>315.33333333333331</v>
      </c>
    </row>
    <row r="19" spans="4:48" s="103" customFormat="1" ht="19.5" customHeight="1" x14ac:dyDescent="0.3">
      <c r="D19" s="136">
        <v>9</v>
      </c>
      <c r="E19" s="136">
        <v>500</v>
      </c>
      <c r="F19" s="136">
        <v>560</v>
      </c>
      <c r="G19" s="137">
        <v>538</v>
      </c>
      <c r="H19" s="137">
        <v>580.1</v>
      </c>
      <c r="I19" s="137">
        <v>571.1</v>
      </c>
      <c r="J19" s="138">
        <v>351.6</v>
      </c>
      <c r="K19" s="138">
        <v>362.4</v>
      </c>
      <c r="L19" s="138">
        <v>356.3</v>
      </c>
      <c r="M19" s="138">
        <v>357.3</v>
      </c>
      <c r="N19" s="138">
        <v>245.2</v>
      </c>
      <c r="O19" s="138">
        <v>253.6</v>
      </c>
      <c r="P19" s="138">
        <v>250.5</v>
      </c>
      <c r="Q19" s="138">
        <v>260</v>
      </c>
      <c r="R19" s="138">
        <v>253.8</v>
      </c>
      <c r="S19" s="138">
        <v>256.39999999999998</v>
      </c>
      <c r="T19" s="138">
        <v>258.39999999999998</v>
      </c>
      <c r="U19" s="138"/>
      <c r="V19" s="138">
        <v>249.7</v>
      </c>
      <c r="W19" s="138"/>
      <c r="X19" s="138"/>
      <c r="Y19" s="138"/>
      <c r="Z19" s="138"/>
      <c r="AB19" s="759">
        <v>9</v>
      </c>
      <c r="AC19" s="759">
        <v>45</v>
      </c>
      <c r="AD19" s="759">
        <v>15.7</v>
      </c>
      <c r="AQ19" s="830" t="s">
        <v>458</v>
      </c>
      <c r="AR19" s="103">
        <v>14</v>
      </c>
      <c r="AS19" s="103">
        <v>323.94444444444446</v>
      </c>
      <c r="AU19" s="1084">
        <v>611.79999999999995</v>
      </c>
      <c r="AV19" s="103">
        <f t="shared" si="0"/>
        <v>322.11111111111109</v>
      </c>
    </row>
    <row r="20" spans="4:48" s="103" customFormat="1" ht="19.5" customHeight="1" x14ac:dyDescent="0.3">
      <c r="D20" s="623">
        <v>10</v>
      </c>
      <c r="E20" s="623">
        <v>500</v>
      </c>
      <c r="F20" s="623">
        <v>560</v>
      </c>
      <c r="G20" s="624">
        <v>543.5</v>
      </c>
      <c r="H20" s="624">
        <v>583.4</v>
      </c>
      <c r="I20" s="624">
        <v>574.70000000000005</v>
      </c>
      <c r="J20" s="625">
        <v>363.5</v>
      </c>
      <c r="K20" s="625">
        <v>374.1</v>
      </c>
      <c r="L20" s="625">
        <v>366.7</v>
      </c>
      <c r="M20" s="625">
        <v>367.8</v>
      </c>
      <c r="N20" s="625">
        <v>253.3</v>
      </c>
      <c r="O20" s="625">
        <v>264</v>
      </c>
      <c r="P20" s="625">
        <v>260.3</v>
      </c>
      <c r="Q20" s="625">
        <v>270</v>
      </c>
      <c r="R20" s="625">
        <v>264.8</v>
      </c>
      <c r="S20" s="625">
        <v>267.8</v>
      </c>
      <c r="T20" s="625">
        <v>269.10000000000002</v>
      </c>
      <c r="U20" s="625"/>
      <c r="V20" s="625">
        <v>257</v>
      </c>
      <c r="W20" s="625"/>
      <c r="X20" s="625"/>
      <c r="Y20" s="625"/>
      <c r="Z20" s="625"/>
      <c r="AB20">
        <v>10</v>
      </c>
      <c r="AC20">
        <v>44.6</v>
      </c>
      <c r="AD20">
        <v>15.7</v>
      </c>
      <c r="AN20" s="103">
        <v>0</v>
      </c>
      <c r="AO20" s="103">
        <v>560</v>
      </c>
      <c r="AQ20" s="830" t="s">
        <v>459</v>
      </c>
      <c r="AR20" s="103">
        <v>15</v>
      </c>
      <c r="AS20" s="103">
        <v>330.77777777777777</v>
      </c>
      <c r="AU20" s="1084">
        <v>625.5</v>
      </c>
      <c r="AV20" s="103">
        <f t="shared" si="0"/>
        <v>329.72222222222223</v>
      </c>
    </row>
    <row r="21" spans="4:48" s="103" customFormat="1" ht="19.5" customHeight="1" x14ac:dyDescent="0.3">
      <c r="D21" s="136">
        <v>11</v>
      </c>
      <c r="E21" s="136">
        <v>500</v>
      </c>
      <c r="F21" s="136">
        <v>560</v>
      </c>
      <c r="G21" s="137">
        <v>548</v>
      </c>
      <c r="H21" s="137">
        <v>586.6</v>
      </c>
      <c r="I21" s="137">
        <v>578.20000000000005</v>
      </c>
      <c r="J21" s="138">
        <v>374.4</v>
      </c>
      <c r="K21" s="138">
        <v>387.1</v>
      </c>
      <c r="L21" s="138">
        <v>378.3</v>
      </c>
      <c r="M21" s="138">
        <v>379.7</v>
      </c>
      <c r="N21" s="138">
        <v>262.5</v>
      </c>
      <c r="O21" s="138">
        <v>273.10000000000002</v>
      </c>
      <c r="P21" s="138">
        <v>268.3</v>
      </c>
      <c r="Q21" s="138">
        <v>280.2</v>
      </c>
      <c r="R21" s="138">
        <v>274.10000000000002</v>
      </c>
      <c r="S21" s="138">
        <v>277.8</v>
      </c>
      <c r="T21" s="138">
        <v>280.2</v>
      </c>
      <c r="U21" s="138"/>
      <c r="V21" s="138">
        <v>266.5</v>
      </c>
      <c r="W21" s="138"/>
      <c r="X21" s="138"/>
      <c r="Y21" s="138"/>
      <c r="Z21" s="138"/>
      <c r="AB21">
        <v>11</v>
      </c>
      <c r="AC21">
        <v>45</v>
      </c>
      <c r="AD21">
        <v>15.6</v>
      </c>
      <c r="AN21" s="103">
        <v>120</v>
      </c>
      <c r="AO21" s="103">
        <v>560</v>
      </c>
      <c r="AQ21" s="830" t="s">
        <v>460</v>
      </c>
      <c r="AR21" s="103">
        <v>16</v>
      </c>
      <c r="AS21" s="103">
        <v>338.05555555555554</v>
      </c>
      <c r="AU21" s="1084">
        <v>637.6</v>
      </c>
      <c r="AV21" s="103">
        <f t="shared" si="0"/>
        <v>336.44444444444446</v>
      </c>
    </row>
    <row r="22" spans="4:48" s="103" customFormat="1" ht="19.5" customHeight="1" x14ac:dyDescent="0.3">
      <c r="D22" s="136">
        <v>12</v>
      </c>
      <c r="E22" s="136">
        <v>500</v>
      </c>
      <c r="F22" s="136">
        <v>560</v>
      </c>
      <c r="G22" s="137">
        <v>553</v>
      </c>
      <c r="H22" s="137">
        <v>589.6</v>
      </c>
      <c r="I22" s="137">
        <v>581.70000000000005</v>
      </c>
      <c r="J22" s="138">
        <v>384.5</v>
      </c>
      <c r="K22" s="138">
        <v>397.2</v>
      </c>
      <c r="L22" s="138">
        <v>390.2</v>
      </c>
      <c r="M22" s="138">
        <v>391.3</v>
      </c>
      <c r="N22" s="138">
        <v>270.2</v>
      </c>
      <c r="O22" s="138">
        <v>283</v>
      </c>
      <c r="P22" s="138">
        <v>278.10000000000002</v>
      </c>
      <c r="Q22" s="138">
        <v>289.60000000000002</v>
      </c>
      <c r="R22" s="138">
        <v>283.10000000000002</v>
      </c>
      <c r="S22" s="138">
        <v>287.10000000000002</v>
      </c>
      <c r="T22" s="138">
        <v>290.60000000000002</v>
      </c>
      <c r="U22" s="138"/>
      <c r="V22" s="138">
        <v>274</v>
      </c>
      <c r="W22" s="138"/>
      <c r="X22" s="138"/>
      <c r="Y22" s="138"/>
      <c r="Z22" s="138"/>
      <c r="AB22">
        <v>12</v>
      </c>
      <c r="AC22">
        <v>45</v>
      </c>
      <c r="AD22">
        <v>15</v>
      </c>
      <c r="AQ22" s="830" t="s">
        <v>461</v>
      </c>
      <c r="AR22" s="103">
        <v>17</v>
      </c>
      <c r="AS22" s="103">
        <v>344.66666666666669</v>
      </c>
      <c r="AU22" s="1084">
        <v>650.6</v>
      </c>
      <c r="AV22" s="103">
        <f t="shared" si="0"/>
        <v>343.66666666666669</v>
      </c>
    </row>
    <row r="23" spans="4:48" s="103" customFormat="1" ht="19.5" customHeight="1" x14ac:dyDescent="0.3">
      <c r="D23" s="136">
        <v>13</v>
      </c>
      <c r="E23" s="136">
        <v>500</v>
      </c>
      <c r="F23" s="136">
        <v>560</v>
      </c>
      <c r="G23" s="137">
        <v>556</v>
      </c>
      <c r="H23" s="137">
        <v>592.6</v>
      </c>
      <c r="I23" s="137">
        <v>585.1</v>
      </c>
      <c r="J23" s="138">
        <v>394.2</v>
      </c>
      <c r="K23" s="138">
        <v>406</v>
      </c>
      <c r="L23" s="138">
        <v>398.9</v>
      </c>
      <c r="M23" s="138">
        <v>400</v>
      </c>
      <c r="N23" s="138">
        <v>278.8</v>
      </c>
      <c r="O23" s="138">
        <v>291.5</v>
      </c>
      <c r="P23" s="138">
        <v>286.39999999999998</v>
      </c>
      <c r="Q23" s="138">
        <v>298.89999999999998</v>
      </c>
      <c r="R23" s="138">
        <v>292.8</v>
      </c>
      <c r="S23" s="138">
        <v>296.8</v>
      </c>
      <c r="T23" s="138">
        <v>299.89999999999998</v>
      </c>
      <c r="U23" s="138"/>
      <c r="V23" s="138">
        <v>283.3</v>
      </c>
      <c r="W23" s="138"/>
      <c r="X23" s="138"/>
      <c r="Y23" s="138"/>
      <c r="Z23" s="138"/>
      <c r="AB23">
        <v>13</v>
      </c>
      <c r="AC23">
        <v>45.2</v>
      </c>
      <c r="AD23">
        <v>15.6</v>
      </c>
      <c r="AN23" s="103">
        <v>2</v>
      </c>
      <c r="AO23" s="103">
        <v>-2</v>
      </c>
      <c r="AQ23" s="830" t="s">
        <v>462</v>
      </c>
      <c r="AR23" s="103">
        <v>18</v>
      </c>
      <c r="AS23" s="103">
        <v>351.44444444444446</v>
      </c>
      <c r="AU23" s="1084">
        <v>662.2</v>
      </c>
      <c r="AV23" s="103">
        <f t="shared" si="0"/>
        <v>350.11111111111109</v>
      </c>
    </row>
    <row r="24" spans="4:48" s="103" customFormat="1" ht="19.5" customHeight="1" x14ac:dyDescent="0.3">
      <c r="D24" s="136">
        <v>14</v>
      </c>
      <c r="E24" s="136">
        <v>500</v>
      </c>
      <c r="F24" s="136">
        <v>560</v>
      </c>
      <c r="G24" s="137">
        <v>560</v>
      </c>
      <c r="H24" s="137">
        <v>595.6</v>
      </c>
      <c r="I24" s="137">
        <v>588.4</v>
      </c>
      <c r="J24" s="138">
        <v>404</v>
      </c>
      <c r="K24" s="138">
        <v>414.7</v>
      </c>
      <c r="L24" s="138">
        <v>407.3</v>
      </c>
      <c r="M24" s="138">
        <v>408.3</v>
      </c>
      <c r="N24" s="138">
        <v>286.39999999999998</v>
      </c>
      <c r="O24" s="138">
        <v>299.39999999999998</v>
      </c>
      <c r="P24" s="138">
        <v>294.60000000000002</v>
      </c>
      <c r="Q24" s="138">
        <v>307.10000000000002</v>
      </c>
      <c r="R24" s="138">
        <v>301</v>
      </c>
      <c r="S24" s="138">
        <v>305.2</v>
      </c>
      <c r="T24" s="138">
        <v>309</v>
      </c>
      <c r="U24" s="138"/>
      <c r="V24" s="138">
        <v>290.89999999999998</v>
      </c>
      <c r="W24" s="138"/>
      <c r="X24" s="138"/>
      <c r="Y24" s="138"/>
      <c r="Z24" s="138"/>
      <c r="AB24">
        <v>14</v>
      </c>
      <c r="AC24">
        <v>45.4</v>
      </c>
      <c r="AD24">
        <v>15.6</v>
      </c>
      <c r="AN24" s="103">
        <v>2</v>
      </c>
      <c r="AO24" s="103">
        <v>160</v>
      </c>
      <c r="AQ24" s="830" t="s">
        <v>463</v>
      </c>
      <c r="AR24" s="103">
        <v>19</v>
      </c>
      <c r="AS24" s="103">
        <v>357.22222222222223</v>
      </c>
      <c r="AU24" s="1084">
        <v>673.4</v>
      </c>
      <c r="AV24" s="103">
        <f t="shared" si="0"/>
        <v>356.33333333333331</v>
      </c>
    </row>
    <row r="25" spans="4:48" s="103" customFormat="1" ht="19.5" customHeight="1" thickBot="1" x14ac:dyDescent="0.35">
      <c r="D25" s="623">
        <v>15</v>
      </c>
      <c r="E25" s="623">
        <v>500</v>
      </c>
      <c r="F25" s="623">
        <v>560</v>
      </c>
      <c r="G25" s="624">
        <v>563</v>
      </c>
      <c r="H25" s="624">
        <v>598.5</v>
      </c>
      <c r="I25" s="624">
        <v>591.6</v>
      </c>
      <c r="J25" s="625">
        <v>413.2</v>
      </c>
      <c r="K25" s="625">
        <v>424.4</v>
      </c>
      <c r="L25" s="625">
        <v>415.7</v>
      </c>
      <c r="M25" s="625">
        <v>417</v>
      </c>
      <c r="N25" s="625">
        <v>294.10000000000002</v>
      </c>
      <c r="O25" s="625">
        <v>306.89999999999998</v>
      </c>
      <c r="P25" s="625">
        <v>301.60000000000002</v>
      </c>
      <c r="Q25" s="625">
        <v>315.2</v>
      </c>
      <c r="R25" s="625">
        <v>310</v>
      </c>
      <c r="S25" s="625">
        <v>314.5</v>
      </c>
      <c r="T25" s="625">
        <v>317.3</v>
      </c>
      <c r="U25" s="625"/>
      <c r="V25" s="625">
        <v>298.7</v>
      </c>
      <c r="W25" s="625"/>
      <c r="X25" s="625"/>
      <c r="Y25" s="625"/>
      <c r="Z25" s="625"/>
      <c r="AB25" s="759">
        <v>15</v>
      </c>
      <c r="AC25" s="759">
        <v>45.5</v>
      </c>
      <c r="AD25" s="759">
        <v>15</v>
      </c>
      <c r="AQ25" s="830" t="s">
        <v>464</v>
      </c>
      <c r="AR25" s="103">
        <v>20</v>
      </c>
      <c r="AS25" s="103">
        <v>363.72222222222223</v>
      </c>
      <c r="AU25" s="1084">
        <v>684.7</v>
      </c>
      <c r="AV25" s="103">
        <f t="shared" si="0"/>
        <v>362.61111111111109</v>
      </c>
    </row>
    <row r="26" spans="4:48" s="103" customFormat="1" ht="19.5" customHeight="1" thickBot="1" x14ac:dyDescent="0.35">
      <c r="D26" s="136">
        <v>16</v>
      </c>
      <c r="E26" s="136">
        <v>500</v>
      </c>
      <c r="F26" s="136">
        <v>560</v>
      </c>
      <c r="G26" s="137">
        <v>566</v>
      </c>
      <c r="H26" s="137">
        <v>601.4</v>
      </c>
      <c r="I26" s="137">
        <v>594.79999999999995</v>
      </c>
      <c r="J26" s="138">
        <v>421.9</v>
      </c>
      <c r="K26" s="138">
        <v>433.3</v>
      </c>
      <c r="L26" s="138">
        <v>424.9</v>
      </c>
      <c r="M26" s="138">
        <v>426.3</v>
      </c>
      <c r="N26" s="138">
        <v>301</v>
      </c>
      <c r="O26" s="138">
        <v>314.2</v>
      </c>
      <c r="P26" s="138">
        <v>309.5</v>
      </c>
      <c r="Q26" s="138">
        <v>323.3</v>
      </c>
      <c r="R26" s="138">
        <v>317.3</v>
      </c>
      <c r="S26" s="138">
        <v>322.2</v>
      </c>
      <c r="T26" s="138">
        <v>327</v>
      </c>
      <c r="U26" s="138"/>
      <c r="V26" s="138">
        <v>305.2</v>
      </c>
      <c r="W26" s="138"/>
      <c r="X26" s="138"/>
      <c r="Y26" s="138"/>
      <c r="Z26" s="138"/>
      <c r="AB26" s="760">
        <v>16</v>
      </c>
      <c r="AC26" s="760">
        <v>45.5</v>
      </c>
      <c r="AD26" s="760">
        <v>15.1</v>
      </c>
      <c r="AQ26" s="830" t="s">
        <v>465</v>
      </c>
      <c r="AR26" s="103">
        <v>21</v>
      </c>
      <c r="AS26" s="103">
        <v>369.5</v>
      </c>
      <c r="AU26" s="1084">
        <v>695.5</v>
      </c>
      <c r="AV26" s="103">
        <f t="shared" si="0"/>
        <v>368.61111111111109</v>
      </c>
    </row>
    <row r="27" spans="4:48" s="103" customFormat="1" ht="19.5" customHeight="1" x14ac:dyDescent="0.3">
      <c r="D27" s="136">
        <v>17</v>
      </c>
      <c r="E27" s="136">
        <v>500</v>
      </c>
      <c r="F27" s="136">
        <v>560</v>
      </c>
      <c r="G27" s="137">
        <v>569</v>
      </c>
      <c r="H27" s="137">
        <v>604.4</v>
      </c>
      <c r="I27" s="137">
        <v>598</v>
      </c>
      <c r="J27" s="138">
        <v>430.1</v>
      </c>
      <c r="K27" s="138">
        <v>441.2</v>
      </c>
      <c r="L27" s="138">
        <v>433.3</v>
      </c>
      <c r="M27" s="138">
        <v>434.6</v>
      </c>
      <c r="N27" s="138">
        <v>308</v>
      </c>
      <c r="O27" s="138">
        <v>321.7</v>
      </c>
      <c r="P27" s="138">
        <v>316</v>
      </c>
      <c r="Q27" s="138">
        <v>330.6</v>
      </c>
      <c r="R27" s="138">
        <v>325.10000000000002</v>
      </c>
      <c r="S27" s="138">
        <v>330</v>
      </c>
      <c r="T27" s="138">
        <v>335.1</v>
      </c>
      <c r="U27" s="138"/>
      <c r="V27" s="138">
        <v>313</v>
      </c>
      <c r="W27" s="138"/>
      <c r="X27" s="138"/>
      <c r="Y27" s="138"/>
      <c r="Z27" s="138"/>
      <c r="AQ27" s="830" t="s">
        <v>466</v>
      </c>
      <c r="AR27" s="103">
        <v>22</v>
      </c>
      <c r="AS27" s="103">
        <v>375.66666666666669</v>
      </c>
      <c r="AU27" s="1084">
        <v>706.5</v>
      </c>
      <c r="AV27" s="103">
        <f t="shared" si="0"/>
        <v>374.72222222222223</v>
      </c>
    </row>
    <row r="28" spans="4:48" s="103" customFormat="1" ht="19.5" customHeight="1" x14ac:dyDescent="0.3">
      <c r="D28" s="136">
        <v>18</v>
      </c>
      <c r="E28" s="136">
        <v>500</v>
      </c>
      <c r="F28" s="136">
        <v>560</v>
      </c>
      <c r="G28" s="137">
        <v>572</v>
      </c>
      <c r="H28" s="137">
        <v>607.29999999999995</v>
      </c>
      <c r="I28" s="137">
        <v>601.20000000000005</v>
      </c>
      <c r="J28" s="138">
        <v>438.5</v>
      </c>
      <c r="K28" s="138">
        <v>448.8</v>
      </c>
      <c r="L28" s="138">
        <v>440.7</v>
      </c>
      <c r="M28" s="138">
        <v>442.1</v>
      </c>
      <c r="N28" s="138">
        <v>314.89999999999998</v>
      </c>
      <c r="O28" s="138">
        <v>328.5</v>
      </c>
      <c r="P28" s="138">
        <v>323.7</v>
      </c>
      <c r="Q28" s="138">
        <v>339.1</v>
      </c>
      <c r="R28" s="138">
        <v>333.3</v>
      </c>
      <c r="S28" s="138">
        <v>338.6</v>
      </c>
      <c r="T28" s="138">
        <v>343</v>
      </c>
      <c r="U28" s="138"/>
      <c r="V28" s="138">
        <v>319.2</v>
      </c>
      <c r="W28" s="138"/>
      <c r="X28" s="138"/>
      <c r="Y28" s="138"/>
      <c r="Z28" s="138"/>
      <c r="AQ28" s="830" t="s">
        <v>467</v>
      </c>
      <c r="AR28" s="103">
        <v>23</v>
      </c>
      <c r="AS28" s="103">
        <v>381.33333333333331</v>
      </c>
      <c r="AU28" s="1084">
        <v>716.8</v>
      </c>
      <c r="AV28" s="103">
        <f t="shared" si="0"/>
        <v>380.44444444444446</v>
      </c>
    </row>
    <row r="29" spans="4:48" s="103" customFormat="1" ht="19.5" customHeight="1" x14ac:dyDescent="0.3">
      <c r="D29" s="136">
        <v>19</v>
      </c>
      <c r="E29" s="136">
        <v>500</v>
      </c>
      <c r="F29" s="136">
        <v>560</v>
      </c>
      <c r="G29" s="137">
        <v>575</v>
      </c>
      <c r="H29" s="137">
        <v>610.20000000000005</v>
      </c>
      <c r="I29" s="137">
        <v>604.6</v>
      </c>
      <c r="J29" s="138">
        <v>446.5</v>
      </c>
      <c r="K29" s="138">
        <v>457.3</v>
      </c>
      <c r="L29" s="138">
        <v>448</v>
      </c>
      <c r="M29" s="138">
        <v>449.4</v>
      </c>
      <c r="N29" s="138">
        <v>321.3</v>
      </c>
      <c r="O29" s="138">
        <v>336.2</v>
      </c>
      <c r="P29" s="138">
        <v>330.2</v>
      </c>
      <c r="Q29" s="138">
        <v>346.3</v>
      </c>
      <c r="R29" s="138">
        <v>340.7</v>
      </c>
      <c r="S29" s="138">
        <v>346</v>
      </c>
      <c r="T29" s="138">
        <v>351.5</v>
      </c>
      <c r="U29" s="138"/>
      <c r="V29" s="138">
        <v>326.5</v>
      </c>
      <c r="W29" s="138"/>
      <c r="X29" s="138"/>
      <c r="Y29" s="138"/>
      <c r="Z29" s="138"/>
      <c r="AQ29" s="830" t="s">
        <v>468</v>
      </c>
      <c r="AR29" s="103">
        <v>24</v>
      </c>
      <c r="AS29" s="103">
        <v>387.44444444444446</v>
      </c>
      <c r="AU29" s="1084">
        <v>727.9</v>
      </c>
      <c r="AV29" s="103">
        <f t="shared" si="0"/>
        <v>386.61111111111109</v>
      </c>
    </row>
    <row r="30" spans="4:48" s="103" customFormat="1" ht="19.5" customHeight="1" x14ac:dyDescent="0.3">
      <c r="D30" s="623">
        <v>20</v>
      </c>
      <c r="E30" s="623">
        <v>500</v>
      </c>
      <c r="F30" s="623">
        <v>560</v>
      </c>
      <c r="G30" s="624">
        <v>578</v>
      </c>
      <c r="H30" s="624">
        <v>613.1</v>
      </c>
      <c r="I30" s="624">
        <v>607.9</v>
      </c>
      <c r="J30" s="625">
        <v>454.4</v>
      </c>
      <c r="K30" s="625">
        <v>465.4</v>
      </c>
      <c r="L30" s="625">
        <v>455.9</v>
      </c>
      <c r="M30" s="625">
        <v>457.4</v>
      </c>
      <c r="N30" s="625">
        <v>328.2</v>
      </c>
      <c r="O30" s="625">
        <v>342.6</v>
      </c>
      <c r="P30" s="625">
        <v>337.5</v>
      </c>
      <c r="Q30" s="625">
        <v>353.6</v>
      </c>
      <c r="R30" s="625">
        <v>349</v>
      </c>
      <c r="S30" s="625">
        <v>353.6</v>
      </c>
      <c r="T30" s="625">
        <v>358.6</v>
      </c>
      <c r="U30" s="625"/>
      <c r="V30" s="625">
        <v>332.5</v>
      </c>
      <c r="W30" s="625"/>
      <c r="X30" s="625"/>
      <c r="Y30" s="625"/>
      <c r="Z30" s="625"/>
      <c r="AQ30" s="830" t="s">
        <v>469</v>
      </c>
      <c r="AR30" s="103">
        <v>25</v>
      </c>
      <c r="AS30" s="103">
        <v>392.88888888888891</v>
      </c>
      <c r="AU30" s="1084">
        <v>737.7</v>
      </c>
      <c r="AV30" s="103">
        <f t="shared" si="0"/>
        <v>392.05555555555554</v>
      </c>
    </row>
    <row r="31" spans="4:48" s="103" customFormat="1" ht="19.5" customHeight="1" x14ac:dyDescent="0.3">
      <c r="D31" s="136">
        <v>21</v>
      </c>
      <c r="E31" s="136">
        <v>500</v>
      </c>
      <c r="F31" s="136">
        <v>560</v>
      </c>
      <c r="G31" s="137">
        <v>581</v>
      </c>
      <c r="H31" s="137">
        <v>616.1</v>
      </c>
      <c r="I31" s="137">
        <v>611.20000000000005</v>
      </c>
      <c r="J31" s="138">
        <v>462</v>
      </c>
      <c r="K31" s="138">
        <v>472.5</v>
      </c>
      <c r="L31" s="138">
        <v>463.6</v>
      </c>
      <c r="M31" s="138">
        <v>465.2</v>
      </c>
      <c r="N31" s="138">
        <v>334.2</v>
      </c>
      <c r="O31" s="138">
        <v>349.8</v>
      </c>
      <c r="P31" s="138">
        <v>343.9</v>
      </c>
      <c r="Q31" s="138">
        <v>359.8</v>
      </c>
      <c r="R31" s="138">
        <v>356</v>
      </c>
      <c r="S31" s="138">
        <v>360.1</v>
      </c>
      <c r="T31" s="138">
        <v>365.6</v>
      </c>
      <c r="U31" s="138"/>
      <c r="V31" s="138">
        <v>339.7</v>
      </c>
      <c r="W31" s="138"/>
      <c r="X31" s="138"/>
      <c r="Y31" s="138"/>
      <c r="Z31" s="138"/>
      <c r="AQ31" s="830" t="s">
        <v>470</v>
      </c>
      <c r="AR31" s="103">
        <v>26</v>
      </c>
      <c r="AS31" s="103">
        <v>398.72222222222223</v>
      </c>
      <c r="AU31" s="1084">
        <v>748.5</v>
      </c>
      <c r="AV31" s="103">
        <f t="shared" si="0"/>
        <v>398.05555555555554</v>
      </c>
    </row>
    <row r="32" spans="4:48" s="103" customFormat="1" ht="19.5" customHeight="1" x14ac:dyDescent="0.3">
      <c r="D32" s="136">
        <v>22</v>
      </c>
      <c r="E32" s="136">
        <v>500</v>
      </c>
      <c r="F32" s="136">
        <v>560</v>
      </c>
      <c r="G32" s="137">
        <v>584</v>
      </c>
      <c r="H32" s="137">
        <v>619.20000000000005</v>
      </c>
      <c r="I32" s="137">
        <v>614.5</v>
      </c>
      <c r="J32" s="138">
        <v>469.5</v>
      </c>
      <c r="K32" s="138">
        <v>479.5</v>
      </c>
      <c r="L32" s="138">
        <v>470.6</v>
      </c>
      <c r="M32" s="138">
        <v>472.3</v>
      </c>
      <c r="N32" s="138">
        <v>340.8</v>
      </c>
      <c r="O32" s="138">
        <v>355.6</v>
      </c>
      <c r="P32" s="138">
        <v>350.3</v>
      </c>
      <c r="Q32" s="138">
        <v>366.1</v>
      </c>
      <c r="R32" s="138">
        <v>363.3</v>
      </c>
      <c r="S32" s="138">
        <v>366.6</v>
      </c>
      <c r="T32" s="138">
        <v>374.5</v>
      </c>
      <c r="U32" s="138"/>
      <c r="V32" s="138">
        <v>345.6</v>
      </c>
      <c r="W32" s="138"/>
      <c r="X32" s="138"/>
      <c r="Y32" s="138"/>
      <c r="Z32" s="138"/>
      <c r="AQ32" s="830" t="s">
        <v>471</v>
      </c>
      <c r="AR32" s="103">
        <v>27</v>
      </c>
      <c r="AS32" s="103">
        <v>403.88888888888891</v>
      </c>
      <c r="AU32" s="1084">
        <v>757.8</v>
      </c>
      <c r="AV32" s="103">
        <f t="shared" si="0"/>
        <v>403.22222222222223</v>
      </c>
    </row>
    <row r="33" spans="4:48" s="103" customFormat="1" ht="19.5" customHeight="1" x14ac:dyDescent="0.3">
      <c r="D33" s="136">
        <v>23</v>
      </c>
      <c r="E33" s="136">
        <v>500</v>
      </c>
      <c r="F33" s="136">
        <v>560</v>
      </c>
      <c r="G33" s="137">
        <v>587</v>
      </c>
      <c r="H33" s="137">
        <v>622.29999999999995</v>
      </c>
      <c r="I33" s="137">
        <v>618</v>
      </c>
      <c r="J33" s="138">
        <v>476.7</v>
      </c>
      <c r="K33" s="138">
        <v>486.9</v>
      </c>
      <c r="L33" s="138">
        <v>477.3</v>
      </c>
      <c r="M33" s="138">
        <v>479</v>
      </c>
      <c r="N33" s="138">
        <v>346.4</v>
      </c>
      <c r="O33" s="138">
        <v>362.1</v>
      </c>
      <c r="P33" s="138">
        <v>355.9</v>
      </c>
      <c r="Q33" s="138">
        <v>374</v>
      </c>
      <c r="R33" s="138">
        <v>370.6</v>
      </c>
      <c r="S33" s="138">
        <v>374.8</v>
      </c>
      <c r="T33" s="138">
        <v>382.9</v>
      </c>
      <c r="U33" s="138"/>
      <c r="V33" s="138">
        <v>352.5</v>
      </c>
      <c r="W33" s="138"/>
      <c r="X33" s="138"/>
      <c r="Y33" s="138"/>
      <c r="Z33" s="138"/>
      <c r="AQ33" s="830" t="s">
        <v>472</v>
      </c>
      <c r="AR33" s="103">
        <v>28</v>
      </c>
      <c r="AS33" s="103">
        <v>409.44444444444446</v>
      </c>
      <c r="AU33" s="1084">
        <v>768.1</v>
      </c>
      <c r="AV33" s="103">
        <f t="shared" si="0"/>
        <v>408.94444444444446</v>
      </c>
    </row>
    <row r="34" spans="4:48" s="103" customFormat="1" ht="19.5" customHeight="1" x14ac:dyDescent="0.3">
      <c r="D34" s="136">
        <v>24</v>
      </c>
      <c r="E34" s="136">
        <v>500</v>
      </c>
      <c r="F34" s="136">
        <v>560</v>
      </c>
      <c r="G34" s="137">
        <v>590</v>
      </c>
      <c r="H34" s="137">
        <v>625.29999999999995</v>
      </c>
      <c r="I34" s="137">
        <v>621.5</v>
      </c>
      <c r="J34" s="138">
        <v>483.7</v>
      </c>
      <c r="K34" s="138">
        <v>494.3</v>
      </c>
      <c r="L34" s="138">
        <v>484.2</v>
      </c>
      <c r="M34" s="138">
        <v>486.1</v>
      </c>
      <c r="N34" s="138">
        <v>352.3</v>
      </c>
      <c r="O34" s="138">
        <v>368</v>
      </c>
      <c r="P34" s="138">
        <v>361.9</v>
      </c>
      <c r="Q34" s="138">
        <v>381.7</v>
      </c>
      <c r="R34" s="138">
        <v>377.3</v>
      </c>
      <c r="S34" s="138">
        <v>382.7</v>
      </c>
      <c r="T34" s="138">
        <v>391.3</v>
      </c>
      <c r="U34" s="138"/>
      <c r="V34" s="138">
        <v>358.2</v>
      </c>
      <c r="W34" s="138"/>
      <c r="X34" s="138"/>
      <c r="Y34" s="138"/>
      <c r="Z34" s="138"/>
      <c r="AQ34" s="830" t="s">
        <v>473</v>
      </c>
      <c r="AR34" s="103">
        <v>29</v>
      </c>
      <c r="AS34" s="103">
        <v>414.61111111111109</v>
      </c>
      <c r="AU34" s="1084">
        <v>777.4</v>
      </c>
      <c r="AV34" s="103">
        <f t="shared" si="0"/>
        <v>414.11111111111109</v>
      </c>
    </row>
    <row r="35" spans="4:48" s="103" customFormat="1" ht="19.5" customHeight="1" x14ac:dyDescent="0.3">
      <c r="D35" s="136">
        <v>25</v>
      </c>
      <c r="E35" s="136">
        <v>500</v>
      </c>
      <c r="F35" s="136">
        <v>560</v>
      </c>
      <c r="G35" s="137">
        <v>593</v>
      </c>
      <c r="H35" s="137">
        <v>628.4</v>
      </c>
      <c r="I35" s="137">
        <v>624.9</v>
      </c>
      <c r="J35" s="138">
        <v>490.4</v>
      </c>
      <c r="K35" s="138">
        <v>500.6</v>
      </c>
      <c r="L35" s="138">
        <v>491.3</v>
      </c>
      <c r="M35" s="138">
        <v>493.1</v>
      </c>
      <c r="N35" s="138">
        <v>357.5</v>
      </c>
      <c r="O35" s="138">
        <v>375.3</v>
      </c>
      <c r="P35" s="138">
        <v>367.7</v>
      </c>
      <c r="Q35" s="138">
        <v>389.7</v>
      </c>
      <c r="R35" s="138">
        <v>384.7</v>
      </c>
      <c r="S35" s="138">
        <v>390.7</v>
      </c>
      <c r="T35" s="138">
        <v>398.8</v>
      </c>
      <c r="U35" s="138"/>
      <c r="V35" s="138">
        <v>364.6</v>
      </c>
      <c r="W35" s="138"/>
      <c r="X35" s="138"/>
      <c r="Y35" s="138"/>
      <c r="Z35" s="138"/>
      <c r="AQ35" s="830" t="s">
        <v>474</v>
      </c>
      <c r="AR35" s="103">
        <v>30</v>
      </c>
      <c r="AS35" s="103">
        <v>420</v>
      </c>
      <c r="AU35" s="1084">
        <v>787.4</v>
      </c>
      <c r="AV35" s="103">
        <f t="shared" si="0"/>
        <v>419.66666666666669</v>
      </c>
    </row>
    <row r="36" spans="4:48" s="103" customFormat="1" ht="19.5" customHeight="1" x14ac:dyDescent="0.3">
      <c r="D36" s="136">
        <v>26</v>
      </c>
      <c r="E36" s="136">
        <v>500</v>
      </c>
      <c r="F36" s="136">
        <v>560</v>
      </c>
      <c r="G36" s="137">
        <v>595</v>
      </c>
      <c r="H36" s="137">
        <v>631.4</v>
      </c>
      <c r="I36" s="137">
        <v>628.4</v>
      </c>
      <c r="J36" s="138">
        <v>496.8</v>
      </c>
      <c r="K36" s="138">
        <v>506.4</v>
      </c>
      <c r="L36" s="138">
        <v>497.8</v>
      </c>
      <c r="M36" s="138">
        <v>499.3</v>
      </c>
      <c r="N36" s="138">
        <v>363.2</v>
      </c>
      <c r="O36" s="138">
        <v>382.2</v>
      </c>
      <c r="P36" s="138">
        <v>374.1</v>
      </c>
      <c r="Q36" s="138">
        <v>396.3</v>
      </c>
      <c r="R36" s="138">
        <v>391.2</v>
      </c>
      <c r="S36" s="138">
        <v>397.6</v>
      </c>
      <c r="T36" s="138">
        <v>406</v>
      </c>
      <c r="U36" s="138"/>
      <c r="V36" s="138">
        <v>370.5</v>
      </c>
      <c r="W36" s="138"/>
      <c r="X36" s="138"/>
      <c r="Y36" s="138"/>
      <c r="Z36" s="138"/>
      <c r="AQ36" s="830" t="s">
        <v>475</v>
      </c>
      <c r="AR36" s="103">
        <v>31</v>
      </c>
      <c r="AS36" s="103">
        <v>424.94444444444446</v>
      </c>
      <c r="AU36" s="1084">
        <v>796.5</v>
      </c>
      <c r="AV36" s="103">
        <f t="shared" si="0"/>
        <v>424.72222222222223</v>
      </c>
    </row>
    <row r="37" spans="4:48" s="103" customFormat="1" ht="19.5" customHeight="1" x14ac:dyDescent="0.3">
      <c r="D37" s="136">
        <v>27</v>
      </c>
      <c r="E37" s="136">
        <v>500</v>
      </c>
      <c r="F37" s="136">
        <v>560</v>
      </c>
      <c r="G37" s="137">
        <v>598</v>
      </c>
      <c r="H37" s="137">
        <v>634.4</v>
      </c>
      <c r="I37" s="137">
        <v>631.79999999999995</v>
      </c>
      <c r="J37" s="138">
        <v>502.6</v>
      </c>
      <c r="K37" s="138">
        <v>512.4</v>
      </c>
      <c r="L37" s="138">
        <v>503.3</v>
      </c>
      <c r="M37" s="138">
        <v>505</v>
      </c>
      <c r="N37" s="138">
        <v>368.5</v>
      </c>
      <c r="O37" s="138">
        <v>389</v>
      </c>
      <c r="P37" s="138">
        <v>381.5</v>
      </c>
      <c r="Q37" s="138">
        <v>402.4</v>
      </c>
      <c r="R37" s="138">
        <v>397.6</v>
      </c>
      <c r="S37" s="138">
        <v>404.1</v>
      </c>
      <c r="T37" s="138">
        <v>412.9</v>
      </c>
      <c r="U37" s="138"/>
      <c r="V37" s="138">
        <v>377.3</v>
      </c>
      <c r="W37" s="138"/>
      <c r="X37" s="138"/>
      <c r="Y37" s="138"/>
      <c r="Z37" s="138"/>
      <c r="AQ37" s="830" t="s">
        <v>476</v>
      </c>
      <c r="AR37" s="103">
        <v>32</v>
      </c>
      <c r="AS37" s="103">
        <v>430.27777777777777</v>
      </c>
      <c r="AU37" s="1084">
        <v>806.3</v>
      </c>
      <c r="AV37" s="103">
        <f t="shared" si="0"/>
        <v>430.16666666666669</v>
      </c>
    </row>
    <row r="38" spans="4:48" s="103" customFormat="1" ht="19.5" customHeight="1" x14ac:dyDescent="0.3">
      <c r="D38" s="136">
        <v>28</v>
      </c>
      <c r="E38" s="136">
        <v>500</v>
      </c>
      <c r="F38" s="136">
        <v>560</v>
      </c>
      <c r="G38" s="137">
        <v>600</v>
      </c>
      <c r="H38" s="137">
        <v>637.5</v>
      </c>
      <c r="I38" s="137">
        <v>635.20000000000005</v>
      </c>
      <c r="J38" s="138">
        <v>508.1</v>
      </c>
      <c r="K38" s="138">
        <v>518.70000000000005</v>
      </c>
      <c r="L38" s="138">
        <v>508.7</v>
      </c>
      <c r="M38" s="138">
        <v>510.6</v>
      </c>
      <c r="N38" s="138">
        <v>375.1</v>
      </c>
      <c r="O38" s="138">
        <v>395.6</v>
      </c>
      <c r="P38" s="138">
        <v>388.1</v>
      </c>
      <c r="Q38" s="138">
        <v>409.2</v>
      </c>
      <c r="R38" s="138">
        <v>404.9</v>
      </c>
      <c r="S38" s="138">
        <v>410.6</v>
      </c>
      <c r="T38" s="138">
        <v>420.2</v>
      </c>
      <c r="U38" s="138"/>
      <c r="V38" s="138">
        <v>383.6</v>
      </c>
      <c r="W38" s="138"/>
      <c r="X38" s="138"/>
      <c r="Y38" s="138"/>
      <c r="Z38" s="138"/>
      <c r="AQ38" s="830" t="s">
        <v>477</v>
      </c>
      <c r="AR38" s="103">
        <v>33</v>
      </c>
      <c r="AS38" s="103">
        <v>435.33333333333331</v>
      </c>
      <c r="AU38" s="1084">
        <v>815.5</v>
      </c>
      <c r="AV38" s="103">
        <f t="shared" si="0"/>
        <v>435.27777777777777</v>
      </c>
    </row>
    <row r="39" spans="4:48" s="103" customFormat="1" ht="19.5" customHeight="1" x14ac:dyDescent="0.3">
      <c r="D39" s="136">
        <v>29</v>
      </c>
      <c r="E39" s="136">
        <v>500</v>
      </c>
      <c r="F39" s="136">
        <v>560</v>
      </c>
      <c r="G39" s="137">
        <v>602</v>
      </c>
      <c r="H39" s="137">
        <v>640.79999999999995</v>
      </c>
      <c r="I39" s="137">
        <v>638.79999999999995</v>
      </c>
      <c r="J39" s="138">
        <v>513.70000000000005</v>
      </c>
      <c r="K39" s="138">
        <v>524.4</v>
      </c>
      <c r="L39" s="138">
        <v>514.70000000000005</v>
      </c>
      <c r="M39" s="138">
        <v>516.6</v>
      </c>
      <c r="N39" s="138">
        <v>381.5</v>
      </c>
      <c r="O39" s="138">
        <v>401.3</v>
      </c>
      <c r="P39" s="138">
        <v>394.7</v>
      </c>
      <c r="Q39" s="138">
        <v>415.4</v>
      </c>
      <c r="R39" s="138">
        <v>411.4</v>
      </c>
      <c r="S39" s="138">
        <v>417.4</v>
      </c>
      <c r="T39" s="138">
        <v>428.2</v>
      </c>
      <c r="U39" s="138"/>
      <c r="V39" s="138">
        <v>390.3</v>
      </c>
      <c r="W39" s="138"/>
      <c r="X39" s="138"/>
      <c r="Y39" s="138"/>
      <c r="Z39" s="138"/>
      <c r="AQ39" s="830" t="s">
        <v>478</v>
      </c>
      <c r="AR39" s="103">
        <v>34</v>
      </c>
      <c r="AS39" s="103">
        <v>440.5</v>
      </c>
      <c r="AU39" s="1084">
        <v>824.9</v>
      </c>
      <c r="AV39" s="103">
        <f t="shared" si="0"/>
        <v>440.5</v>
      </c>
    </row>
    <row r="40" spans="4:48" s="103" customFormat="1" ht="19.5" customHeight="1" x14ac:dyDescent="0.3">
      <c r="D40" s="623">
        <v>30</v>
      </c>
      <c r="E40" s="623">
        <v>500</v>
      </c>
      <c r="F40" s="623">
        <v>560</v>
      </c>
      <c r="G40" s="624">
        <v>606</v>
      </c>
      <c r="H40" s="624">
        <v>644.20000000000005</v>
      </c>
      <c r="I40" s="624">
        <v>642.6</v>
      </c>
      <c r="J40" s="625">
        <v>519.1</v>
      </c>
      <c r="K40" s="625">
        <v>529.6</v>
      </c>
      <c r="L40" s="625">
        <v>520.6</v>
      </c>
      <c r="M40" s="625">
        <v>522.4</v>
      </c>
      <c r="N40" s="625">
        <v>388.2</v>
      </c>
      <c r="O40" s="625">
        <v>407.5</v>
      </c>
      <c r="P40" s="625">
        <v>400.2</v>
      </c>
      <c r="Q40" s="625">
        <v>421.8</v>
      </c>
      <c r="R40" s="625">
        <v>417.5</v>
      </c>
      <c r="S40" s="625">
        <v>424.1</v>
      </c>
      <c r="T40" s="625">
        <v>435.3</v>
      </c>
      <c r="U40" s="625"/>
      <c r="V40" s="625">
        <v>395.2</v>
      </c>
      <c r="W40" s="625"/>
      <c r="X40" s="625"/>
      <c r="Y40" s="625"/>
      <c r="Z40" s="625"/>
      <c r="AQ40" s="830" t="s">
        <v>479</v>
      </c>
      <c r="AR40" s="103">
        <v>35</v>
      </c>
      <c r="AS40" s="103">
        <v>445.77777777777777</v>
      </c>
      <c r="AU40" s="1084">
        <v>834.7</v>
      </c>
      <c r="AV40" s="103">
        <f t="shared" si="0"/>
        <v>445.94444444444446</v>
      </c>
    </row>
    <row r="41" spans="4:48" s="103" customFormat="1" ht="19.5" customHeight="1" x14ac:dyDescent="0.3">
      <c r="D41" s="136">
        <v>31</v>
      </c>
      <c r="E41" s="136">
        <v>500</v>
      </c>
      <c r="F41" s="136">
        <v>560</v>
      </c>
      <c r="G41" s="137">
        <v>609</v>
      </c>
      <c r="H41" s="137">
        <v>647.6</v>
      </c>
      <c r="I41" s="137">
        <v>646.5</v>
      </c>
      <c r="J41" s="138">
        <v>524.20000000000005</v>
      </c>
      <c r="K41" s="138">
        <v>534.6</v>
      </c>
      <c r="L41" s="138">
        <v>525.70000000000005</v>
      </c>
      <c r="M41" s="138">
        <v>527.4</v>
      </c>
      <c r="N41" s="138">
        <v>393.9</v>
      </c>
      <c r="O41" s="138">
        <v>413.1</v>
      </c>
      <c r="P41" s="138">
        <v>406.1</v>
      </c>
      <c r="Q41" s="138">
        <v>428.8</v>
      </c>
      <c r="R41" s="138">
        <v>424.1</v>
      </c>
      <c r="S41" s="138">
        <v>430.8</v>
      </c>
      <c r="T41" s="138">
        <v>442.3</v>
      </c>
      <c r="U41" s="138"/>
      <c r="V41" s="138">
        <v>399.6</v>
      </c>
      <c r="W41" s="138"/>
      <c r="X41" s="138"/>
      <c r="Y41" s="138"/>
      <c r="Z41" s="138"/>
      <c r="AQ41" s="830" t="s">
        <v>480</v>
      </c>
      <c r="AR41" s="103">
        <v>36</v>
      </c>
      <c r="AS41" s="103">
        <v>450.83333333333331</v>
      </c>
      <c r="AU41" s="1084">
        <v>844</v>
      </c>
      <c r="AV41" s="103">
        <f t="shared" si="0"/>
        <v>451.11111111111109</v>
      </c>
    </row>
    <row r="42" spans="4:48" s="103" customFormat="1" ht="19.5" customHeight="1" x14ac:dyDescent="0.3">
      <c r="D42" s="136">
        <v>32</v>
      </c>
      <c r="E42" s="136">
        <v>500</v>
      </c>
      <c r="F42" s="136">
        <v>560</v>
      </c>
      <c r="G42" s="137">
        <v>611</v>
      </c>
      <c r="H42" s="137">
        <v>650.9</v>
      </c>
      <c r="I42" s="137">
        <v>650.20000000000005</v>
      </c>
      <c r="J42" s="138">
        <v>528.79999999999995</v>
      </c>
      <c r="K42" s="138">
        <v>539.29999999999995</v>
      </c>
      <c r="L42" s="138">
        <v>530.5</v>
      </c>
      <c r="M42" s="138">
        <v>532.20000000000005</v>
      </c>
      <c r="N42" s="138">
        <v>399.4</v>
      </c>
      <c r="O42" s="138">
        <v>419</v>
      </c>
      <c r="P42" s="138">
        <v>411.5</v>
      </c>
      <c r="Q42" s="138">
        <v>434.9</v>
      </c>
      <c r="R42" s="138">
        <v>430.2</v>
      </c>
      <c r="S42" s="138">
        <v>437.4</v>
      </c>
      <c r="T42" s="138">
        <v>449.2</v>
      </c>
      <c r="U42" s="138"/>
      <c r="V42" s="138">
        <v>404.7</v>
      </c>
      <c r="W42" s="138"/>
      <c r="X42" s="138"/>
      <c r="Y42" s="138"/>
      <c r="Z42" s="138"/>
      <c r="AQ42" s="830" t="s">
        <v>481</v>
      </c>
      <c r="AR42" s="103">
        <v>37</v>
      </c>
      <c r="AS42" s="103">
        <v>456.16666666666669</v>
      </c>
      <c r="AU42" s="1084">
        <v>853.7</v>
      </c>
      <c r="AV42" s="103">
        <f t="shared" si="0"/>
        <v>456.5</v>
      </c>
    </row>
    <row r="43" spans="4:48" s="103" customFormat="1" ht="19.5" customHeight="1" x14ac:dyDescent="0.3">
      <c r="D43" s="136">
        <v>33</v>
      </c>
      <c r="E43" s="136">
        <v>500</v>
      </c>
      <c r="F43" s="136">
        <v>560</v>
      </c>
      <c r="G43" s="137">
        <v>614</v>
      </c>
      <c r="H43" s="137">
        <v>654.20000000000005</v>
      </c>
      <c r="I43" s="137">
        <v>654</v>
      </c>
      <c r="J43" s="138">
        <v>533.20000000000005</v>
      </c>
      <c r="K43" s="138">
        <v>543.9</v>
      </c>
      <c r="L43" s="138">
        <v>535.20000000000005</v>
      </c>
      <c r="M43" s="138">
        <v>536.70000000000005</v>
      </c>
      <c r="N43" s="138">
        <v>404.7</v>
      </c>
      <c r="O43" s="138">
        <v>425.4</v>
      </c>
      <c r="P43" s="138">
        <v>417.2</v>
      </c>
      <c r="Q43" s="138">
        <v>440.9</v>
      </c>
      <c r="R43" s="138">
        <v>436.4</v>
      </c>
      <c r="S43" s="138">
        <v>443.5</v>
      </c>
      <c r="T43" s="138">
        <v>456.5</v>
      </c>
      <c r="U43" s="138"/>
      <c r="V43" s="138">
        <v>409</v>
      </c>
      <c r="W43" s="138"/>
      <c r="X43" s="138"/>
      <c r="Y43" s="138"/>
      <c r="Z43" s="138"/>
      <c r="AQ43" s="830" t="s">
        <v>482</v>
      </c>
      <c r="AR43" s="103">
        <v>38</v>
      </c>
      <c r="AS43" s="103">
        <v>461.22222222222223</v>
      </c>
      <c r="AU43" s="1084">
        <v>863.1</v>
      </c>
      <c r="AV43" s="103">
        <f t="shared" si="0"/>
        <v>461.72222222222223</v>
      </c>
    </row>
    <row r="44" spans="4:48" s="103" customFormat="1" ht="19.5" customHeight="1" x14ac:dyDescent="0.3">
      <c r="D44" s="136">
        <v>34</v>
      </c>
      <c r="E44" s="136">
        <v>500</v>
      </c>
      <c r="F44" s="136">
        <v>560</v>
      </c>
      <c r="G44" s="137">
        <v>617</v>
      </c>
      <c r="H44" s="137">
        <v>657.5</v>
      </c>
      <c r="I44" s="137">
        <v>657.6</v>
      </c>
      <c r="J44" s="138">
        <v>537.4</v>
      </c>
      <c r="K44" s="138">
        <v>548.6</v>
      </c>
      <c r="L44" s="138">
        <v>539.6</v>
      </c>
      <c r="M44" s="138">
        <v>541.20000000000005</v>
      </c>
      <c r="N44" s="138">
        <v>410</v>
      </c>
      <c r="O44" s="138">
        <v>431.3</v>
      </c>
      <c r="P44" s="138">
        <v>423.4</v>
      </c>
      <c r="Q44" s="138">
        <v>447.2</v>
      </c>
      <c r="R44" s="138">
        <v>442.9</v>
      </c>
      <c r="S44" s="138">
        <v>449.7</v>
      </c>
      <c r="T44" s="138">
        <v>463.8</v>
      </c>
      <c r="U44" s="138"/>
      <c r="V44" s="138">
        <v>415.2</v>
      </c>
      <c r="W44" s="138"/>
      <c r="X44" s="138"/>
      <c r="Y44" s="138"/>
      <c r="Z44" s="138"/>
      <c r="AQ44" s="830" t="s">
        <v>483</v>
      </c>
      <c r="AR44" s="103">
        <v>39</v>
      </c>
      <c r="AS44" s="103">
        <v>466.33333333333331</v>
      </c>
      <c r="AU44" s="1084">
        <v>872.3</v>
      </c>
      <c r="AV44" s="103">
        <f t="shared" si="0"/>
        <v>466.83333333333331</v>
      </c>
    </row>
    <row r="45" spans="4:48" s="103" customFormat="1" ht="19.5" customHeight="1" x14ac:dyDescent="0.3">
      <c r="D45" s="136">
        <v>35</v>
      </c>
      <c r="E45" s="136">
        <v>500</v>
      </c>
      <c r="F45" s="136">
        <v>560</v>
      </c>
      <c r="G45" s="137">
        <v>620</v>
      </c>
      <c r="H45" s="137">
        <v>661.5</v>
      </c>
      <c r="I45" s="137">
        <v>662.3</v>
      </c>
      <c r="J45" s="138">
        <v>541.5</v>
      </c>
      <c r="K45" s="138">
        <v>553.1</v>
      </c>
      <c r="L45" s="138">
        <v>543.9</v>
      </c>
      <c r="M45" s="138">
        <v>545.5</v>
      </c>
      <c r="N45" s="138">
        <v>415.6</v>
      </c>
      <c r="O45" s="138">
        <v>437.2</v>
      </c>
      <c r="P45" s="138">
        <v>429.2</v>
      </c>
      <c r="Q45" s="138">
        <v>453.5</v>
      </c>
      <c r="R45" s="138">
        <v>449.2</v>
      </c>
      <c r="S45" s="138">
        <v>456.5</v>
      </c>
      <c r="T45" s="138">
        <v>471</v>
      </c>
      <c r="U45" s="138"/>
      <c r="V45" s="138">
        <v>422.4</v>
      </c>
      <c r="W45" s="138"/>
      <c r="X45" s="138"/>
      <c r="Y45" s="138"/>
      <c r="Z45" s="138"/>
      <c r="AQ45" s="830" t="s">
        <v>484</v>
      </c>
      <c r="AR45" s="103">
        <v>40</v>
      </c>
      <c r="AS45" s="103">
        <v>471.27777777777777</v>
      </c>
      <c r="AU45" s="1084">
        <v>881.4</v>
      </c>
      <c r="AV45" s="103">
        <f t="shared" si="0"/>
        <v>471.88888888888891</v>
      </c>
    </row>
    <row r="46" spans="4:48" s="103" customFormat="1" ht="19.5" customHeight="1" x14ac:dyDescent="0.3">
      <c r="D46" s="136">
        <v>36</v>
      </c>
      <c r="E46" s="136">
        <v>500</v>
      </c>
      <c r="F46" s="136">
        <v>560</v>
      </c>
      <c r="G46" s="137">
        <v>622</v>
      </c>
      <c r="H46" s="137">
        <v>665.8</v>
      </c>
      <c r="I46" s="137">
        <v>667.3</v>
      </c>
      <c r="J46" s="138">
        <v>545.29999999999995</v>
      </c>
      <c r="K46" s="138">
        <v>557.29999999999995</v>
      </c>
      <c r="L46" s="138">
        <v>548.20000000000005</v>
      </c>
      <c r="M46" s="138">
        <v>549.79999999999995</v>
      </c>
      <c r="N46" s="138">
        <v>421</v>
      </c>
      <c r="O46" s="138">
        <v>442.9</v>
      </c>
      <c r="P46" s="138">
        <v>435</v>
      </c>
      <c r="Q46" s="138">
        <v>459.8</v>
      </c>
      <c r="R46" s="138">
        <v>455.3</v>
      </c>
      <c r="S46" s="138">
        <v>463</v>
      </c>
      <c r="T46" s="138">
        <v>478</v>
      </c>
      <c r="U46" s="138"/>
      <c r="V46" s="138">
        <v>430</v>
      </c>
      <c r="W46" s="138"/>
      <c r="X46" s="138"/>
      <c r="Y46" s="138"/>
      <c r="Z46" s="138"/>
      <c r="AQ46" s="830" t="s">
        <v>485</v>
      </c>
      <c r="AR46" s="103">
        <v>41</v>
      </c>
      <c r="AS46" s="103">
        <v>476.05555555555554</v>
      </c>
      <c r="AU46" s="1084">
        <v>890.2</v>
      </c>
      <c r="AV46" s="103">
        <f t="shared" si="0"/>
        <v>476.77777777777777</v>
      </c>
    </row>
    <row r="47" spans="4:48" s="103" customFormat="1" ht="19.5" customHeight="1" x14ac:dyDescent="0.3">
      <c r="D47" s="136">
        <v>37</v>
      </c>
      <c r="E47" s="136">
        <v>500</v>
      </c>
      <c r="F47" s="136">
        <v>560</v>
      </c>
      <c r="G47" s="137">
        <v>626</v>
      </c>
      <c r="H47" s="137">
        <v>670.3</v>
      </c>
      <c r="I47" s="137">
        <v>672.1</v>
      </c>
      <c r="J47" s="138">
        <v>549.4</v>
      </c>
      <c r="K47" s="138">
        <v>561.1</v>
      </c>
      <c r="L47" s="138">
        <v>552.4</v>
      </c>
      <c r="M47" s="138">
        <v>554</v>
      </c>
      <c r="N47" s="138">
        <v>427</v>
      </c>
      <c r="O47" s="138">
        <v>448.4</v>
      </c>
      <c r="P47" s="138">
        <v>440.4</v>
      </c>
      <c r="Q47" s="138">
        <v>466</v>
      </c>
      <c r="R47" s="138">
        <v>461.4</v>
      </c>
      <c r="S47" s="138">
        <v>469.2</v>
      </c>
      <c r="T47" s="138">
        <v>485.1</v>
      </c>
      <c r="U47" s="138"/>
      <c r="V47" s="138">
        <v>435.4</v>
      </c>
      <c r="W47" s="138"/>
      <c r="X47" s="138"/>
      <c r="Y47" s="138"/>
      <c r="Z47" s="138"/>
      <c r="AQ47" s="830" t="s">
        <v>486</v>
      </c>
      <c r="AR47" s="103">
        <v>42</v>
      </c>
      <c r="AS47" s="103">
        <v>480.88888888888891</v>
      </c>
      <c r="AU47" s="1084">
        <v>899</v>
      </c>
      <c r="AV47" s="103">
        <f t="shared" si="0"/>
        <v>481.66666666666669</v>
      </c>
    </row>
    <row r="48" spans="4:48" s="103" customFormat="1" ht="19.5" customHeight="1" x14ac:dyDescent="0.3">
      <c r="D48" s="136">
        <v>38</v>
      </c>
      <c r="E48" s="136">
        <v>500</v>
      </c>
      <c r="F48" s="136">
        <v>560</v>
      </c>
      <c r="G48" s="137">
        <v>630</v>
      </c>
      <c r="H48" s="137">
        <v>674.2</v>
      </c>
      <c r="I48" s="137">
        <v>677.2</v>
      </c>
      <c r="J48" s="138">
        <v>553.20000000000005</v>
      </c>
      <c r="K48" s="138">
        <v>564.79999999999995</v>
      </c>
      <c r="L48" s="138">
        <v>556.4</v>
      </c>
      <c r="M48" s="138">
        <v>557.9</v>
      </c>
      <c r="N48" s="138">
        <v>432.5</v>
      </c>
      <c r="O48" s="138">
        <v>454.4</v>
      </c>
      <c r="P48" s="138">
        <v>445.8</v>
      </c>
      <c r="Q48" s="138">
        <v>472.2</v>
      </c>
      <c r="R48" s="138">
        <v>467.8</v>
      </c>
      <c r="S48" s="138">
        <v>475.4</v>
      </c>
      <c r="T48" s="138">
        <v>492.3</v>
      </c>
      <c r="U48" s="138"/>
      <c r="V48" s="138">
        <v>440.2</v>
      </c>
      <c r="W48" s="138"/>
      <c r="X48" s="138"/>
      <c r="Y48" s="138"/>
      <c r="Z48" s="138"/>
      <c r="AQ48" s="830" t="s">
        <v>487</v>
      </c>
      <c r="AR48" s="103">
        <v>43</v>
      </c>
      <c r="AS48" s="103">
        <v>485.66666666666669</v>
      </c>
      <c r="AU48" s="1084">
        <v>907.8</v>
      </c>
      <c r="AV48" s="103">
        <f t="shared" si="0"/>
        <v>486.55555555555554</v>
      </c>
    </row>
    <row r="49" spans="4:48" s="103" customFormat="1" ht="19.5" customHeight="1" x14ac:dyDescent="0.3">
      <c r="D49" s="136">
        <v>39</v>
      </c>
      <c r="E49" s="136">
        <v>500</v>
      </c>
      <c r="F49" s="136">
        <v>560</v>
      </c>
      <c r="G49" s="137">
        <v>632</v>
      </c>
      <c r="H49" s="137">
        <v>679.2</v>
      </c>
      <c r="I49" s="137">
        <v>683</v>
      </c>
      <c r="J49" s="138">
        <v>556.9</v>
      </c>
      <c r="K49" s="138">
        <v>568.20000000000005</v>
      </c>
      <c r="L49" s="138">
        <v>560</v>
      </c>
      <c r="M49" s="138">
        <v>561.4</v>
      </c>
      <c r="N49" s="138">
        <v>438.1</v>
      </c>
      <c r="O49" s="138">
        <v>460.3</v>
      </c>
      <c r="P49" s="138">
        <v>451.6</v>
      </c>
      <c r="Q49" s="138">
        <v>478.2</v>
      </c>
      <c r="R49" s="138">
        <v>474</v>
      </c>
      <c r="S49" s="138">
        <v>481.6</v>
      </c>
      <c r="T49" s="138">
        <v>499.1</v>
      </c>
      <c r="U49" s="138"/>
      <c r="V49" s="138">
        <v>445.5</v>
      </c>
      <c r="W49" s="138"/>
      <c r="X49" s="138"/>
      <c r="Y49" s="138"/>
      <c r="Z49" s="138"/>
      <c r="AQ49" s="830" t="s">
        <v>488</v>
      </c>
      <c r="AR49" s="103">
        <v>44</v>
      </c>
      <c r="AS49" s="103">
        <v>490.38888888888891</v>
      </c>
      <c r="AU49" s="1084">
        <v>916.4</v>
      </c>
      <c r="AV49" s="103">
        <f t="shared" si="0"/>
        <v>491.33333333333331</v>
      </c>
    </row>
    <row r="50" spans="4:48" s="103" customFormat="1" ht="19.5" customHeight="1" x14ac:dyDescent="0.3">
      <c r="D50" s="623">
        <v>40</v>
      </c>
      <c r="E50" s="623">
        <v>500</v>
      </c>
      <c r="F50" s="623">
        <v>560</v>
      </c>
      <c r="G50" s="624">
        <v>635</v>
      </c>
      <c r="H50" s="624">
        <v>683.9</v>
      </c>
      <c r="I50" s="624">
        <v>688.5</v>
      </c>
      <c r="J50" s="625">
        <v>560.4</v>
      </c>
      <c r="K50" s="625">
        <v>571.4</v>
      </c>
      <c r="L50" s="625">
        <v>563.5</v>
      </c>
      <c r="M50" s="625">
        <v>564.9</v>
      </c>
      <c r="N50" s="625">
        <v>443.3</v>
      </c>
      <c r="O50" s="625">
        <v>466.1</v>
      </c>
      <c r="P50" s="625">
        <v>457.2</v>
      </c>
      <c r="Q50" s="625">
        <v>484.3</v>
      </c>
      <c r="R50" s="625">
        <v>480</v>
      </c>
      <c r="S50" s="625">
        <v>488</v>
      </c>
      <c r="T50" s="625">
        <v>505.3</v>
      </c>
      <c r="U50" s="625"/>
      <c r="V50" s="625">
        <v>450.9</v>
      </c>
      <c r="W50" s="625"/>
      <c r="X50" s="625"/>
      <c r="Y50" s="625"/>
      <c r="Z50" s="625"/>
      <c r="AQ50" s="830" t="s">
        <v>489</v>
      </c>
      <c r="AR50" s="103">
        <v>45</v>
      </c>
      <c r="AS50" s="103">
        <v>495.16666666666669</v>
      </c>
      <c r="AU50" s="1084">
        <v>925</v>
      </c>
      <c r="AV50" s="103">
        <f t="shared" si="0"/>
        <v>496.11111111111109</v>
      </c>
    </row>
    <row r="51" spans="4:48" s="103" customFormat="1" ht="18.75" customHeight="1" x14ac:dyDescent="0.3">
      <c r="D51" s="136">
        <v>41</v>
      </c>
      <c r="E51" s="136">
        <v>500</v>
      </c>
      <c r="F51" s="136">
        <v>560</v>
      </c>
      <c r="G51" s="137">
        <v>638</v>
      </c>
      <c r="H51" s="137">
        <v>688.5</v>
      </c>
      <c r="I51" s="137">
        <v>693.9</v>
      </c>
      <c r="J51" s="138">
        <v>563.79999999999995</v>
      </c>
      <c r="K51" s="138">
        <v>574.6</v>
      </c>
      <c r="L51" s="138">
        <v>566.79999999999995</v>
      </c>
      <c r="M51" s="138">
        <v>568.1</v>
      </c>
      <c r="N51" s="138">
        <v>448.5</v>
      </c>
      <c r="O51" s="138">
        <v>471.7</v>
      </c>
      <c r="P51" s="138">
        <v>462.8</v>
      </c>
      <c r="Q51" s="138">
        <v>490.5</v>
      </c>
      <c r="R51" s="138">
        <v>486.2</v>
      </c>
      <c r="S51" s="138">
        <v>494.3</v>
      </c>
      <c r="T51" s="138">
        <v>511.8</v>
      </c>
      <c r="U51" s="138"/>
      <c r="V51" s="138">
        <v>457.1</v>
      </c>
      <c r="W51" s="138"/>
      <c r="X51" s="138"/>
      <c r="Y51" s="138"/>
      <c r="Z51" s="138"/>
      <c r="AQ51" s="830" t="s">
        <v>490</v>
      </c>
      <c r="AR51" s="103">
        <v>46</v>
      </c>
      <c r="AS51" s="103">
        <v>499.66666666666669</v>
      </c>
      <c r="AU51" s="1084">
        <v>933.3</v>
      </c>
      <c r="AV51" s="103">
        <f t="shared" si="0"/>
        <v>500.72222222222223</v>
      </c>
    </row>
    <row r="52" spans="4:48" s="103" customFormat="1" ht="18.75" customHeight="1" x14ac:dyDescent="0.3">
      <c r="D52" s="136">
        <v>42</v>
      </c>
      <c r="E52" s="136">
        <v>500</v>
      </c>
      <c r="F52" s="136">
        <v>560</v>
      </c>
      <c r="G52" s="137">
        <v>641</v>
      </c>
      <c r="H52" s="137">
        <v>693</v>
      </c>
      <c r="I52" s="137">
        <v>700.7</v>
      </c>
      <c r="J52" s="138">
        <v>567</v>
      </c>
      <c r="K52" s="138">
        <v>577.79999999999995</v>
      </c>
      <c r="L52" s="138">
        <v>569.9</v>
      </c>
      <c r="M52" s="138">
        <v>571.20000000000005</v>
      </c>
      <c r="N52" s="138">
        <v>454.3</v>
      </c>
      <c r="O52" s="138">
        <v>477.5</v>
      </c>
      <c r="P52" s="138">
        <v>468.5</v>
      </c>
      <c r="Q52" s="138">
        <v>496.6</v>
      </c>
      <c r="R52" s="138">
        <v>492.3</v>
      </c>
      <c r="S52" s="138">
        <v>500</v>
      </c>
      <c r="T52" s="138">
        <v>518.6</v>
      </c>
      <c r="U52" s="138"/>
      <c r="V52" s="138">
        <v>464</v>
      </c>
      <c r="W52" s="138"/>
      <c r="X52" s="138"/>
      <c r="Y52" s="138"/>
      <c r="Z52" s="138"/>
      <c r="AQ52" s="830" t="s">
        <v>491</v>
      </c>
      <c r="AR52" s="103">
        <v>47</v>
      </c>
      <c r="AS52" s="103">
        <v>504.16666666666669</v>
      </c>
      <c r="AU52" s="1084">
        <v>941.4</v>
      </c>
      <c r="AV52" s="103">
        <f t="shared" si="0"/>
        <v>505.22222222222223</v>
      </c>
    </row>
    <row r="53" spans="4:48" s="103" customFormat="1" ht="18.75" customHeight="1" x14ac:dyDescent="0.3">
      <c r="D53" s="136">
        <v>43</v>
      </c>
      <c r="E53" s="136">
        <v>500</v>
      </c>
      <c r="F53" s="136">
        <v>560</v>
      </c>
      <c r="G53" s="137">
        <v>644</v>
      </c>
      <c r="H53" s="137">
        <v>697.8</v>
      </c>
      <c r="I53" s="137">
        <v>708.3</v>
      </c>
      <c r="J53" s="138">
        <v>570</v>
      </c>
      <c r="K53" s="138">
        <v>580.9</v>
      </c>
      <c r="L53" s="138">
        <v>572.9</v>
      </c>
      <c r="M53" s="138">
        <v>574.20000000000005</v>
      </c>
      <c r="N53" s="138">
        <v>459.9</v>
      </c>
      <c r="O53" s="138">
        <v>483.1</v>
      </c>
      <c r="P53" s="138">
        <v>473.8</v>
      </c>
      <c r="Q53" s="138">
        <v>502</v>
      </c>
      <c r="R53" s="138">
        <v>498.2</v>
      </c>
      <c r="S53" s="138">
        <v>505.5</v>
      </c>
      <c r="T53" s="138">
        <v>525</v>
      </c>
      <c r="U53" s="138"/>
      <c r="V53" s="138">
        <v>469.5</v>
      </c>
      <c r="W53" s="138"/>
      <c r="X53" s="138"/>
      <c r="Y53" s="138"/>
      <c r="Z53" s="138"/>
      <c r="AQ53" s="830" t="s">
        <v>492</v>
      </c>
      <c r="AR53" s="103">
        <v>48</v>
      </c>
      <c r="AS53" s="103">
        <v>508.66666666666669</v>
      </c>
      <c r="AU53" s="1084">
        <v>949.4</v>
      </c>
      <c r="AV53" s="103">
        <f t="shared" si="0"/>
        <v>509.66666666666669</v>
      </c>
    </row>
    <row r="54" spans="4:48" s="103" customFormat="1" ht="18.75" customHeight="1" x14ac:dyDescent="0.3">
      <c r="D54" s="136">
        <v>44</v>
      </c>
      <c r="E54" s="136">
        <v>500</v>
      </c>
      <c r="F54" s="136">
        <v>560</v>
      </c>
      <c r="G54" s="137">
        <v>647</v>
      </c>
      <c r="H54" s="137">
        <v>702.9</v>
      </c>
      <c r="I54" s="137">
        <v>721.3</v>
      </c>
      <c r="J54" s="138">
        <v>573</v>
      </c>
      <c r="K54" s="138">
        <v>584.1</v>
      </c>
      <c r="L54" s="138">
        <v>575.79999999999995</v>
      </c>
      <c r="M54" s="138">
        <v>577.20000000000005</v>
      </c>
      <c r="N54" s="138">
        <v>465.4</v>
      </c>
      <c r="O54" s="138">
        <v>488.8</v>
      </c>
      <c r="P54" s="138">
        <v>479.2</v>
      </c>
      <c r="Q54" s="138">
        <v>507.4</v>
      </c>
      <c r="R54" s="138">
        <v>503.6</v>
      </c>
      <c r="S54" s="138">
        <v>511.1</v>
      </c>
      <c r="T54" s="138">
        <v>531.1</v>
      </c>
      <c r="U54" s="138"/>
      <c r="V54" s="138">
        <v>474.7</v>
      </c>
      <c r="W54" s="138"/>
      <c r="X54" s="138"/>
      <c r="Y54" s="138"/>
      <c r="Z54" s="138"/>
      <c r="AQ54" s="830" t="s">
        <v>493</v>
      </c>
      <c r="AR54" s="103">
        <v>49</v>
      </c>
      <c r="AS54" s="103">
        <v>513.11111111111109</v>
      </c>
      <c r="AU54" s="1084">
        <v>957.5</v>
      </c>
      <c r="AV54" s="103">
        <f t="shared" si="0"/>
        <v>514.16666666666663</v>
      </c>
    </row>
    <row r="55" spans="4:48" s="103" customFormat="1" ht="18.75" customHeight="1" x14ac:dyDescent="0.3">
      <c r="D55" s="136">
        <v>45</v>
      </c>
      <c r="E55" s="136">
        <v>500</v>
      </c>
      <c r="F55" s="136">
        <v>560</v>
      </c>
      <c r="G55" s="137">
        <v>650</v>
      </c>
      <c r="H55" s="137">
        <v>708.2</v>
      </c>
      <c r="I55" s="137" t="s">
        <v>17</v>
      </c>
      <c r="J55" s="138">
        <v>576.1</v>
      </c>
      <c r="K55" s="138">
        <v>587</v>
      </c>
      <c r="L55" s="138">
        <v>578.79999999999995</v>
      </c>
      <c r="M55" s="138">
        <v>580.20000000000005</v>
      </c>
      <c r="N55" s="138">
        <v>471</v>
      </c>
      <c r="O55" s="138">
        <v>494.6</v>
      </c>
      <c r="P55" s="138">
        <v>484.6</v>
      </c>
      <c r="Q55" s="138">
        <v>513</v>
      </c>
      <c r="R55" s="138">
        <v>509.1</v>
      </c>
      <c r="S55" s="138">
        <v>517</v>
      </c>
      <c r="T55" s="138">
        <v>537</v>
      </c>
      <c r="U55" s="138"/>
      <c r="V55" s="138">
        <v>480.1</v>
      </c>
      <c r="W55" s="138"/>
      <c r="X55" s="138"/>
      <c r="Y55" s="138"/>
      <c r="Z55" s="138"/>
      <c r="AQ55" s="830" t="s">
        <v>494</v>
      </c>
      <c r="AR55" s="103">
        <v>50</v>
      </c>
      <c r="AS55" s="103">
        <v>517.5</v>
      </c>
      <c r="AU55" s="1084">
        <v>965.5</v>
      </c>
      <c r="AV55" s="103">
        <f t="shared" si="0"/>
        <v>518.61111111111109</v>
      </c>
    </row>
    <row r="56" spans="4:48" s="103" customFormat="1" ht="18.75" customHeight="1" x14ac:dyDescent="0.3">
      <c r="D56" s="136">
        <v>46</v>
      </c>
      <c r="E56" s="136">
        <v>500</v>
      </c>
      <c r="F56" s="136">
        <v>560</v>
      </c>
      <c r="G56" s="137">
        <v>654</v>
      </c>
      <c r="H56" s="137">
        <v>715.3</v>
      </c>
      <c r="I56" s="137" t="s">
        <v>17</v>
      </c>
      <c r="J56" s="138">
        <v>579.20000000000005</v>
      </c>
      <c r="K56" s="138">
        <v>590</v>
      </c>
      <c r="L56" s="138">
        <v>581.70000000000005</v>
      </c>
      <c r="M56" s="138">
        <v>583.1</v>
      </c>
      <c r="N56" s="138">
        <v>476.4</v>
      </c>
      <c r="O56" s="138">
        <v>499.9</v>
      </c>
      <c r="P56" s="138">
        <v>490.2</v>
      </c>
      <c r="Q56" s="138">
        <v>518.79999999999995</v>
      </c>
      <c r="R56" s="138">
        <v>514.9</v>
      </c>
      <c r="S56" s="138">
        <v>522.70000000000005</v>
      </c>
      <c r="T56" s="138">
        <v>542.6</v>
      </c>
      <c r="U56" s="138"/>
      <c r="V56" s="138">
        <v>486</v>
      </c>
      <c r="W56" s="138"/>
      <c r="X56" s="138"/>
      <c r="Y56" s="138"/>
      <c r="Z56" s="138"/>
      <c r="AQ56" s="830" t="s">
        <v>495</v>
      </c>
      <c r="AR56" s="103">
        <v>51</v>
      </c>
      <c r="AS56" s="103">
        <v>521.83333333333337</v>
      </c>
      <c r="AU56" s="1084">
        <v>973.3</v>
      </c>
      <c r="AV56" s="103">
        <f t="shared" si="0"/>
        <v>522.94444444444446</v>
      </c>
    </row>
    <row r="57" spans="4:48" s="103" customFormat="1" ht="18.75" customHeight="1" x14ac:dyDescent="0.3">
      <c r="D57" s="136">
        <v>47</v>
      </c>
      <c r="E57" s="136">
        <v>500</v>
      </c>
      <c r="F57" s="136">
        <v>560</v>
      </c>
      <c r="G57" s="137">
        <v>657</v>
      </c>
      <c r="H57" s="137">
        <v>724.1</v>
      </c>
      <c r="I57" s="137" t="s">
        <v>17</v>
      </c>
      <c r="J57" s="138">
        <v>582.4</v>
      </c>
      <c r="K57" s="138">
        <v>592.9</v>
      </c>
      <c r="L57" s="138">
        <v>584.6</v>
      </c>
      <c r="M57" s="138">
        <v>586</v>
      </c>
      <c r="N57" s="138">
        <v>481.9</v>
      </c>
      <c r="O57" s="138">
        <v>504.9</v>
      </c>
      <c r="P57" s="138">
        <v>495.6</v>
      </c>
      <c r="Q57" s="138">
        <v>524.20000000000005</v>
      </c>
      <c r="R57" s="138">
        <v>520.6</v>
      </c>
      <c r="S57" s="138">
        <v>528</v>
      </c>
      <c r="T57" s="138">
        <v>548.29999999999995</v>
      </c>
      <c r="U57" s="138"/>
      <c r="V57" s="138">
        <v>492</v>
      </c>
      <c r="W57" s="138"/>
      <c r="X57" s="138"/>
      <c r="Y57" s="138"/>
      <c r="Z57" s="138"/>
      <c r="AQ57" s="830" t="s">
        <v>496</v>
      </c>
      <c r="AR57" s="103">
        <v>52</v>
      </c>
      <c r="AS57" s="103">
        <v>526.16666666666663</v>
      </c>
      <c r="AU57" s="1084">
        <v>981.1</v>
      </c>
      <c r="AV57" s="103">
        <f t="shared" si="0"/>
        <v>527.27777777777783</v>
      </c>
    </row>
    <row r="58" spans="4:48" s="103" customFormat="1" ht="18.75" customHeight="1" x14ac:dyDescent="0.3">
      <c r="D58" s="136">
        <v>48</v>
      </c>
      <c r="E58" s="136">
        <v>500</v>
      </c>
      <c r="F58" s="136">
        <v>560</v>
      </c>
      <c r="G58" s="137">
        <v>661</v>
      </c>
      <c r="H58" s="137" t="s">
        <v>17</v>
      </c>
      <c r="I58" s="137" t="s">
        <v>17</v>
      </c>
      <c r="J58" s="138">
        <v>585.5</v>
      </c>
      <c r="K58" s="138">
        <v>595.70000000000005</v>
      </c>
      <c r="L58" s="138">
        <v>587.4</v>
      </c>
      <c r="M58" s="138">
        <v>588.79999999999995</v>
      </c>
      <c r="N58" s="138">
        <v>487.5</v>
      </c>
      <c r="O58" s="138">
        <v>510</v>
      </c>
      <c r="P58" s="138">
        <v>500.4</v>
      </c>
      <c r="Q58" s="138">
        <v>529.4</v>
      </c>
      <c r="R58" s="138">
        <v>525.9</v>
      </c>
      <c r="S58" s="138">
        <v>533.20000000000005</v>
      </c>
      <c r="T58" s="138">
        <v>553.9</v>
      </c>
      <c r="U58" s="138"/>
      <c r="V58" s="138">
        <v>497.6</v>
      </c>
      <c r="W58" s="138"/>
      <c r="X58" s="138"/>
      <c r="Y58" s="138"/>
      <c r="Z58" s="138"/>
      <c r="AQ58" s="830" t="s">
        <v>497</v>
      </c>
      <c r="AR58" s="103">
        <v>53</v>
      </c>
      <c r="AS58" s="103">
        <v>530.44444444444446</v>
      </c>
      <c r="AU58" s="1084">
        <v>988.8</v>
      </c>
      <c r="AV58" s="103">
        <f t="shared" si="0"/>
        <v>531.55555555555554</v>
      </c>
    </row>
    <row r="59" spans="4:48" s="103" customFormat="1" ht="18.75" customHeight="1" x14ac:dyDescent="0.3">
      <c r="D59" s="136">
        <v>49</v>
      </c>
      <c r="E59" s="136">
        <v>500</v>
      </c>
      <c r="F59" s="136">
        <v>560</v>
      </c>
      <c r="G59" s="137">
        <v>664</v>
      </c>
      <c r="H59" s="137" t="s">
        <v>17</v>
      </c>
      <c r="I59" s="137" t="s">
        <v>17</v>
      </c>
      <c r="J59" s="138">
        <v>588.5</v>
      </c>
      <c r="K59" s="138">
        <v>598.6</v>
      </c>
      <c r="L59" s="138">
        <v>590.1</v>
      </c>
      <c r="M59" s="138">
        <v>591.6</v>
      </c>
      <c r="N59" s="138">
        <v>493.2</v>
      </c>
      <c r="O59" s="138">
        <v>515.4</v>
      </c>
      <c r="P59" s="138">
        <v>505.2</v>
      </c>
      <c r="Q59" s="138">
        <v>534.4</v>
      </c>
      <c r="R59" s="138">
        <v>531.1</v>
      </c>
      <c r="S59" s="138">
        <v>538.1</v>
      </c>
      <c r="T59" s="138">
        <v>559.20000000000005</v>
      </c>
      <c r="U59" s="138"/>
      <c r="V59" s="138">
        <v>502.5</v>
      </c>
      <c r="W59" s="138"/>
      <c r="X59" s="138"/>
      <c r="Y59" s="138"/>
      <c r="Z59" s="138"/>
      <c r="AQ59" s="830" t="s">
        <v>498</v>
      </c>
      <c r="AR59" s="103">
        <v>54</v>
      </c>
      <c r="AS59" s="103">
        <v>534.61111111111109</v>
      </c>
      <c r="AU59" s="1084">
        <v>996.2</v>
      </c>
      <c r="AV59" s="103">
        <f t="shared" si="0"/>
        <v>535.66666666666663</v>
      </c>
    </row>
    <row r="60" spans="4:48" s="103" customFormat="1" ht="18.75" customHeight="1" x14ac:dyDescent="0.3">
      <c r="D60" s="623">
        <v>50</v>
      </c>
      <c r="E60" s="623">
        <v>500</v>
      </c>
      <c r="F60" s="623">
        <v>560</v>
      </c>
      <c r="G60" s="624">
        <v>667</v>
      </c>
      <c r="H60" s="624" t="s">
        <v>17</v>
      </c>
      <c r="I60" s="624" t="s">
        <v>17</v>
      </c>
      <c r="J60" s="625">
        <v>591.6</v>
      </c>
      <c r="K60" s="625">
        <v>601.5</v>
      </c>
      <c r="L60" s="625">
        <v>592.79999999999995</v>
      </c>
      <c r="M60" s="625">
        <v>594.29999999999995</v>
      </c>
      <c r="N60" s="625">
        <v>498.4</v>
      </c>
      <c r="O60" s="625">
        <v>520.79999999999995</v>
      </c>
      <c r="P60" s="625">
        <v>510</v>
      </c>
      <c r="Q60" s="625">
        <v>539.29999999999995</v>
      </c>
      <c r="R60" s="625">
        <v>536.1</v>
      </c>
      <c r="S60" s="625">
        <v>543</v>
      </c>
      <c r="T60" s="625">
        <v>564.29999999999995</v>
      </c>
      <c r="U60" s="625"/>
      <c r="V60" s="625">
        <v>507.4</v>
      </c>
      <c r="W60" s="625"/>
      <c r="X60" s="625"/>
      <c r="Y60" s="625"/>
      <c r="Z60" s="625"/>
      <c r="AQ60" s="830" t="s">
        <v>499</v>
      </c>
      <c r="AR60" s="103">
        <v>55</v>
      </c>
      <c r="AS60" s="103">
        <v>538.66666666666663</v>
      </c>
      <c r="AU60" s="1084">
        <v>1003.3</v>
      </c>
      <c r="AV60" s="103">
        <f t="shared" si="0"/>
        <v>539.61111111111109</v>
      </c>
    </row>
    <row r="61" spans="4:48" s="103" customFormat="1" ht="18.75" customHeight="1" x14ac:dyDescent="0.3">
      <c r="D61" s="136">
        <v>51</v>
      </c>
      <c r="E61" s="136">
        <v>500</v>
      </c>
      <c r="F61" s="136">
        <v>560</v>
      </c>
      <c r="G61" s="137">
        <v>671</v>
      </c>
      <c r="H61" s="137" t="s">
        <v>17</v>
      </c>
      <c r="I61" s="137" t="s">
        <v>17</v>
      </c>
      <c r="J61" s="138">
        <v>594.70000000000005</v>
      </c>
      <c r="K61" s="138">
        <v>604.4</v>
      </c>
      <c r="L61" s="138">
        <v>595.5</v>
      </c>
      <c r="M61" s="138">
        <v>597</v>
      </c>
      <c r="N61" s="138">
        <v>503.4</v>
      </c>
      <c r="O61" s="138">
        <v>525.79999999999995</v>
      </c>
      <c r="P61" s="138">
        <v>515.1</v>
      </c>
      <c r="Q61" s="138">
        <v>544.20000000000005</v>
      </c>
      <c r="R61" s="138">
        <v>540.79999999999995</v>
      </c>
      <c r="S61" s="138">
        <v>547.79999999999995</v>
      </c>
      <c r="T61" s="138">
        <v>569.1</v>
      </c>
      <c r="U61" s="138"/>
      <c r="V61" s="138">
        <v>512.70000000000005</v>
      </c>
      <c r="W61" s="138"/>
      <c r="X61" s="138"/>
      <c r="Y61" s="138"/>
      <c r="Z61" s="138"/>
      <c r="AQ61" s="830" t="s">
        <v>500</v>
      </c>
      <c r="AR61" s="103">
        <v>56</v>
      </c>
      <c r="AS61" s="103">
        <v>542.72222222222217</v>
      </c>
      <c r="AU61" s="1084">
        <v>1010.4</v>
      </c>
      <c r="AV61" s="103">
        <f t="shared" si="0"/>
        <v>543.55555555555554</v>
      </c>
    </row>
    <row r="62" spans="4:48" s="103" customFormat="1" ht="18.75" customHeight="1" x14ac:dyDescent="0.3">
      <c r="D62" s="136">
        <v>52</v>
      </c>
      <c r="E62" s="136">
        <v>500</v>
      </c>
      <c r="F62" s="136">
        <v>560</v>
      </c>
      <c r="G62" s="137">
        <v>675</v>
      </c>
      <c r="H62" s="137" t="s">
        <v>17</v>
      </c>
      <c r="I62" s="137" t="s">
        <v>17</v>
      </c>
      <c r="J62" s="138">
        <v>597.79999999999995</v>
      </c>
      <c r="K62" s="138">
        <v>607.4</v>
      </c>
      <c r="L62" s="138">
        <v>598.1</v>
      </c>
      <c r="M62" s="138">
        <v>599.79999999999995</v>
      </c>
      <c r="N62" s="138">
        <v>508.3</v>
      </c>
      <c r="O62" s="138">
        <v>530.6</v>
      </c>
      <c r="P62" s="138">
        <v>520.1</v>
      </c>
      <c r="Q62" s="138">
        <v>549</v>
      </c>
      <c r="R62" s="138">
        <v>545.6</v>
      </c>
      <c r="S62" s="138">
        <v>552.6</v>
      </c>
      <c r="T62" s="138">
        <v>573.6</v>
      </c>
      <c r="U62" s="138"/>
      <c r="V62" s="138">
        <v>518.20000000000005</v>
      </c>
      <c r="W62" s="138"/>
      <c r="X62" s="138"/>
      <c r="Y62" s="138"/>
      <c r="Z62" s="138"/>
      <c r="AQ62" s="830" t="s">
        <v>501</v>
      </c>
      <c r="AR62" s="103">
        <v>57</v>
      </c>
      <c r="AS62" s="103">
        <v>546.72222222222217</v>
      </c>
      <c r="AU62" s="1084">
        <v>1017.5</v>
      </c>
      <c r="AV62" s="103">
        <f t="shared" si="0"/>
        <v>547.5</v>
      </c>
    </row>
    <row r="63" spans="4:48" s="103" customFormat="1" ht="19.5" customHeight="1" x14ac:dyDescent="0.3">
      <c r="D63" s="136">
        <v>53</v>
      </c>
      <c r="E63" s="136">
        <v>500</v>
      </c>
      <c r="F63" s="136">
        <v>560</v>
      </c>
      <c r="G63" s="137">
        <v>678</v>
      </c>
      <c r="H63" s="137" t="s">
        <v>17</v>
      </c>
      <c r="I63" s="137" t="s">
        <v>17</v>
      </c>
      <c r="J63" s="138">
        <v>601</v>
      </c>
      <c r="K63" s="138">
        <v>610.29999999999995</v>
      </c>
      <c r="L63" s="138">
        <v>600.79999999999995</v>
      </c>
      <c r="M63" s="138">
        <v>602.6</v>
      </c>
      <c r="N63" s="138">
        <v>513.70000000000005</v>
      </c>
      <c r="O63" s="138">
        <v>535.29999999999995</v>
      </c>
      <c r="P63" s="138">
        <v>524.79999999999995</v>
      </c>
      <c r="Q63" s="138">
        <v>553.70000000000005</v>
      </c>
      <c r="R63" s="138">
        <v>550.4</v>
      </c>
      <c r="S63" s="138">
        <v>557.20000000000005</v>
      </c>
      <c r="T63" s="138">
        <v>578.4</v>
      </c>
      <c r="U63" s="138"/>
      <c r="V63" s="138">
        <v>523.5</v>
      </c>
      <c r="W63" s="138"/>
      <c r="X63" s="138"/>
      <c r="Y63" s="138"/>
      <c r="Z63" s="138"/>
      <c r="AQ63" s="830" t="s">
        <v>502</v>
      </c>
      <c r="AR63" s="103">
        <v>58</v>
      </c>
      <c r="AS63" s="103">
        <v>550.88888888888891</v>
      </c>
      <c r="AU63" s="1084">
        <v>1024.5999999999999</v>
      </c>
      <c r="AV63" s="103">
        <f t="shared" si="0"/>
        <v>551.44444444444446</v>
      </c>
    </row>
    <row r="64" spans="4:48" s="103" customFormat="1" ht="19.5" customHeight="1" x14ac:dyDescent="0.3">
      <c r="D64" s="136">
        <v>54</v>
      </c>
      <c r="E64" s="136">
        <v>500</v>
      </c>
      <c r="F64" s="136">
        <v>560</v>
      </c>
      <c r="G64" s="137">
        <v>682</v>
      </c>
      <c r="H64" s="137" t="s">
        <v>17</v>
      </c>
      <c r="I64" s="137" t="s">
        <v>17</v>
      </c>
      <c r="J64" s="138">
        <v>604.29999999999995</v>
      </c>
      <c r="K64" s="138">
        <v>613.29999999999995</v>
      </c>
      <c r="L64" s="138">
        <v>603.6</v>
      </c>
      <c r="M64" s="138">
        <v>605.4</v>
      </c>
      <c r="N64" s="138">
        <v>519.1</v>
      </c>
      <c r="O64" s="138">
        <v>539.9</v>
      </c>
      <c r="P64" s="138">
        <v>529.29999999999995</v>
      </c>
      <c r="Q64" s="138">
        <v>558.20000000000005</v>
      </c>
      <c r="R64" s="138">
        <v>555.20000000000005</v>
      </c>
      <c r="S64" s="138">
        <v>561.5</v>
      </c>
      <c r="T64" s="138">
        <v>583.29999999999995</v>
      </c>
      <c r="U64" s="138"/>
      <c r="V64" s="138">
        <v>528.29999999999995</v>
      </c>
      <c r="W64" s="138"/>
      <c r="X64" s="138"/>
      <c r="Y64" s="138"/>
      <c r="Z64" s="138"/>
      <c r="AQ64" s="830" t="s">
        <v>503</v>
      </c>
      <c r="AR64" s="103">
        <v>59</v>
      </c>
      <c r="AS64" s="103">
        <v>554.94444444444446</v>
      </c>
      <c r="AU64" s="1084">
        <v>1031.5999999999999</v>
      </c>
      <c r="AV64" s="103">
        <f t="shared" si="0"/>
        <v>555.33333333333337</v>
      </c>
    </row>
    <row r="65" spans="4:48" s="103" customFormat="1" ht="19.5" customHeight="1" x14ac:dyDescent="0.3">
      <c r="D65" s="136">
        <v>55</v>
      </c>
      <c r="E65" s="136">
        <v>500</v>
      </c>
      <c r="F65" s="136">
        <v>560</v>
      </c>
      <c r="G65" s="137">
        <v>687</v>
      </c>
      <c r="H65" s="137" t="s">
        <v>17</v>
      </c>
      <c r="I65" s="137" t="s">
        <v>17</v>
      </c>
      <c r="J65" s="138">
        <v>607.6</v>
      </c>
      <c r="K65" s="138">
        <v>616.29999999999995</v>
      </c>
      <c r="L65" s="138">
        <v>606.29999999999995</v>
      </c>
      <c r="M65" s="138">
        <v>608.20000000000005</v>
      </c>
      <c r="N65" s="138">
        <v>524.20000000000005</v>
      </c>
      <c r="O65" s="138">
        <v>544.4</v>
      </c>
      <c r="P65" s="138">
        <v>533.70000000000005</v>
      </c>
      <c r="Q65" s="138">
        <v>562.5</v>
      </c>
      <c r="R65" s="138">
        <v>559.6</v>
      </c>
      <c r="S65" s="138">
        <v>565.79999999999995</v>
      </c>
      <c r="T65" s="138">
        <v>588.20000000000005</v>
      </c>
      <c r="U65" s="138"/>
      <c r="V65" s="138">
        <v>533</v>
      </c>
      <c r="W65" s="138"/>
      <c r="X65" s="138"/>
      <c r="Y65" s="138"/>
      <c r="Z65" s="138"/>
      <c r="AQ65" s="830" t="s">
        <v>504</v>
      </c>
      <c r="AR65" s="103">
        <v>60</v>
      </c>
      <c r="AS65" s="103">
        <v>558.83333333333337</v>
      </c>
      <c r="AU65" s="1084">
        <v>1038.4000000000001</v>
      </c>
      <c r="AV65" s="103">
        <f t="shared" si="0"/>
        <v>559.11111111111109</v>
      </c>
    </row>
    <row r="66" spans="4:48" s="103" customFormat="1" ht="19.5" customHeight="1" x14ac:dyDescent="0.3">
      <c r="D66" s="136">
        <v>56</v>
      </c>
      <c r="E66" s="136">
        <v>500</v>
      </c>
      <c r="F66" s="136">
        <v>560</v>
      </c>
      <c r="G66" s="137">
        <v>691</v>
      </c>
      <c r="H66" s="137" t="s">
        <v>17</v>
      </c>
      <c r="I66" s="137" t="s">
        <v>17</v>
      </c>
      <c r="J66" s="138">
        <v>610.9</v>
      </c>
      <c r="K66" s="138">
        <v>619.4</v>
      </c>
      <c r="L66" s="138">
        <v>609</v>
      </c>
      <c r="M66" s="138">
        <v>611</v>
      </c>
      <c r="N66" s="138">
        <v>529.1</v>
      </c>
      <c r="O66" s="138">
        <v>549</v>
      </c>
      <c r="P66" s="138">
        <v>538</v>
      </c>
      <c r="Q66" s="138">
        <v>566.70000000000005</v>
      </c>
      <c r="R66" s="138">
        <v>563.9</v>
      </c>
      <c r="S66" s="138">
        <v>569.6</v>
      </c>
      <c r="T66" s="138">
        <v>593.1</v>
      </c>
      <c r="U66" s="138"/>
      <c r="V66" s="138">
        <v>537.6</v>
      </c>
      <c r="W66" s="138"/>
      <c r="X66" s="138"/>
      <c r="Y66" s="138"/>
      <c r="Z66" s="138"/>
      <c r="AQ66" s="830" t="s">
        <v>505</v>
      </c>
      <c r="AR66" s="103">
        <v>61</v>
      </c>
      <c r="AS66" s="103">
        <v>562.55555555555554</v>
      </c>
      <c r="AU66" s="1084">
        <v>1044.9000000000001</v>
      </c>
      <c r="AV66" s="103">
        <f t="shared" si="0"/>
        <v>562.72222222222217</v>
      </c>
    </row>
    <row r="67" spans="4:48" s="103" customFormat="1" x14ac:dyDescent="0.3">
      <c r="D67" s="136">
        <v>57</v>
      </c>
      <c r="E67" s="136">
        <v>500</v>
      </c>
      <c r="F67" s="136">
        <v>560</v>
      </c>
      <c r="G67" s="137">
        <v>694</v>
      </c>
      <c r="H67" s="137" t="s">
        <v>17</v>
      </c>
      <c r="I67" s="137" t="s">
        <v>17</v>
      </c>
      <c r="J67" s="138">
        <v>614.29999999999995</v>
      </c>
      <c r="K67" s="138">
        <v>622.6</v>
      </c>
      <c r="L67" s="138">
        <v>611.70000000000005</v>
      </c>
      <c r="M67" s="138">
        <v>613.9</v>
      </c>
      <c r="N67" s="138">
        <v>533.9</v>
      </c>
      <c r="O67" s="138">
        <v>553.5</v>
      </c>
      <c r="P67" s="138">
        <v>542.20000000000005</v>
      </c>
      <c r="Q67" s="138">
        <v>570.6</v>
      </c>
      <c r="R67" s="138">
        <v>567.9</v>
      </c>
      <c r="S67" s="138">
        <v>573.4</v>
      </c>
      <c r="T67" s="138">
        <v>598</v>
      </c>
      <c r="U67" s="138"/>
      <c r="V67" s="138">
        <v>542.1</v>
      </c>
      <c r="W67" s="138"/>
      <c r="X67" s="138"/>
      <c r="Y67" s="138"/>
      <c r="Z67" s="138"/>
      <c r="AQ67" s="830" t="s">
        <v>506</v>
      </c>
      <c r="AR67" s="103">
        <v>62</v>
      </c>
      <c r="AS67" s="103">
        <v>566.27777777777783</v>
      </c>
      <c r="AU67" s="1084">
        <v>1051.4000000000001</v>
      </c>
      <c r="AV67" s="103">
        <f t="shared" si="0"/>
        <v>566.33333333333337</v>
      </c>
    </row>
    <row r="68" spans="4:48" s="103" customFormat="1" x14ac:dyDescent="0.3">
      <c r="D68" s="136">
        <v>58</v>
      </c>
      <c r="E68" s="136">
        <v>500</v>
      </c>
      <c r="F68" s="136">
        <v>560</v>
      </c>
      <c r="G68" s="137">
        <v>698</v>
      </c>
      <c r="H68" s="137" t="s">
        <v>17</v>
      </c>
      <c r="I68" s="137" t="s">
        <v>17</v>
      </c>
      <c r="J68" s="138">
        <v>617.79999999999995</v>
      </c>
      <c r="K68" s="138">
        <v>625.70000000000005</v>
      </c>
      <c r="L68" s="138">
        <v>614.5</v>
      </c>
      <c r="M68" s="138">
        <v>616.79999999999995</v>
      </c>
      <c r="N68" s="138">
        <v>538.70000000000005</v>
      </c>
      <c r="O68" s="138">
        <v>557.79999999999995</v>
      </c>
      <c r="P68" s="138">
        <v>546.4</v>
      </c>
      <c r="Q68" s="138">
        <v>574.5</v>
      </c>
      <c r="R68" s="138">
        <v>571.9</v>
      </c>
      <c r="S68" s="138">
        <v>577.29999999999995</v>
      </c>
      <c r="T68" s="138">
        <v>603.1</v>
      </c>
      <c r="U68" s="138"/>
      <c r="V68" s="138">
        <v>546.70000000000005</v>
      </c>
      <c r="W68" s="138"/>
      <c r="X68" s="138"/>
      <c r="Y68" s="138"/>
      <c r="Z68" s="138"/>
      <c r="AQ68" s="830" t="s">
        <v>507</v>
      </c>
      <c r="AR68" s="103">
        <v>63</v>
      </c>
      <c r="AS68" s="103">
        <v>569.77777777777783</v>
      </c>
      <c r="AU68" s="1084">
        <v>1057.5999999999999</v>
      </c>
      <c r="AV68" s="103">
        <f t="shared" si="0"/>
        <v>569.77777777777783</v>
      </c>
    </row>
    <row r="69" spans="4:48" s="13" customFormat="1" x14ac:dyDescent="0.3">
      <c r="D69" s="136">
        <v>59</v>
      </c>
      <c r="E69" s="136">
        <v>500</v>
      </c>
      <c r="F69" s="136">
        <v>560</v>
      </c>
      <c r="G69" s="137">
        <v>702</v>
      </c>
      <c r="H69" s="137" t="s">
        <v>17</v>
      </c>
      <c r="I69" s="137" t="s">
        <v>17</v>
      </c>
      <c r="J69" s="138">
        <v>621.4</v>
      </c>
      <c r="K69" s="138">
        <v>628.9</v>
      </c>
      <c r="L69" s="138">
        <v>617.29999999999995</v>
      </c>
      <c r="M69" s="138">
        <v>619.70000000000005</v>
      </c>
      <c r="N69" s="138">
        <v>543.29999999999995</v>
      </c>
      <c r="O69" s="138">
        <v>561.79999999999995</v>
      </c>
      <c r="P69" s="138">
        <v>550.5</v>
      </c>
      <c r="Q69" s="138">
        <v>578.5</v>
      </c>
      <c r="R69" s="138">
        <v>575.79999999999995</v>
      </c>
      <c r="S69" s="138">
        <v>581.29999999999995</v>
      </c>
      <c r="T69" s="138">
        <v>608.6</v>
      </c>
      <c r="U69" s="138"/>
      <c r="V69" s="138">
        <v>551.29999999999995</v>
      </c>
      <c r="W69" s="138"/>
      <c r="X69" s="138"/>
      <c r="Y69" s="138"/>
      <c r="Z69" s="138"/>
      <c r="AQ69" s="830" t="s">
        <v>508</v>
      </c>
      <c r="AR69" s="103">
        <v>64</v>
      </c>
      <c r="AS69" s="13">
        <v>573.22222222222217</v>
      </c>
      <c r="AU69" s="1084">
        <v>1063.7</v>
      </c>
      <c r="AV69" s="103">
        <f t="shared" si="0"/>
        <v>573.16666666666663</v>
      </c>
    </row>
    <row r="70" spans="4:48" s="103" customFormat="1" x14ac:dyDescent="0.3">
      <c r="D70" s="623">
        <v>60</v>
      </c>
      <c r="E70" s="623">
        <v>500</v>
      </c>
      <c r="F70" s="623">
        <v>560</v>
      </c>
      <c r="G70" s="624">
        <v>705</v>
      </c>
      <c r="H70" s="624" t="s">
        <v>17</v>
      </c>
      <c r="I70" s="624" t="s">
        <v>17</v>
      </c>
      <c r="J70" s="625">
        <v>625</v>
      </c>
      <c r="K70" s="625">
        <v>631.9</v>
      </c>
      <c r="L70" s="625">
        <v>620.1</v>
      </c>
      <c r="M70" s="625">
        <v>622.70000000000005</v>
      </c>
      <c r="N70" s="625">
        <v>548.1</v>
      </c>
      <c r="O70" s="625">
        <v>565.79999999999995</v>
      </c>
      <c r="P70" s="625">
        <v>554.6</v>
      </c>
      <c r="Q70" s="625">
        <v>582.6</v>
      </c>
      <c r="R70" s="625">
        <v>580</v>
      </c>
      <c r="S70" s="625">
        <v>585.29999999999995</v>
      </c>
      <c r="T70" s="625">
        <v>614.1</v>
      </c>
      <c r="U70" s="625"/>
      <c r="V70" s="625">
        <v>556</v>
      </c>
      <c r="W70" s="625"/>
      <c r="X70" s="625"/>
      <c r="Y70" s="625"/>
      <c r="Z70" s="625"/>
      <c r="AQ70" s="830" t="s">
        <v>509</v>
      </c>
      <c r="AR70" s="103">
        <v>65</v>
      </c>
      <c r="AS70" s="103">
        <v>576.77777777777783</v>
      </c>
      <c r="AU70" s="1084">
        <v>1069.9000000000001</v>
      </c>
      <c r="AV70" s="103">
        <f t="shared" si="0"/>
        <v>576.61111111111109</v>
      </c>
    </row>
    <row r="71" spans="4:48" s="103" customFormat="1" x14ac:dyDescent="0.3">
      <c r="D71" s="136">
        <v>61</v>
      </c>
      <c r="E71" s="136">
        <v>500</v>
      </c>
      <c r="F71" s="136">
        <v>560</v>
      </c>
      <c r="G71" s="137">
        <v>708</v>
      </c>
      <c r="H71" s="137" t="s">
        <v>17</v>
      </c>
      <c r="I71" s="137" t="s">
        <v>17</v>
      </c>
      <c r="J71" s="138">
        <v>628.6</v>
      </c>
      <c r="K71" s="138">
        <v>635.1</v>
      </c>
      <c r="L71" s="138">
        <v>623</v>
      </c>
      <c r="M71" s="138">
        <v>625.70000000000005</v>
      </c>
      <c r="N71" s="138">
        <v>552.79999999999995</v>
      </c>
      <c r="O71" s="138">
        <v>569.5</v>
      </c>
      <c r="P71" s="138">
        <v>558.5</v>
      </c>
      <c r="Q71" s="138">
        <v>586.6</v>
      </c>
      <c r="R71" s="138">
        <v>584.20000000000005</v>
      </c>
      <c r="S71" s="138">
        <v>589.29999999999995</v>
      </c>
      <c r="T71" s="138">
        <v>620.1</v>
      </c>
      <c r="U71" s="138"/>
      <c r="V71" s="138">
        <v>560.29999999999995</v>
      </c>
      <c r="W71" s="138"/>
      <c r="X71" s="138"/>
      <c r="Y71" s="138"/>
      <c r="Z71" s="138"/>
      <c r="AQ71" s="830" t="s">
        <v>510</v>
      </c>
      <c r="AR71" s="103">
        <v>66</v>
      </c>
      <c r="AS71" s="103">
        <v>580.33333333333337</v>
      </c>
      <c r="AU71" s="1084">
        <v>1076.3</v>
      </c>
      <c r="AV71" s="103">
        <f t="shared" ref="AV71:AV95" si="1">(AU71-32)*5/9</f>
        <v>580.16666666666663</v>
      </c>
    </row>
    <row r="72" spans="4:48" s="103" customFormat="1" x14ac:dyDescent="0.3">
      <c r="D72" s="136">
        <v>62</v>
      </c>
      <c r="E72" s="136">
        <v>500</v>
      </c>
      <c r="F72" s="136">
        <v>560</v>
      </c>
      <c r="G72" s="137">
        <v>713</v>
      </c>
      <c r="H72" s="137" t="s">
        <v>17</v>
      </c>
      <c r="I72" s="137" t="s">
        <v>17</v>
      </c>
      <c r="J72" s="138">
        <v>632</v>
      </c>
      <c r="K72" s="138">
        <v>638.4</v>
      </c>
      <c r="L72" s="138">
        <v>625.79999999999995</v>
      </c>
      <c r="M72" s="138">
        <v>628.70000000000005</v>
      </c>
      <c r="N72" s="138">
        <v>557.4</v>
      </c>
      <c r="O72" s="138">
        <v>573.20000000000005</v>
      </c>
      <c r="P72" s="138">
        <v>562.20000000000005</v>
      </c>
      <c r="Q72" s="138">
        <v>590.70000000000005</v>
      </c>
      <c r="R72" s="138">
        <v>588.4</v>
      </c>
      <c r="S72" s="138">
        <v>593.29999999999995</v>
      </c>
      <c r="T72" s="138">
        <v>626.20000000000005</v>
      </c>
      <c r="U72" s="138"/>
      <c r="V72" s="138">
        <v>564.4</v>
      </c>
      <c r="W72" s="138"/>
      <c r="X72" s="138"/>
      <c r="Y72" s="138"/>
      <c r="Z72" s="138"/>
      <c r="AQ72" s="830" t="s">
        <v>511</v>
      </c>
      <c r="AR72" s="103">
        <v>67</v>
      </c>
      <c r="AS72" s="103">
        <v>583.94444444444446</v>
      </c>
      <c r="AU72" s="1084">
        <v>1082.8</v>
      </c>
      <c r="AV72" s="103">
        <f t="shared" si="1"/>
        <v>583.77777777777783</v>
      </c>
    </row>
    <row r="73" spans="4:48" s="103" customFormat="1" x14ac:dyDescent="0.3">
      <c r="D73" s="136">
        <v>63</v>
      </c>
      <c r="E73" s="136">
        <v>500</v>
      </c>
      <c r="F73" s="136">
        <v>560</v>
      </c>
      <c r="G73" s="137">
        <v>718</v>
      </c>
      <c r="H73" s="137" t="s">
        <v>17</v>
      </c>
      <c r="I73" s="137" t="s">
        <v>17</v>
      </c>
      <c r="J73" s="138">
        <v>635.5</v>
      </c>
      <c r="K73" s="138">
        <v>641.79999999999995</v>
      </c>
      <c r="L73" s="138">
        <v>628.6</v>
      </c>
      <c r="M73" s="138">
        <v>631.6</v>
      </c>
      <c r="N73" s="138">
        <v>561.79999999999995</v>
      </c>
      <c r="O73" s="138">
        <v>577.1</v>
      </c>
      <c r="P73" s="138">
        <v>565.9</v>
      </c>
      <c r="Q73" s="138">
        <v>594.70000000000005</v>
      </c>
      <c r="R73" s="138">
        <v>592.70000000000005</v>
      </c>
      <c r="S73" s="138">
        <v>597.29999999999995</v>
      </c>
      <c r="T73" s="138">
        <v>632.5</v>
      </c>
      <c r="U73" s="138"/>
      <c r="V73" s="138">
        <v>568.4</v>
      </c>
      <c r="W73" s="138"/>
      <c r="X73" s="138"/>
      <c r="Y73" s="138"/>
      <c r="Z73" s="138"/>
      <c r="AQ73" s="830" t="s">
        <v>512</v>
      </c>
      <c r="AR73" s="103">
        <v>68</v>
      </c>
      <c r="AS73" s="103">
        <v>587.33333333333337</v>
      </c>
      <c r="AU73" s="1084">
        <v>1089</v>
      </c>
      <c r="AV73" s="103">
        <f t="shared" si="1"/>
        <v>587.22222222222217</v>
      </c>
    </row>
    <row r="74" spans="4:48" s="103" customFormat="1" x14ac:dyDescent="0.3">
      <c r="D74" s="136">
        <v>64</v>
      </c>
      <c r="E74" s="136">
        <v>500</v>
      </c>
      <c r="F74" s="136">
        <v>560</v>
      </c>
      <c r="G74" s="137">
        <v>720</v>
      </c>
      <c r="H74" s="137" t="s">
        <v>17</v>
      </c>
      <c r="I74" s="137" t="s">
        <v>17</v>
      </c>
      <c r="J74" s="138">
        <v>639.29999999999995</v>
      </c>
      <c r="K74" s="138">
        <v>645.4</v>
      </c>
      <c r="L74" s="138">
        <v>631.4</v>
      </c>
      <c r="M74" s="138">
        <v>634.5</v>
      </c>
      <c r="N74" s="138">
        <v>566.1</v>
      </c>
      <c r="O74" s="138">
        <v>581</v>
      </c>
      <c r="P74" s="138">
        <v>569.29999999999995</v>
      </c>
      <c r="Q74" s="138">
        <v>598.79999999999995</v>
      </c>
      <c r="R74" s="138">
        <v>596.9</v>
      </c>
      <c r="S74" s="138">
        <v>601.5</v>
      </c>
      <c r="T74" s="138">
        <v>639.29999999999995</v>
      </c>
      <c r="U74" s="138"/>
      <c r="V74" s="138">
        <v>572.20000000000005</v>
      </c>
      <c r="W74" s="138"/>
      <c r="X74" s="138"/>
      <c r="Y74" s="138"/>
      <c r="Z74" s="138"/>
      <c r="AQ74" s="830" t="s">
        <v>513</v>
      </c>
      <c r="AR74" s="103">
        <v>69</v>
      </c>
      <c r="AS74" s="103">
        <v>590.66666666666663</v>
      </c>
      <c r="AU74" s="1084">
        <v>1095.2</v>
      </c>
      <c r="AV74" s="103">
        <f t="shared" si="1"/>
        <v>590.66666666666663</v>
      </c>
    </row>
    <row r="75" spans="4:48" s="103" customFormat="1" x14ac:dyDescent="0.3">
      <c r="D75" s="136">
        <v>65</v>
      </c>
      <c r="E75" s="136">
        <v>500</v>
      </c>
      <c r="F75" s="136">
        <v>560</v>
      </c>
      <c r="G75" s="137" t="s">
        <v>17</v>
      </c>
      <c r="H75" s="137" t="s">
        <v>17</v>
      </c>
      <c r="I75" s="137" t="s">
        <v>17</v>
      </c>
      <c r="J75" s="138">
        <v>643.29999999999995</v>
      </c>
      <c r="K75" s="138">
        <v>648.9</v>
      </c>
      <c r="L75" s="138">
        <v>634.20000000000005</v>
      </c>
      <c r="M75" s="138">
        <v>637.6</v>
      </c>
      <c r="N75" s="138">
        <v>570.20000000000005</v>
      </c>
      <c r="O75" s="138">
        <v>584.9</v>
      </c>
      <c r="P75" s="138">
        <v>572.70000000000005</v>
      </c>
      <c r="Q75" s="138">
        <v>603.1</v>
      </c>
      <c r="R75" s="138">
        <v>601.29999999999995</v>
      </c>
      <c r="S75" s="138">
        <v>605.79999999999995</v>
      </c>
      <c r="T75" s="138">
        <v>647</v>
      </c>
      <c r="U75" s="138"/>
      <c r="V75" s="138">
        <v>576.20000000000005</v>
      </c>
      <c r="W75" s="138"/>
      <c r="X75" s="138"/>
      <c r="Y75" s="138"/>
      <c r="Z75" s="138"/>
      <c r="AQ75" s="830" t="s">
        <v>514</v>
      </c>
      <c r="AR75" s="103">
        <v>70</v>
      </c>
      <c r="AS75" s="103">
        <v>594.16666666666663</v>
      </c>
      <c r="AU75" s="1084">
        <v>1101.5999999999999</v>
      </c>
      <c r="AV75" s="103">
        <f t="shared" si="1"/>
        <v>594.22222222222217</v>
      </c>
    </row>
    <row r="76" spans="4:48" s="103" customFormat="1" x14ac:dyDescent="0.3">
      <c r="D76" s="136">
        <v>66</v>
      </c>
      <c r="E76" s="136">
        <v>500</v>
      </c>
      <c r="F76" s="136">
        <v>560</v>
      </c>
      <c r="G76" s="137" t="s">
        <v>17</v>
      </c>
      <c r="H76" s="137" t="s">
        <v>17</v>
      </c>
      <c r="I76" s="137" t="s">
        <v>17</v>
      </c>
      <c r="J76" s="138">
        <v>647.4</v>
      </c>
      <c r="K76" s="138">
        <v>652.4</v>
      </c>
      <c r="L76" s="138">
        <v>637.1</v>
      </c>
      <c r="M76" s="138">
        <v>640.70000000000005</v>
      </c>
      <c r="N76" s="138">
        <v>574.20000000000005</v>
      </c>
      <c r="O76" s="138">
        <v>588.79999999999995</v>
      </c>
      <c r="P76" s="138">
        <v>576.20000000000005</v>
      </c>
      <c r="Q76" s="138">
        <v>607.6</v>
      </c>
      <c r="R76" s="138">
        <v>606.1</v>
      </c>
      <c r="S76" s="138">
        <v>610.29999999999995</v>
      </c>
      <c r="T76" s="138">
        <v>654.70000000000005</v>
      </c>
      <c r="U76" s="138"/>
      <c r="V76" s="138">
        <v>580.20000000000005</v>
      </c>
      <c r="W76" s="138"/>
      <c r="X76" s="138"/>
      <c r="Y76" s="138"/>
      <c r="Z76" s="138"/>
      <c r="AQ76" s="830" t="s">
        <v>515</v>
      </c>
      <c r="AR76" s="103">
        <v>71</v>
      </c>
      <c r="AS76" s="103">
        <v>597.77777777777783</v>
      </c>
      <c r="AU76" s="1084">
        <v>1108.3</v>
      </c>
      <c r="AV76" s="103">
        <f t="shared" si="1"/>
        <v>597.94444444444446</v>
      </c>
    </row>
    <row r="77" spans="4:48" s="103" customFormat="1" x14ac:dyDescent="0.3">
      <c r="D77" s="136">
        <v>67</v>
      </c>
      <c r="E77" s="136">
        <v>500</v>
      </c>
      <c r="F77" s="136">
        <v>560</v>
      </c>
      <c r="G77" s="137" t="s">
        <v>17</v>
      </c>
      <c r="H77" s="137" t="s">
        <v>17</v>
      </c>
      <c r="I77" s="137" t="s">
        <v>17</v>
      </c>
      <c r="J77" s="138">
        <v>651.4</v>
      </c>
      <c r="K77" s="138">
        <v>655.8</v>
      </c>
      <c r="L77" s="138">
        <v>640</v>
      </c>
      <c r="M77" s="138">
        <v>644</v>
      </c>
      <c r="N77" s="138">
        <v>578.5</v>
      </c>
      <c r="O77" s="138">
        <v>592.79999999999995</v>
      </c>
      <c r="P77" s="138">
        <v>579.79999999999995</v>
      </c>
      <c r="Q77" s="138">
        <v>612.1</v>
      </c>
      <c r="R77" s="138">
        <v>610.79999999999995</v>
      </c>
      <c r="S77" s="138">
        <v>614.79999999999995</v>
      </c>
      <c r="T77" s="138">
        <v>664.1</v>
      </c>
      <c r="U77" s="138"/>
      <c r="V77" s="138">
        <v>584.4</v>
      </c>
      <c r="W77" s="138"/>
      <c r="X77" s="138"/>
      <c r="Y77" s="138"/>
      <c r="Z77" s="138"/>
      <c r="AQ77" s="830" t="s">
        <v>516</v>
      </c>
      <c r="AR77" s="103">
        <v>72</v>
      </c>
      <c r="AS77" s="103">
        <v>601.5</v>
      </c>
      <c r="AU77" s="1084">
        <v>1115.3</v>
      </c>
      <c r="AV77" s="103">
        <f t="shared" si="1"/>
        <v>601.83333333333337</v>
      </c>
    </row>
    <row r="78" spans="4:48" s="103" customFormat="1" x14ac:dyDescent="0.3">
      <c r="D78" s="136">
        <v>68</v>
      </c>
      <c r="E78" s="136">
        <v>500</v>
      </c>
      <c r="F78" s="136">
        <v>560</v>
      </c>
      <c r="G78" s="137" t="s">
        <v>17</v>
      </c>
      <c r="H78" s="137" t="s">
        <v>17</v>
      </c>
      <c r="I78" s="137" t="s">
        <v>17</v>
      </c>
      <c r="J78" s="138">
        <v>655.20000000000005</v>
      </c>
      <c r="K78" s="138">
        <v>659.7</v>
      </c>
      <c r="L78" s="138">
        <v>643.1</v>
      </c>
      <c r="M78" s="138">
        <v>647.4</v>
      </c>
      <c r="N78" s="138">
        <v>582.9</v>
      </c>
      <c r="O78" s="138">
        <v>596.70000000000005</v>
      </c>
      <c r="P78" s="138">
        <v>583.5</v>
      </c>
      <c r="Q78" s="138">
        <v>616.79999999999995</v>
      </c>
      <c r="R78" s="138">
        <v>615.70000000000005</v>
      </c>
      <c r="S78" s="138">
        <v>619.6</v>
      </c>
      <c r="T78" s="138">
        <v>674.8</v>
      </c>
      <c r="U78" s="138"/>
      <c r="V78" s="138">
        <v>588.5</v>
      </c>
      <c r="W78" s="138"/>
      <c r="X78" s="138"/>
      <c r="Y78" s="138"/>
      <c r="Z78" s="138"/>
      <c r="AQ78" s="830" t="s">
        <v>517</v>
      </c>
      <c r="AR78" s="103">
        <v>73</v>
      </c>
      <c r="AS78" s="103">
        <v>605.33333333333337</v>
      </c>
      <c r="AU78" s="1084">
        <v>1122.5</v>
      </c>
      <c r="AV78" s="103">
        <f t="shared" si="1"/>
        <v>605.83333333333337</v>
      </c>
    </row>
    <row r="79" spans="4:48" x14ac:dyDescent="0.3">
      <c r="D79" s="136">
        <v>69</v>
      </c>
      <c r="E79" s="136">
        <v>500</v>
      </c>
      <c r="F79" s="136">
        <v>560</v>
      </c>
      <c r="G79" s="137" t="s">
        <v>17</v>
      </c>
      <c r="H79" s="137" t="s">
        <v>17</v>
      </c>
      <c r="I79" s="137" t="s">
        <v>17</v>
      </c>
      <c r="J79" s="138">
        <v>659.4</v>
      </c>
      <c r="K79" s="138">
        <v>664.3</v>
      </c>
      <c r="L79" s="138">
        <v>646.20000000000005</v>
      </c>
      <c r="M79" s="138">
        <v>650.5</v>
      </c>
      <c r="N79" s="138">
        <v>587.20000000000005</v>
      </c>
      <c r="O79" s="138">
        <v>600.79999999999995</v>
      </c>
      <c r="P79" s="138">
        <v>587</v>
      </c>
      <c r="Q79" s="138">
        <v>621.9</v>
      </c>
      <c r="R79" s="138">
        <v>621.1</v>
      </c>
      <c r="S79" s="138">
        <v>624.6</v>
      </c>
      <c r="T79" s="138">
        <v>687.8</v>
      </c>
      <c r="U79" s="138"/>
      <c r="V79" s="138">
        <v>592.6</v>
      </c>
      <c r="W79" s="138"/>
      <c r="X79" s="138"/>
      <c r="Y79" s="138"/>
      <c r="Z79" s="138"/>
      <c r="AQ79" s="830" t="s">
        <v>518</v>
      </c>
      <c r="AR79" s="103">
        <v>74</v>
      </c>
      <c r="AS79" s="7">
        <v>609.22222222222217</v>
      </c>
      <c r="AU79" s="1084">
        <v>1129.5999999999999</v>
      </c>
      <c r="AV79" s="103">
        <f t="shared" si="1"/>
        <v>609.77777777777783</v>
      </c>
    </row>
    <row r="80" spans="4:48" x14ac:dyDescent="0.3">
      <c r="D80" s="623">
        <v>70</v>
      </c>
      <c r="E80" s="623">
        <v>500</v>
      </c>
      <c r="F80" s="623">
        <v>560</v>
      </c>
      <c r="G80" s="624" t="s">
        <v>17</v>
      </c>
      <c r="H80" s="624" t="s">
        <v>17</v>
      </c>
      <c r="I80" s="624" t="s">
        <v>17</v>
      </c>
      <c r="J80" s="625">
        <v>664.4</v>
      </c>
      <c r="K80" s="625">
        <v>669.1</v>
      </c>
      <c r="L80" s="625">
        <v>649.20000000000005</v>
      </c>
      <c r="M80" s="625">
        <v>653.70000000000005</v>
      </c>
      <c r="N80" s="625">
        <v>591.6</v>
      </c>
      <c r="O80" s="625">
        <v>605.1</v>
      </c>
      <c r="P80" s="625">
        <v>590.6</v>
      </c>
      <c r="Q80" s="625">
        <v>626.9</v>
      </c>
      <c r="R80" s="625">
        <v>626.6</v>
      </c>
      <c r="S80" s="625">
        <v>629.6</v>
      </c>
      <c r="T80" s="625">
        <v>701.6</v>
      </c>
      <c r="U80" s="625"/>
      <c r="V80" s="625">
        <v>596.79999999999995</v>
      </c>
      <c r="W80" s="625"/>
      <c r="X80" s="625"/>
      <c r="Y80" s="625"/>
      <c r="Z80" s="625"/>
      <c r="AQ80" s="830" t="s">
        <v>519</v>
      </c>
      <c r="AR80" s="103">
        <v>75</v>
      </c>
      <c r="AS80" s="7">
        <v>612.88888888888891</v>
      </c>
      <c r="AU80" s="1084">
        <v>1136.7</v>
      </c>
      <c r="AV80" s="103">
        <f t="shared" si="1"/>
        <v>613.72222222222217</v>
      </c>
    </row>
    <row r="81" spans="4:48" x14ac:dyDescent="0.3">
      <c r="D81" s="136">
        <v>71</v>
      </c>
      <c r="E81" s="136">
        <v>500</v>
      </c>
      <c r="F81" s="136">
        <v>560</v>
      </c>
      <c r="G81" s="137" t="s">
        <v>17</v>
      </c>
      <c r="H81" s="137" t="s">
        <v>17</v>
      </c>
      <c r="I81" s="137" t="s">
        <v>17</v>
      </c>
      <c r="J81" s="138">
        <v>669.7</v>
      </c>
      <c r="K81" s="138">
        <v>673.5</v>
      </c>
      <c r="L81" s="138">
        <v>652.20000000000005</v>
      </c>
      <c r="M81" s="138">
        <v>656.8</v>
      </c>
      <c r="N81" s="138">
        <v>596</v>
      </c>
      <c r="O81" s="138">
        <v>609.5</v>
      </c>
      <c r="P81" s="138">
        <v>594.29999999999995</v>
      </c>
      <c r="Q81" s="138">
        <v>632.1</v>
      </c>
      <c r="R81" s="138">
        <v>632.20000000000005</v>
      </c>
      <c r="S81" s="138">
        <v>634.79999999999995</v>
      </c>
      <c r="T81" s="138">
        <v>720.3</v>
      </c>
      <c r="U81" s="138"/>
      <c r="V81" s="138">
        <v>601.1</v>
      </c>
      <c r="W81" s="138"/>
      <c r="X81" s="138"/>
      <c r="Y81" s="138"/>
      <c r="Z81" s="138"/>
      <c r="AQ81" s="830" t="s">
        <v>520</v>
      </c>
      <c r="AR81" s="103">
        <v>76</v>
      </c>
      <c r="AS81" s="7">
        <v>616.77777777777783</v>
      </c>
      <c r="AU81" s="1084">
        <v>1144.0999999999999</v>
      </c>
      <c r="AV81" s="103">
        <f t="shared" si="1"/>
        <v>617.83333333333337</v>
      </c>
    </row>
    <row r="82" spans="4:48" x14ac:dyDescent="0.3">
      <c r="D82" s="136">
        <v>72</v>
      </c>
      <c r="E82" s="136">
        <v>500</v>
      </c>
      <c r="F82" s="136">
        <v>560</v>
      </c>
      <c r="G82" s="137" t="s">
        <v>17</v>
      </c>
      <c r="H82" s="137" t="s">
        <v>17</v>
      </c>
      <c r="I82" s="137" t="s">
        <v>17</v>
      </c>
      <c r="J82" s="138">
        <v>674.4</v>
      </c>
      <c r="K82" s="138">
        <v>678.6</v>
      </c>
      <c r="L82" s="138">
        <v>655.1</v>
      </c>
      <c r="M82" s="138">
        <v>660.6</v>
      </c>
      <c r="N82" s="138">
        <v>600.5</v>
      </c>
      <c r="O82" s="138">
        <v>614</v>
      </c>
      <c r="P82" s="138">
        <v>598</v>
      </c>
      <c r="Q82" s="138">
        <v>637.6</v>
      </c>
      <c r="R82" s="138">
        <v>638.1</v>
      </c>
      <c r="S82" s="138">
        <v>640.29999999999995</v>
      </c>
      <c r="T82" s="138" t="s">
        <v>17</v>
      </c>
      <c r="U82" s="138"/>
      <c r="V82" s="138">
        <v>605.6</v>
      </c>
      <c r="W82" s="138"/>
      <c r="X82" s="138"/>
      <c r="Y82" s="138"/>
      <c r="Z82" s="138"/>
      <c r="AQ82" s="830" t="s">
        <v>521</v>
      </c>
      <c r="AR82" s="103">
        <v>77</v>
      </c>
      <c r="AS82" s="7">
        <v>620.83333333333337</v>
      </c>
      <c r="AU82" s="1084">
        <v>1151.8</v>
      </c>
      <c r="AV82" s="103">
        <f t="shared" si="1"/>
        <v>622.11111111111109</v>
      </c>
    </row>
    <row r="83" spans="4:48" x14ac:dyDescent="0.3">
      <c r="D83" s="136">
        <v>73</v>
      </c>
      <c r="E83" s="136">
        <v>500</v>
      </c>
      <c r="F83" s="136">
        <v>560</v>
      </c>
      <c r="G83" s="137" t="s">
        <v>17</v>
      </c>
      <c r="H83" s="137" t="s">
        <v>17</v>
      </c>
      <c r="I83" s="137" t="s">
        <v>17</v>
      </c>
      <c r="J83" s="138">
        <v>680</v>
      </c>
      <c r="K83" s="138">
        <v>683.9</v>
      </c>
      <c r="L83" s="138">
        <v>658.1</v>
      </c>
      <c r="M83" s="138">
        <v>664.8</v>
      </c>
      <c r="N83" s="138">
        <v>605.29999999999995</v>
      </c>
      <c r="O83" s="138">
        <v>618.9</v>
      </c>
      <c r="P83" s="138">
        <v>601.79999999999995</v>
      </c>
      <c r="Q83" s="138">
        <v>643.6</v>
      </c>
      <c r="R83" s="138">
        <v>644.79999999999995</v>
      </c>
      <c r="S83" s="138">
        <v>646.29999999999995</v>
      </c>
      <c r="T83" s="138" t="s">
        <v>17</v>
      </c>
      <c r="U83" s="138"/>
      <c r="V83" s="138">
        <v>610.20000000000005</v>
      </c>
      <c r="W83" s="138"/>
      <c r="X83" s="138"/>
      <c r="Y83" s="138"/>
      <c r="Z83" s="138"/>
      <c r="AQ83" s="830" t="s">
        <v>522</v>
      </c>
      <c r="AR83" s="103">
        <v>78</v>
      </c>
      <c r="AS83" s="7">
        <v>625.16666666666663</v>
      </c>
      <c r="AU83" s="1084">
        <v>1160.2</v>
      </c>
      <c r="AV83" s="103">
        <f t="shared" si="1"/>
        <v>626.77777777777783</v>
      </c>
    </row>
    <row r="84" spans="4:48" x14ac:dyDescent="0.3">
      <c r="D84" s="139">
        <v>74</v>
      </c>
      <c r="E84" s="139">
        <v>500</v>
      </c>
      <c r="F84" s="139">
        <v>560</v>
      </c>
      <c r="G84" s="140" t="s">
        <v>17</v>
      </c>
      <c r="H84" s="140" t="s">
        <v>17</v>
      </c>
      <c r="I84" s="140" t="s">
        <v>17</v>
      </c>
      <c r="J84" s="123">
        <v>685.4</v>
      </c>
      <c r="K84" s="123">
        <v>689.1</v>
      </c>
      <c r="L84" s="123">
        <v>661.9</v>
      </c>
      <c r="M84" s="123">
        <v>669.2</v>
      </c>
      <c r="N84" s="123">
        <v>610.29999999999995</v>
      </c>
      <c r="O84" s="123">
        <v>623.9</v>
      </c>
      <c r="P84" s="123">
        <v>605.79999999999995</v>
      </c>
      <c r="Q84" s="123">
        <v>650</v>
      </c>
      <c r="R84" s="123">
        <v>651.79999999999995</v>
      </c>
      <c r="S84" s="123">
        <v>652.4</v>
      </c>
      <c r="T84" s="123" t="s">
        <v>17</v>
      </c>
      <c r="U84" s="123"/>
      <c r="V84" s="123">
        <v>615</v>
      </c>
      <c r="W84" s="123"/>
      <c r="X84" s="123"/>
      <c r="Y84" s="123"/>
      <c r="Z84" s="123"/>
      <c r="AQ84" s="830" t="s">
        <v>523</v>
      </c>
      <c r="AR84" s="103">
        <v>79</v>
      </c>
      <c r="AS84" s="7">
        <v>629.61111111111109</v>
      </c>
      <c r="AU84" s="1084">
        <v>1168.4000000000001</v>
      </c>
      <c r="AV84" s="103">
        <f t="shared" si="1"/>
        <v>631.33333333333337</v>
      </c>
    </row>
    <row r="85" spans="4:48" x14ac:dyDescent="0.3">
      <c r="D85" s="136">
        <v>75</v>
      </c>
      <c r="E85" s="136">
        <v>500</v>
      </c>
      <c r="F85" s="136">
        <v>560</v>
      </c>
      <c r="G85" s="141" t="s">
        <v>17</v>
      </c>
      <c r="H85" s="141" t="s">
        <v>17</v>
      </c>
      <c r="I85" s="141" t="s">
        <v>17</v>
      </c>
      <c r="J85" s="121">
        <v>691</v>
      </c>
      <c r="K85" s="121">
        <v>693.9</v>
      </c>
      <c r="L85" s="121">
        <v>665.7</v>
      </c>
      <c r="M85" s="121">
        <v>673.1</v>
      </c>
      <c r="N85" s="121">
        <v>615.29999999999995</v>
      </c>
      <c r="O85" s="121">
        <v>628.9</v>
      </c>
      <c r="P85" s="121">
        <v>609.9</v>
      </c>
      <c r="Q85" s="121">
        <v>656.4</v>
      </c>
      <c r="R85" s="121">
        <v>659</v>
      </c>
      <c r="S85" s="121">
        <v>658.5</v>
      </c>
      <c r="T85" s="121" t="s">
        <v>17</v>
      </c>
      <c r="U85" s="121"/>
      <c r="V85" s="121">
        <v>620</v>
      </c>
      <c r="W85" s="121"/>
      <c r="X85" s="121"/>
      <c r="Y85" s="121"/>
      <c r="Z85" s="121"/>
      <c r="AQ85" s="830" t="s">
        <v>524</v>
      </c>
      <c r="AR85" s="103">
        <v>80</v>
      </c>
      <c r="AS85" s="7">
        <v>633.88888888888891</v>
      </c>
      <c r="AU85" s="1084">
        <v>1176.5</v>
      </c>
      <c r="AV85" s="103">
        <f t="shared" si="1"/>
        <v>635.83333333333337</v>
      </c>
    </row>
    <row r="86" spans="4:48" x14ac:dyDescent="0.3">
      <c r="D86" s="136">
        <v>76</v>
      </c>
      <c r="E86" s="136">
        <v>500</v>
      </c>
      <c r="F86" s="136">
        <v>560</v>
      </c>
      <c r="G86" s="141" t="s">
        <v>17</v>
      </c>
      <c r="H86" s="141" t="s">
        <v>17</v>
      </c>
      <c r="I86" s="141" t="s">
        <v>17</v>
      </c>
      <c r="J86" s="121">
        <v>696</v>
      </c>
      <c r="K86" s="121">
        <v>699.8</v>
      </c>
      <c r="L86" s="121">
        <v>669.7</v>
      </c>
      <c r="M86" s="121">
        <v>677.4</v>
      </c>
      <c r="N86" s="121">
        <v>620.9</v>
      </c>
      <c r="O86" s="121">
        <v>634.1</v>
      </c>
      <c r="P86" s="121">
        <v>614.1</v>
      </c>
      <c r="Q86" s="121">
        <v>664.5</v>
      </c>
      <c r="R86" s="121">
        <v>668.8</v>
      </c>
      <c r="S86" s="121">
        <v>666.5</v>
      </c>
      <c r="T86" s="121" t="s">
        <v>17</v>
      </c>
      <c r="U86" s="121"/>
      <c r="V86" s="121">
        <v>625.20000000000005</v>
      </c>
      <c r="W86" s="121"/>
      <c r="X86" s="121"/>
      <c r="Y86" s="121"/>
      <c r="Z86" s="121"/>
      <c r="AQ86" s="830" t="s">
        <v>525</v>
      </c>
      <c r="AR86" s="103">
        <v>81</v>
      </c>
      <c r="AS86" s="7">
        <v>638.44444444444446</v>
      </c>
      <c r="AU86" s="1084">
        <v>1185.2</v>
      </c>
      <c r="AV86" s="103">
        <f t="shared" si="1"/>
        <v>640.66666666666663</v>
      </c>
    </row>
    <row r="87" spans="4:48" x14ac:dyDescent="0.3">
      <c r="D87" s="136">
        <v>77</v>
      </c>
      <c r="E87" s="136">
        <v>500</v>
      </c>
      <c r="F87" s="136">
        <v>560</v>
      </c>
      <c r="G87" s="141" t="s">
        <v>17</v>
      </c>
      <c r="H87" s="141" t="s">
        <v>17</v>
      </c>
      <c r="I87" s="141" t="s">
        <v>17</v>
      </c>
      <c r="J87" s="121">
        <v>702.3</v>
      </c>
      <c r="K87" s="121">
        <v>705.2</v>
      </c>
      <c r="L87" s="121">
        <v>673.1</v>
      </c>
      <c r="M87" s="121">
        <v>682.2</v>
      </c>
      <c r="N87" s="121">
        <v>626.4</v>
      </c>
      <c r="O87" s="121">
        <v>639.6</v>
      </c>
      <c r="P87" s="121">
        <v>618.6</v>
      </c>
      <c r="Q87" s="121">
        <v>673.5</v>
      </c>
      <c r="R87" s="121">
        <v>679.5</v>
      </c>
      <c r="S87" s="121">
        <v>674.3</v>
      </c>
      <c r="T87" s="121" t="s">
        <v>17</v>
      </c>
      <c r="U87" s="121"/>
      <c r="V87" s="121">
        <v>630.5</v>
      </c>
      <c r="W87" s="121"/>
      <c r="X87" s="121"/>
      <c r="Y87" s="121"/>
      <c r="Z87" s="121"/>
      <c r="AQ87" s="830" t="s">
        <v>526</v>
      </c>
      <c r="AR87" s="103">
        <v>82</v>
      </c>
      <c r="AS87" s="7">
        <v>643.33333333333337</v>
      </c>
      <c r="AU87" s="1084">
        <v>1194.7</v>
      </c>
      <c r="AV87" s="103">
        <f t="shared" si="1"/>
        <v>645.94444444444446</v>
      </c>
    </row>
    <row r="88" spans="4:48" x14ac:dyDescent="0.3">
      <c r="D88" s="136">
        <v>78</v>
      </c>
      <c r="E88" s="136">
        <v>500</v>
      </c>
      <c r="F88" s="136">
        <v>560</v>
      </c>
      <c r="G88" s="141" t="s">
        <v>17</v>
      </c>
      <c r="H88" s="141" t="s">
        <v>17</v>
      </c>
      <c r="I88" s="141" t="s">
        <v>17</v>
      </c>
      <c r="J88" s="121">
        <v>708.5</v>
      </c>
      <c r="K88" s="121">
        <v>712.1</v>
      </c>
      <c r="L88" s="121">
        <v>676.9</v>
      </c>
      <c r="M88" s="121">
        <v>686.5</v>
      </c>
      <c r="N88" s="121">
        <v>632.1</v>
      </c>
      <c r="O88" s="121">
        <v>645.70000000000005</v>
      </c>
      <c r="P88" s="121">
        <v>623.20000000000005</v>
      </c>
      <c r="Q88" s="121">
        <v>684</v>
      </c>
      <c r="R88" s="121">
        <v>691.9</v>
      </c>
      <c r="S88" s="121">
        <v>683.4</v>
      </c>
      <c r="T88" s="121" t="s">
        <v>17</v>
      </c>
      <c r="U88" s="121"/>
      <c r="V88" s="121">
        <v>635.9</v>
      </c>
      <c r="W88" s="121"/>
      <c r="X88" s="121"/>
      <c r="Y88" s="121"/>
      <c r="Z88" s="121"/>
      <c r="AQ88" s="830" t="s">
        <v>527</v>
      </c>
      <c r="AR88" s="103">
        <v>83</v>
      </c>
      <c r="AS88" s="7">
        <v>648.66666666666663</v>
      </c>
      <c r="AU88" s="1084">
        <v>1205</v>
      </c>
      <c r="AV88" s="103">
        <f t="shared" si="1"/>
        <v>651.66666666666663</v>
      </c>
    </row>
    <row r="89" spans="4:48" x14ac:dyDescent="0.3">
      <c r="D89" s="136">
        <v>79</v>
      </c>
      <c r="E89" s="136">
        <v>500</v>
      </c>
      <c r="F89" s="136">
        <v>560</v>
      </c>
      <c r="G89" s="141" t="s">
        <v>17</v>
      </c>
      <c r="H89" s="141" t="s">
        <v>17</v>
      </c>
      <c r="I89" s="141" t="s">
        <v>17</v>
      </c>
      <c r="J89" s="121">
        <v>716.3</v>
      </c>
      <c r="K89" s="121">
        <v>720.3</v>
      </c>
      <c r="L89" s="121">
        <v>681.3</v>
      </c>
      <c r="M89" s="121">
        <v>691.2</v>
      </c>
      <c r="N89" s="121">
        <v>638</v>
      </c>
      <c r="O89" s="121">
        <v>651.9</v>
      </c>
      <c r="P89" s="121">
        <v>628</v>
      </c>
      <c r="Q89" s="121">
        <v>694.5</v>
      </c>
      <c r="R89" s="121">
        <v>707.8</v>
      </c>
      <c r="S89" s="121">
        <v>692</v>
      </c>
      <c r="T89" s="121" t="s">
        <v>17</v>
      </c>
      <c r="U89" s="121"/>
      <c r="V89" s="121">
        <v>641.9</v>
      </c>
      <c r="W89" s="121"/>
      <c r="X89" s="121"/>
      <c r="Y89" s="121"/>
      <c r="Z89" s="121"/>
      <c r="AQ89" s="830" t="s">
        <v>528</v>
      </c>
      <c r="AR89" s="103">
        <v>84</v>
      </c>
      <c r="AS89" s="7">
        <v>654.22222222222217</v>
      </c>
      <c r="AU89" s="1084">
        <v>1214.8</v>
      </c>
      <c r="AV89" s="103">
        <f t="shared" si="1"/>
        <v>657.11111111111109</v>
      </c>
    </row>
    <row r="90" spans="4:48" x14ac:dyDescent="0.3">
      <c r="D90" s="623">
        <v>80</v>
      </c>
      <c r="E90" s="623">
        <v>500</v>
      </c>
      <c r="F90" s="623">
        <v>560</v>
      </c>
      <c r="G90" s="626" t="s">
        <v>17</v>
      </c>
      <c r="H90" s="626" t="s">
        <v>17</v>
      </c>
      <c r="I90" s="626" t="s">
        <v>17</v>
      </c>
      <c r="J90" s="627" t="s">
        <v>17</v>
      </c>
      <c r="K90" s="627">
        <v>733.8</v>
      </c>
      <c r="L90" s="627">
        <v>685</v>
      </c>
      <c r="M90" s="627">
        <v>694.8</v>
      </c>
      <c r="N90" s="627">
        <v>644.6</v>
      </c>
      <c r="O90" s="627">
        <v>658</v>
      </c>
      <c r="P90" s="627">
        <v>632.79999999999995</v>
      </c>
      <c r="Q90" s="627">
        <v>706.9</v>
      </c>
      <c r="R90" s="627"/>
      <c r="S90" s="627">
        <v>700.8</v>
      </c>
      <c r="T90" s="627" t="s">
        <v>17</v>
      </c>
      <c r="U90" s="627"/>
      <c r="V90" s="627">
        <v>648.29999999999995</v>
      </c>
      <c r="W90" s="627"/>
      <c r="X90" s="627"/>
      <c r="Y90" s="627"/>
      <c r="Z90" s="627"/>
      <c r="AQ90" s="830" t="s">
        <v>529</v>
      </c>
      <c r="AR90" s="103">
        <v>85</v>
      </c>
      <c r="AS90" s="7">
        <v>659.88888888888891</v>
      </c>
      <c r="AU90" s="1084">
        <v>1227</v>
      </c>
      <c r="AV90" s="103">
        <f t="shared" si="1"/>
        <v>663.88888888888891</v>
      </c>
    </row>
    <row r="91" spans="4:48" x14ac:dyDescent="0.3">
      <c r="D91" s="136">
        <v>81</v>
      </c>
      <c r="E91" s="136">
        <v>500</v>
      </c>
      <c r="F91" s="136">
        <v>560</v>
      </c>
      <c r="G91" s="141" t="s">
        <v>17</v>
      </c>
      <c r="H91" s="141" t="s">
        <v>17</v>
      </c>
      <c r="I91" s="141" t="s">
        <v>17</v>
      </c>
      <c r="J91" s="121" t="s">
        <v>17</v>
      </c>
      <c r="K91" s="121" t="s">
        <v>17</v>
      </c>
      <c r="L91" s="121">
        <v>688.9</v>
      </c>
      <c r="M91" s="121">
        <v>699.9</v>
      </c>
      <c r="N91" s="121">
        <v>651.6</v>
      </c>
      <c r="O91" s="121">
        <v>666.2</v>
      </c>
      <c r="P91" s="121">
        <v>638</v>
      </c>
      <c r="Q91" s="121">
        <v>724</v>
      </c>
      <c r="R91" s="121"/>
      <c r="S91" s="121">
        <v>709.7</v>
      </c>
      <c r="T91" s="121" t="s">
        <v>17</v>
      </c>
      <c r="U91" s="121"/>
      <c r="V91" s="121">
        <v>654.70000000000005</v>
      </c>
      <c r="W91" s="121"/>
      <c r="X91" s="121"/>
      <c r="Y91" s="121"/>
      <c r="Z91" s="121"/>
      <c r="AQ91" s="830" t="s">
        <v>530</v>
      </c>
      <c r="AR91" s="103">
        <v>86</v>
      </c>
      <c r="AS91" s="7">
        <v>667.05555555555554</v>
      </c>
      <c r="AU91" s="1084">
        <v>1240.8</v>
      </c>
      <c r="AV91" s="103">
        <f t="shared" si="1"/>
        <v>671.55555555555554</v>
      </c>
    </row>
    <row r="92" spans="4:48" x14ac:dyDescent="0.3">
      <c r="D92" s="136">
        <v>82</v>
      </c>
      <c r="E92" s="136">
        <v>500</v>
      </c>
      <c r="F92" s="136">
        <v>560</v>
      </c>
      <c r="G92" s="141" t="s">
        <v>17</v>
      </c>
      <c r="H92" s="141" t="s">
        <v>17</v>
      </c>
      <c r="I92" s="141" t="s">
        <v>17</v>
      </c>
      <c r="J92" s="121" t="s">
        <v>17</v>
      </c>
      <c r="K92" s="121" t="s">
        <v>17</v>
      </c>
      <c r="L92" s="121">
        <v>692.4</v>
      </c>
      <c r="M92" s="121">
        <v>704</v>
      </c>
      <c r="N92" s="121">
        <v>658.6</v>
      </c>
      <c r="O92" s="121">
        <v>674.4</v>
      </c>
      <c r="P92" s="121">
        <v>643.70000000000005</v>
      </c>
      <c r="Q92" s="121" t="s">
        <v>17</v>
      </c>
      <c r="R92" s="121"/>
      <c r="S92" s="121">
        <v>720</v>
      </c>
      <c r="T92" s="121" t="s">
        <v>17</v>
      </c>
      <c r="U92" s="121"/>
      <c r="V92" s="121">
        <v>662.1</v>
      </c>
      <c r="W92" s="121"/>
      <c r="X92" s="121"/>
      <c r="Y92" s="121"/>
      <c r="Z92" s="121"/>
      <c r="AQ92" s="830" t="s">
        <v>531</v>
      </c>
      <c r="AR92" s="103">
        <v>87</v>
      </c>
      <c r="AS92" s="7">
        <v>674.27777777777783</v>
      </c>
      <c r="AU92" s="1084">
        <v>1256.4000000000001</v>
      </c>
      <c r="AV92" s="103">
        <f t="shared" si="1"/>
        <v>680.22222222222217</v>
      </c>
    </row>
    <row r="93" spans="4:48" x14ac:dyDescent="0.3">
      <c r="D93" s="136">
        <v>83</v>
      </c>
      <c r="E93" s="136">
        <v>500</v>
      </c>
      <c r="F93" s="136">
        <v>560</v>
      </c>
      <c r="G93" s="141" t="s">
        <v>17</v>
      </c>
      <c r="H93" s="141" t="s">
        <v>17</v>
      </c>
      <c r="I93" s="141" t="s">
        <v>17</v>
      </c>
      <c r="J93" s="121" t="s">
        <v>17</v>
      </c>
      <c r="K93" s="121" t="s">
        <v>17</v>
      </c>
      <c r="L93" s="121">
        <v>695.7</v>
      </c>
      <c r="M93" s="121">
        <v>708.8</v>
      </c>
      <c r="N93" s="121">
        <v>667.9</v>
      </c>
      <c r="O93" s="121">
        <v>684</v>
      </c>
      <c r="P93" s="121">
        <v>649.70000000000005</v>
      </c>
      <c r="Q93" s="121" t="s">
        <v>17</v>
      </c>
      <c r="R93" s="121"/>
      <c r="S93" s="121">
        <v>731.5</v>
      </c>
      <c r="T93" s="121" t="s">
        <v>17</v>
      </c>
      <c r="U93" s="121"/>
      <c r="V93" s="121">
        <v>670.9</v>
      </c>
      <c r="W93" s="121"/>
      <c r="X93" s="121"/>
      <c r="Y93" s="121"/>
      <c r="Z93" s="121"/>
      <c r="AQ93" s="830" t="s">
        <v>532</v>
      </c>
      <c r="AR93" s="103">
        <v>88</v>
      </c>
      <c r="AS93" s="7">
        <v>683.27777777777783</v>
      </c>
      <c r="AU93" s="1084">
        <v>1274.0999999999999</v>
      </c>
      <c r="AV93" s="103">
        <f t="shared" si="1"/>
        <v>690.05555555555554</v>
      </c>
    </row>
    <row r="94" spans="4:48" x14ac:dyDescent="0.3">
      <c r="D94" s="136">
        <v>84</v>
      </c>
      <c r="E94" s="136">
        <v>500</v>
      </c>
      <c r="F94" s="136">
        <v>560</v>
      </c>
      <c r="G94" s="141" t="s">
        <v>17</v>
      </c>
      <c r="H94" s="141" t="s">
        <v>17</v>
      </c>
      <c r="I94" s="141" t="s">
        <v>17</v>
      </c>
      <c r="J94" s="121" t="s">
        <v>17</v>
      </c>
      <c r="K94" s="121" t="s">
        <v>17</v>
      </c>
      <c r="L94" s="121">
        <v>700</v>
      </c>
      <c r="M94" s="121">
        <v>714.2</v>
      </c>
      <c r="N94" s="121">
        <v>677.4</v>
      </c>
      <c r="O94" s="121">
        <v>693</v>
      </c>
      <c r="P94" s="121">
        <v>655.7</v>
      </c>
      <c r="Q94" s="121" t="s">
        <v>17</v>
      </c>
      <c r="R94" s="121"/>
      <c r="S94" s="121"/>
      <c r="T94" s="121" t="s">
        <v>17</v>
      </c>
      <c r="U94" s="121"/>
      <c r="V94" s="121">
        <v>680.3</v>
      </c>
      <c r="W94" s="121"/>
      <c r="X94" s="121"/>
      <c r="Y94" s="121"/>
      <c r="Z94" s="121"/>
      <c r="AQ94" s="830" t="s">
        <v>533</v>
      </c>
      <c r="AR94" s="103">
        <v>89</v>
      </c>
      <c r="AS94" s="7">
        <v>692.83333333333337</v>
      </c>
      <c r="AU94" s="1084">
        <v>1295.9000000000001</v>
      </c>
      <c r="AV94" s="103">
        <f t="shared" si="1"/>
        <v>702.16666666666663</v>
      </c>
    </row>
    <row r="95" spans="4:48" x14ac:dyDescent="0.3">
      <c r="D95" s="136">
        <v>85</v>
      </c>
      <c r="E95" s="136">
        <v>500</v>
      </c>
      <c r="F95" s="136">
        <v>560</v>
      </c>
      <c r="G95" s="141" t="s">
        <v>17</v>
      </c>
      <c r="H95" s="141" t="s">
        <v>17</v>
      </c>
      <c r="I95" s="141" t="s">
        <v>17</v>
      </c>
      <c r="J95" s="121" t="s">
        <v>17</v>
      </c>
      <c r="K95" s="121" t="s">
        <v>17</v>
      </c>
      <c r="L95" s="121">
        <v>703.3</v>
      </c>
      <c r="M95" s="121">
        <v>719.8</v>
      </c>
      <c r="N95" s="121">
        <v>688.1</v>
      </c>
      <c r="O95" s="121">
        <v>702.7</v>
      </c>
      <c r="P95" s="121">
        <v>662.9</v>
      </c>
      <c r="Q95" s="121" t="s">
        <v>17</v>
      </c>
      <c r="R95" s="121"/>
      <c r="S95" s="121"/>
      <c r="T95" s="121" t="s">
        <v>17</v>
      </c>
      <c r="U95" s="121"/>
      <c r="V95" s="121">
        <v>690.2</v>
      </c>
      <c r="W95" s="121"/>
      <c r="X95" s="121"/>
      <c r="Y95" s="121"/>
      <c r="Z95" s="121"/>
      <c r="AQ95" s="830" t="s">
        <v>534</v>
      </c>
      <c r="AR95" s="103">
        <v>90</v>
      </c>
      <c r="AS95" s="7">
        <v>705.27777777777783</v>
      </c>
      <c r="AU95" s="1084">
        <v>1333.2</v>
      </c>
      <c r="AV95" s="103">
        <f t="shared" si="1"/>
        <v>722.88888888888891</v>
      </c>
    </row>
    <row r="96" spans="4:48" x14ac:dyDescent="0.3">
      <c r="D96" s="136">
        <v>86</v>
      </c>
      <c r="E96" s="136">
        <v>500</v>
      </c>
      <c r="F96" s="136">
        <v>560</v>
      </c>
      <c r="G96" s="141" t="s">
        <v>17</v>
      </c>
      <c r="H96" s="141" t="s">
        <v>17</v>
      </c>
      <c r="I96" s="141" t="s">
        <v>17</v>
      </c>
      <c r="J96" s="121" t="s">
        <v>17</v>
      </c>
      <c r="K96" s="121" t="s">
        <v>17</v>
      </c>
      <c r="L96" s="121">
        <v>706.7</v>
      </c>
      <c r="M96" s="121">
        <v>726.2</v>
      </c>
      <c r="N96" s="121">
        <v>698.6</v>
      </c>
      <c r="O96" s="121">
        <v>713.1</v>
      </c>
      <c r="P96" s="121">
        <v>671.4</v>
      </c>
      <c r="Q96" s="121" t="s">
        <v>17</v>
      </c>
      <c r="R96" s="121"/>
      <c r="S96" s="121"/>
      <c r="T96" s="121" t="s">
        <v>17</v>
      </c>
      <c r="U96" s="121"/>
      <c r="V96" s="121">
        <v>700.4</v>
      </c>
      <c r="W96" s="121"/>
      <c r="X96" s="121"/>
      <c r="Y96" s="121"/>
      <c r="Z96" s="121"/>
      <c r="AQ96" s="830" t="s">
        <v>535</v>
      </c>
      <c r="AR96" s="103">
        <v>91</v>
      </c>
      <c r="AS96" s="7">
        <v>726.05555555555554</v>
      </c>
    </row>
    <row r="97" spans="4:44" x14ac:dyDescent="0.3">
      <c r="D97" s="136">
        <v>87</v>
      </c>
      <c r="E97" s="136">
        <v>500</v>
      </c>
      <c r="F97" s="136">
        <v>560</v>
      </c>
      <c r="G97" s="141" t="s">
        <v>17</v>
      </c>
      <c r="H97" s="141" t="s">
        <v>17</v>
      </c>
      <c r="I97" s="141" t="s">
        <v>17</v>
      </c>
      <c r="J97" s="121" t="s">
        <v>17</v>
      </c>
      <c r="K97" s="121" t="s">
        <v>17</v>
      </c>
      <c r="L97" s="121">
        <v>710.8</v>
      </c>
      <c r="M97" s="121">
        <v>733.5</v>
      </c>
      <c r="N97" s="121">
        <v>709.6</v>
      </c>
      <c r="O97" s="121">
        <v>724.8</v>
      </c>
      <c r="P97" s="121">
        <v>680.7</v>
      </c>
      <c r="Q97" s="121" t="s">
        <v>17</v>
      </c>
      <c r="R97" s="121"/>
      <c r="S97" s="121"/>
      <c r="T97" s="121" t="s">
        <v>17</v>
      </c>
      <c r="U97" s="121"/>
      <c r="V97" s="121">
        <v>712.3</v>
      </c>
      <c r="W97" s="121"/>
      <c r="X97" s="121"/>
      <c r="Y97" s="121"/>
      <c r="Z97" s="121"/>
      <c r="AQ97" s="830" t="s">
        <v>536</v>
      </c>
      <c r="AR97" s="103">
        <v>92</v>
      </c>
    </row>
    <row r="98" spans="4:44" x14ac:dyDescent="0.3">
      <c r="D98" s="136">
        <v>88</v>
      </c>
      <c r="E98" s="136">
        <v>500</v>
      </c>
      <c r="F98" s="136">
        <v>560</v>
      </c>
      <c r="G98" s="141" t="s">
        <v>17</v>
      </c>
      <c r="H98" s="141" t="s">
        <v>17</v>
      </c>
      <c r="I98" s="141" t="s">
        <v>17</v>
      </c>
      <c r="J98" s="121" t="s">
        <v>17</v>
      </c>
      <c r="K98" s="121" t="s">
        <v>17</v>
      </c>
      <c r="L98" s="121">
        <v>714.7</v>
      </c>
      <c r="M98" s="121" t="s">
        <v>17</v>
      </c>
      <c r="N98" s="121">
        <v>722.6</v>
      </c>
      <c r="O98" s="121"/>
      <c r="P98" s="121">
        <v>690.4</v>
      </c>
      <c r="Q98" s="121" t="s">
        <v>17</v>
      </c>
      <c r="R98" s="121"/>
      <c r="S98" s="121"/>
      <c r="T98" s="121" t="s">
        <v>17</v>
      </c>
      <c r="U98" s="121"/>
      <c r="V98" s="121">
        <v>726.7</v>
      </c>
      <c r="W98" s="121"/>
      <c r="X98" s="121"/>
      <c r="Y98" s="121"/>
      <c r="Z98" s="121"/>
      <c r="AQ98" s="830" t="s">
        <v>537</v>
      </c>
      <c r="AR98" s="103">
        <v>93</v>
      </c>
    </row>
    <row r="99" spans="4:44" x14ac:dyDescent="0.3">
      <c r="D99" s="136">
        <v>89</v>
      </c>
      <c r="E99" s="136">
        <v>500</v>
      </c>
      <c r="F99" s="136">
        <v>560</v>
      </c>
      <c r="G99" s="141" t="s">
        <v>17</v>
      </c>
      <c r="H99" s="141" t="s">
        <v>17</v>
      </c>
      <c r="I99" s="141" t="s">
        <v>17</v>
      </c>
      <c r="J99" s="121" t="s">
        <v>17</v>
      </c>
      <c r="K99" s="121" t="s">
        <v>17</v>
      </c>
      <c r="L99" s="121">
        <v>718.6</v>
      </c>
      <c r="M99" s="121" t="s">
        <v>17</v>
      </c>
      <c r="N99" s="121" t="s">
        <v>17</v>
      </c>
      <c r="O99" s="121"/>
      <c r="P99" s="121">
        <v>700.8</v>
      </c>
      <c r="Q99" s="121" t="s">
        <v>17</v>
      </c>
      <c r="R99" s="121"/>
      <c r="S99" s="121"/>
      <c r="T99" s="121" t="s">
        <v>17</v>
      </c>
      <c r="U99" s="121"/>
      <c r="V99" s="121"/>
      <c r="W99" s="121"/>
      <c r="X99" s="121"/>
      <c r="Y99" s="121"/>
      <c r="Z99" s="121"/>
      <c r="AQ99" s="830" t="s">
        <v>538</v>
      </c>
      <c r="AR99" s="103">
        <v>94</v>
      </c>
    </row>
    <row r="100" spans="4:44" x14ac:dyDescent="0.3">
      <c r="D100" s="623">
        <v>90</v>
      </c>
      <c r="E100" s="623">
        <v>500</v>
      </c>
      <c r="F100" s="623">
        <v>560</v>
      </c>
      <c r="G100" s="626" t="s">
        <v>17</v>
      </c>
      <c r="H100" s="626" t="s">
        <v>17</v>
      </c>
      <c r="I100" s="626" t="s">
        <v>17</v>
      </c>
      <c r="J100" s="627" t="s">
        <v>17</v>
      </c>
      <c r="K100" s="627" t="s">
        <v>17</v>
      </c>
      <c r="L100" s="627">
        <v>722.6</v>
      </c>
      <c r="M100" s="627" t="s">
        <v>17</v>
      </c>
      <c r="N100" s="627" t="s">
        <v>17</v>
      </c>
      <c r="O100" s="627"/>
      <c r="P100" s="627">
        <v>712.8</v>
      </c>
      <c r="Q100" s="627" t="s">
        <v>17</v>
      </c>
      <c r="R100" s="627"/>
      <c r="S100" s="627"/>
      <c r="T100" s="627" t="s">
        <v>17</v>
      </c>
      <c r="U100" s="627"/>
      <c r="V100" s="627"/>
      <c r="W100" s="627"/>
      <c r="X100" s="627"/>
      <c r="Y100" s="627"/>
      <c r="Z100" s="627"/>
      <c r="AQ100" s="830" t="s">
        <v>539</v>
      </c>
      <c r="AR100" s="103">
        <v>95</v>
      </c>
    </row>
    <row r="101" spans="4:44" x14ac:dyDescent="0.3">
      <c r="D101" s="136">
        <v>91</v>
      </c>
      <c r="E101" s="136">
        <v>500</v>
      </c>
      <c r="F101" s="136">
        <v>560</v>
      </c>
      <c r="G101" s="121" t="s">
        <v>17</v>
      </c>
      <c r="H101" s="121" t="s">
        <v>17</v>
      </c>
      <c r="I101" s="121" t="s">
        <v>17</v>
      </c>
      <c r="J101" s="121" t="s">
        <v>17</v>
      </c>
      <c r="K101" s="121" t="s">
        <v>17</v>
      </c>
      <c r="L101" s="121">
        <v>726.7</v>
      </c>
      <c r="M101" s="121" t="s">
        <v>17</v>
      </c>
      <c r="N101" s="121" t="s">
        <v>17</v>
      </c>
      <c r="O101" s="121"/>
      <c r="P101" s="121">
        <v>729.3</v>
      </c>
      <c r="Q101" s="121" t="s">
        <v>17</v>
      </c>
      <c r="R101" s="121"/>
      <c r="S101" s="121"/>
      <c r="T101" s="121" t="s">
        <v>17</v>
      </c>
      <c r="U101" s="121"/>
      <c r="V101" s="121"/>
      <c r="W101" s="121"/>
      <c r="X101" s="121"/>
      <c r="Y101" s="121"/>
      <c r="Z101" s="121"/>
      <c r="AQ101" s="830" t="s">
        <v>540</v>
      </c>
      <c r="AR101" s="103">
        <v>96</v>
      </c>
    </row>
    <row r="102" spans="4:44" x14ac:dyDescent="0.3">
      <c r="D102" s="136">
        <v>92</v>
      </c>
      <c r="E102" s="136">
        <v>500</v>
      </c>
      <c r="F102" s="136">
        <v>560</v>
      </c>
      <c r="G102" s="121" t="s">
        <v>17</v>
      </c>
      <c r="H102" s="121" t="s">
        <v>17</v>
      </c>
      <c r="I102" s="121" t="s">
        <v>17</v>
      </c>
      <c r="J102" s="121" t="s">
        <v>17</v>
      </c>
      <c r="K102" s="121" t="s">
        <v>17</v>
      </c>
      <c r="L102" s="121">
        <v>730.9</v>
      </c>
      <c r="M102" s="121" t="s">
        <v>17</v>
      </c>
      <c r="N102" s="121" t="s">
        <v>17</v>
      </c>
      <c r="O102" s="121"/>
      <c r="P102" s="121"/>
      <c r="Q102" s="121" t="s">
        <v>17</v>
      </c>
      <c r="R102" s="121"/>
      <c r="S102" s="121"/>
      <c r="T102" s="121" t="s">
        <v>17</v>
      </c>
      <c r="U102" s="121"/>
      <c r="V102" s="121"/>
      <c r="W102" s="121"/>
      <c r="X102" s="121"/>
      <c r="Y102" s="121"/>
      <c r="Z102" s="121"/>
      <c r="AQ102" s="830" t="s">
        <v>541</v>
      </c>
      <c r="AR102" s="103">
        <v>97</v>
      </c>
    </row>
    <row r="103" spans="4:44" x14ac:dyDescent="0.3">
      <c r="D103" s="136">
        <v>93</v>
      </c>
      <c r="E103" s="136">
        <v>500</v>
      </c>
      <c r="F103" s="136">
        <v>560</v>
      </c>
      <c r="G103" s="121" t="s">
        <v>17</v>
      </c>
      <c r="H103" s="121" t="s">
        <v>17</v>
      </c>
      <c r="I103" s="121" t="s">
        <v>17</v>
      </c>
      <c r="J103" s="121" t="s">
        <v>17</v>
      </c>
      <c r="K103" s="121" t="s">
        <v>17</v>
      </c>
      <c r="L103" s="121" t="s">
        <v>17</v>
      </c>
      <c r="M103" s="121" t="s">
        <v>17</v>
      </c>
      <c r="N103" s="121" t="s">
        <v>17</v>
      </c>
      <c r="O103" s="121"/>
      <c r="P103" s="121"/>
      <c r="Q103" s="121" t="s">
        <v>17</v>
      </c>
      <c r="R103" s="121"/>
      <c r="S103" s="121"/>
      <c r="T103" s="121" t="s">
        <v>17</v>
      </c>
      <c r="U103" s="121"/>
      <c r="V103" s="121"/>
      <c r="W103" s="121"/>
      <c r="X103" s="121"/>
      <c r="Y103" s="121"/>
      <c r="Z103" s="121"/>
      <c r="AQ103" s="830" t="s">
        <v>542</v>
      </c>
      <c r="AR103" s="103">
        <v>98</v>
      </c>
    </row>
    <row r="104" spans="4:44" x14ac:dyDescent="0.3">
      <c r="D104" s="136">
        <v>94</v>
      </c>
      <c r="E104" s="136">
        <v>500</v>
      </c>
      <c r="F104" s="136">
        <v>560</v>
      </c>
      <c r="G104" s="121" t="s">
        <v>17</v>
      </c>
      <c r="H104" s="121" t="s">
        <v>17</v>
      </c>
      <c r="I104" s="121" t="s">
        <v>17</v>
      </c>
      <c r="J104" s="121" t="s">
        <v>17</v>
      </c>
      <c r="K104" s="121" t="s">
        <v>17</v>
      </c>
      <c r="L104" s="121" t="s">
        <v>17</v>
      </c>
      <c r="M104" s="121" t="s">
        <v>17</v>
      </c>
      <c r="N104" s="121" t="s">
        <v>17</v>
      </c>
      <c r="O104" s="121"/>
      <c r="P104" s="121"/>
      <c r="Q104" s="121" t="s">
        <v>17</v>
      </c>
      <c r="R104" s="121"/>
      <c r="S104" s="121"/>
      <c r="T104" s="121" t="s">
        <v>17</v>
      </c>
      <c r="U104" s="121"/>
      <c r="V104" s="121"/>
      <c r="W104" s="121"/>
      <c r="X104" s="121"/>
      <c r="Y104" s="121"/>
      <c r="Z104" s="121"/>
      <c r="AQ104" s="831" t="s">
        <v>543</v>
      </c>
      <c r="AR104" s="103">
        <v>99</v>
      </c>
    </row>
    <row r="105" spans="4:44" x14ac:dyDescent="0.3">
      <c r="D105" s="623">
        <v>95</v>
      </c>
      <c r="E105" s="623">
        <v>500</v>
      </c>
      <c r="F105" s="623">
        <v>560</v>
      </c>
      <c r="G105" s="627" t="s">
        <v>17</v>
      </c>
      <c r="H105" s="627" t="s">
        <v>17</v>
      </c>
      <c r="I105" s="627" t="s">
        <v>17</v>
      </c>
      <c r="J105" s="627" t="s">
        <v>17</v>
      </c>
      <c r="K105" s="627" t="s">
        <v>17</v>
      </c>
      <c r="L105" s="627" t="s">
        <v>17</v>
      </c>
      <c r="M105" s="627" t="s">
        <v>17</v>
      </c>
      <c r="N105" s="627" t="s">
        <v>17</v>
      </c>
      <c r="O105" s="627"/>
      <c r="P105" s="627"/>
      <c r="Q105" s="627" t="s">
        <v>17</v>
      </c>
      <c r="R105" s="627"/>
      <c r="S105" s="627"/>
      <c r="T105" s="627" t="s">
        <v>17</v>
      </c>
      <c r="U105" s="627"/>
      <c r="V105" s="627"/>
      <c r="W105" s="627"/>
      <c r="X105" s="627"/>
      <c r="Y105" s="627"/>
      <c r="Z105" s="627"/>
    </row>
    <row r="106" spans="4:44" x14ac:dyDescent="0.3">
      <c r="D106" s="136">
        <v>96</v>
      </c>
      <c r="E106" s="136">
        <v>500</v>
      </c>
      <c r="F106" s="136">
        <v>560</v>
      </c>
      <c r="G106" s="121" t="s">
        <v>17</v>
      </c>
      <c r="H106" s="121" t="s">
        <v>17</v>
      </c>
      <c r="I106" s="121" t="s">
        <v>17</v>
      </c>
      <c r="J106" s="121" t="s">
        <v>17</v>
      </c>
      <c r="K106" s="121" t="s">
        <v>17</v>
      </c>
      <c r="L106" s="121" t="s">
        <v>17</v>
      </c>
      <c r="M106" s="121" t="s">
        <v>17</v>
      </c>
      <c r="N106" s="121" t="s">
        <v>17</v>
      </c>
      <c r="O106" s="121"/>
      <c r="P106" s="121"/>
      <c r="Q106" s="121" t="s">
        <v>17</v>
      </c>
      <c r="R106" s="121"/>
      <c r="S106" s="121"/>
      <c r="T106" s="121" t="s">
        <v>17</v>
      </c>
      <c r="U106" s="121"/>
      <c r="V106" s="121"/>
      <c r="W106" s="121"/>
      <c r="X106" s="121"/>
      <c r="Y106" s="121"/>
      <c r="Z106" s="121"/>
    </row>
    <row r="107" spans="4:44" x14ac:dyDescent="0.3">
      <c r="D107" s="136">
        <v>97</v>
      </c>
      <c r="E107" s="136">
        <v>500</v>
      </c>
      <c r="F107" s="136">
        <v>560</v>
      </c>
      <c r="G107" s="121" t="s">
        <v>17</v>
      </c>
      <c r="H107" s="121" t="s">
        <v>17</v>
      </c>
      <c r="I107" s="121" t="s">
        <v>17</v>
      </c>
      <c r="J107" s="121" t="s">
        <v>17</v>
      </c>
      <c r="K107" s="121" t="s">
        <v>17</v>
      </c>
      <c r="L107" s="121" t="s">
        <v>17</v>
      </c>
      <c r="M107" s="121" t="s">
        <v>17</v>
      </c>
      <c r="N107" s="121" t="s">
        <v>17</v>
      </c>
      <c r="O107" s="121"/>
      <c r="P107" s="121"/>
      <c r="Q107" s="121" t="s">
        <v>17</v>
      </c>
      <c r="R107" s="121"/>
      <c r="S107" s="121"/>
      <c r="T107" s="121" t="s">
        <v>17</v>
      </c>
      <c r="U107" s="121"/>
      <c r="V107" s="121"/>
      <c r="W107" s="121"/>
      <c r="X107" s="121"/>
      <c r="Y107" s="121"/>
      <c r="Z107" s="121"/>
    </row>
    <row r="108" spans="4:44" x14ac:dyDescent="0.3">
      <c r="D108" s="136">
        <v>98</v>
      </c>
      <c r="E108" s="136">
        <v>500</v>
      </c>
      <c r="F108" s="136">
        <v>560</v>
      </c>
      <c r="G108" s="121" t="s">
        <v>17</v>
      </c>
      <c r="H108" s="121" t="s">
        <v>17</v>
      </c>
      <c r="I108" s="121" t="s">
        <v>17</v>
      </c>
      <c r="J108" s="121" t="s">
        <v>17</v>
      </c>
      <c r="K108" s="121" t="s">
        <v>17</v>
      </c>
      <c r="L108" s="121" t="s">
        <v>17</v>
      </c>
      <c r="M108" s="121" t="s">
        <v>17</v>
      </c>
      <c r="N108" s="121" t="s">
        <v>17</v>
      </c>
      <c r="O108" s="121"/>
      <c r="P108" s="121"/>
      <c r="Q108" s="121" t="s">
        <v>17</v>
      </c>
      <c r="R108" s="121"/>
      <c r="S108" s="121"/>
      <c r="T108" s="121" t="s">
        <v>17</v>
      </c>
      <c r="U108" s="121"/>
      <c r="V108" s="121"/>
      <c r="W108" s="121"/>
      <c r="X108" s="121"/>
      <c r="Y108" s="121"/>
      <c r="Z108" s="121"/>
    </row>
    <row r="109" spans="4:44" x14ac:dyDescent="0.3">
      <c r="D109" s="136">
        <v>99</v>
      </c>
      <c r="E109" s="136">
        <v>500</v>
      </c>
      <c r="F109" s="136">
        <v>560</v>
      </c>
      <c r="G109" s="121" t="s">
        <v>17</v>
      </c>
      <c r="H109" s="121" t="s">
        <v>17</v>
      </c>
      <c r="I109" s="121" t="s">
        <v>17</v>
      </c>
      <c r="J109" s="121" t="s">
        <v>17</v>
      </c>
      <c r="K109" s="121" t="s">
        <v>17</v>
      </c>
      <c r="L109" s="121" t="s">
        <v>17</v>
      </c>
      <c r="M109" s="121" t="s">
        <v>17</v>
      </c>
      <c r="N109" s="121" t="s">
        <v>17</v>
      </c>
      <c r="O109" s="121"/>
      <c r="P109" s="121"/>
      <c r="Q109" s="121" t="s">
        <v>17</v>
      </c>
      <c r="R109" s="121"/>
      <c r="S109" s="121"/>
      <c r="T109" s="121" t="s">
        <v>17</v>
      </c>
      <c r="U109" s="121"/>
      <c r="V109" s="121"/>
      <c r="W109" s="121"/>
      <c r="X109" s="121"/>
      <c r="Y109" s="121"/>
      <c r="Z109" s="121"/>
    </row>
    <row r="110" spans="4:44" x14ac:dyDescent="0.3">
      <c r="D110" s="623">
        <v>100</v>
      </c>
      <c r="E110" s="623">
        <v>500</v>
      </c>
      <c r="F110" s="623">
        <v>560</v>
      </c>
      <c r="G110" s="627" t="s">
        <v>17</v>
      </c>
      <c r="H110" s="627" t="s">
        <v>17</v>
      </c>
      <c r="I110" s="627" t="s">
        <v>17</v>
      </c>
      <c r="J110" s="627" t="s">
        <v>17</v>
      </c>
      <c r="K110" s="627" t="s">
        <v>17</v>
      </c>
      <c r="L110" s="627" t="s">
        <v>17</v>
      </c>
      <c r="M110" s="627" t="s">
        <v>17</v>
      </c>
      <c r="N110" s="627" t="s">
        <v>17</v>
      </c>
      <c r="O110" s="627"/>
      <c r="P110" s="627"/>
      <c r="Q110" s="627" t="s">
        <v>17</v>
      </c>
      <c r="R110" s="627"/>
      <c r="S110" s="627"/>
      <c r="T110" s="627" t="s">
        <v>17</v>
      </c>
      <c r="U110" s="627"/>
      <c r="V110" s="627"/>
      <c r="W110" s="627"/>
      <c r="X110" s="627"/>
      <c r="Y110" s="627"/>
      <c r="Z110" s="627"/>
    </row>
    <row r="111" spans="4:44" x14ac:dyDescent="0.3">
      <c r="J111" s="206"/>
      <c r="N111" s="206"/>
      <c r="T111" s="206"/>
    </row>
    <row r="112" spans="4:44" x14ac:dyDescent="0.3">
      <c r="J112" s="221"/>
      <c r="N112" s="221" t="s">
        <v>15</v>
      </c>
      <c r="O112" s="221" t="s">
        <v>15</v>
      </c>
      <c r="P112" s="221" t="s">
        <v>15</v>
      </c>
      <c r="Q112" s="221" t="s">
        <v>15</v>
      </c>
      <c r="R112" s="221" t="s">
        <v>15</v>
      </c>
      <c r="S112" s="221" t="s">
        <v>15</v>
      </c>
      <c r="T112" s="221"/>
    </row>
    <row r="113" spans="4:31" x14ac:dyDescent="0.3">
      <c r="J113" s="212">
        <v>1</v>
      </c>
      <c r="K113" s="213">
        <v>2</v>
      </c>
      <c r="L113" s="213">
        <v>3</v>
      </c>
      <c r="M113" s="213">
        <v>4</v>
      </c>
      <c r="N113" s="212">
        <v>5</v>
      </c>
      <c r="O113" s="213">
        <v>6</v>
      </c>
      <c r="P113" s="215">
        <v>7</v>
      </c>
      <c r="Q113" s="215">
        <v>8</v>
      </c>
      <c r="R113" s="215">
        <v>9</v>
      </c>
      <c r="S113" s="215">
        <v>10</v>
      </c>
      <c r="T113" s="218">
        <v>11</v>
      </c>
      <c r="U113" s="215">
        <v>12</v>
      </c>
      <c r="V113" s="215">
        <v>13</v>
      </c>
      <c r="W113" s="215">
        <v>14</v>
      </c>
      <c r="X113" s="215">
        <v>15</v>
      </c>
      <c r="Y113" s="215">
        <v>16</v>
      </c>
      <c r="Z113" s="1609"/>
      <c r="AA113" s="1609"/>
      <c r="AB113" s="1609"/>
      <c r="AC113" s="1609"/>
      <c r="AD113" s="1609"/>
      <c r="AE113" s="1609"/>
    </row>
    <row r="114" spans="4:31" ht="18" thickBot="1" x14ac:dyDescent="0.35">
      <c r="D114" s="143" t="s">
        <v>0</v>
      </c>
      <c r="J114" s="222"/>
      <c r="N114" s="222"/>
      <c r="T114" s="222"/>
    </row>
    <row r="115" spans="4:31" x14ac:dyDescent="0.3">
      <c r="D115" s="134" t="s">
        <v>92</v>
      </c>
      <c r="E115" s="135"/>
      <c r="F115" s="135"/>
      <c r="G115" s="135"/>
      <c r="H115" s="135"/>
      <c r="I115" s="135"/>
      <c r="J115" s="622">
        <v>45856</v>
      </c>
      <c r="K115" s="622">
        <v>45857</v>
      </c>
      <c r="L115" s="622">
        <v>45858</v>
      </c>
      <c r="M115" s="622">
        <v>45859</v>
      </c>
      <c r="N115" s="622">
        <v>45860</v>
      </c>
      <c r="O115" s="622">
        <v>45861</v>
      </c>
      <c r="P115" s="622">
        <v>45862</v>
      </c>
      <c r="Q115" s="622">
        <v>45863</v>
      </c>
      <c r="R115" s="622">
        <v>45864</v>
      </c>
      <c r="S115" s="622">
        <v>45865</v>
      </c>
      <c r="T115" s="622">
        <v>45866</v>
      </c>
      <c r="U115" s="622">
        <v>45867</v>
      </c>
      <c r="V115" s="622">
        <v>45868</v>
      </c>
      <c r="W115" s="622">
        <v>45869</v>
      </c>
      <c r="X115" s="622">
        <v>45870</v>
      </c>
      <c r="Y115" s="622">
        <v>45871</v>
      </c>
      <c r="Z115" s="622">
        <v>45872</v>
      </c>
      <c r="AA115" s="12"/>
      <c r="AB115" s="12"/>
      <c r="AC115" s="12"/>
      <c r="AD115" s="12"/>
      <c r="AE115" s="12"/>
    </row>
    <row r="116" spans="4:31" x14ac:dyDescent="0.3">
      <c r="D116" s="136">
        <v>0</v>
      </c>
      <c r="E116" s="630"/>
      <c r="F116" s="630"/>
      <c r="G116" s="631"/>
      <c r="H116" s="631"/>
      <c r="I116" s="631"/>
      <c r="J116" s="138">
        <v>56.4</v>
      </c>
      <c r="K116" s="138">
        <v>24.9</v>
      </c>
      <c r="L116" s="138">
        <v>6.2</v>
      </c>
      <c r="M116" s="138">
        <v>34.299999999999997</v>
      </c>
      <c r="N116" s="138">
        <v>83.8</v>
      </c>
      <c r="O116" s="138">
        <v>96.6</v>
      </c>
      <c r="P116" s="138">
        <v>106</v>
      </c>
      <c r="Q116" s="138">
        <v>112.2</v>
      </c>
      <c r="R116" s="138"/>
      <c r="S116" s="138"/>
      <c r="T116" s="138">
        <v>35.200000000000003</v>
      </c>
      <c r="U116" s="138"/>
      <c r="V116" s="138"/>
      <c r="W116" s="138"/>
      <c r="X116" s="138"/>
      <c r="Y116" s="138"/>
      <c r="Z116" s="138"/>
      <c r="AA116" s="12"/>
      <c r="AB116" s="12"/>
      <c r="AC116" s="12"/>
      <c r="AD116" s="12"/>
      <c r="AE116" s="12"/>
    </row>
    <row r="117" spans="4:31" x14ac:dyDescent="0.3">
      <c r="D117" s="136">
        <v>1</v>
      </c>
      <c r="E117" s="630"/>
      <c r="F117" s="630"/>
      <c r="G117" s="631"/>
      <c r="H117" s="631"/>
      <c r="I117" s="631"/>
      <c r="J117" s="138">
        <v>68.400000000000006</v>
      </c>
      <c r="K117" s="138">
        <v>35.5</v>
      </c>
      <c r="L117" s="138">
        <v>24.8</v>
      </c>
      <c r="M117" s="138">
        <v>36</v>
      </c>
      <c r="N117" s="138">
        <v>120.1</v>
      </c>
      <c r="O117" s="138">
        <v>124.3</v>
      </c>
      <c r="P117" s="138">
        <v>138.5</v>
      </c>
      <c r="Q117" s="138">
        <v>134.4</v>
      </c>
      <c r="R117" s="138"/>
      <c r="S117" s="138"/>
      <c r="T117" s="138">
        <v>55.4</v>
      </c>
      <c r="U117" s="138"/>
      <c r="V117" s="138"/>
      <c r="W117" s="138"/>
      <c r="X117" s="138"/>
      <c r="Y117" s="138"/>
      <c r="Z117" s="138"/>
      <c r="AA117" s="180"/>
      <c r="AB117" s="180"/>
      <c r="AC117" s="180"/>
      <c r="AD117" s="180"/>
      <c r="AE117" s="180"/>
    </row>
    <row r="118" spans="4:31" x14ac:dyDescent="0.3">
      <c r="D118" s="136">
        <v>2</v>
      </c>
      <c r="E118" s="630"/>
      <c r="F118" s="630"/>
      <c r="G118" s="631"/>
      <c r="H118" s="631"/>
      <c r="I118" s="631"/>
      <c r="J118" s="138">
        <v>89.8</v>
      </c>
      <c r="K118" s="138">
        <v>56.2</v>
      </c>
      <c r="L118" s="138">
        <v>35.799999999999997</v>
      </c>
      <c r="M118" s="138">
        <v>57.3</v>
      </c>
      <c r="N118" s="138">
        <v>152.69999999999999</v>
      </c>
      <c r="O118" s="138">
        <v>152.1</v>
      </c>
      <c r="P118" s="138">
        <v>164.7</v>
      </c>
      <c r="Q118" s="138">
        <v>161.5</v>
      </c>
      <c r="R118" s="138"/>
      <c r="S118" s="138"/>
      <c r="T118" s="138">
        <v>67</v>
      </c>
      <c r="U118" s="138"/>
      <c r="V118" s="138"/>
      <c r="W118" s="138"/>
      <c r="X118" s="138"/>
      <c r="Y118" s="138"/>
      <c r="Z118" s="138"/>
      <c r="AA118" s="180"/>
      <c r="AB118" s="180"/>
      <c r="AC118" s="180"/>
      <c r="AD118" s="180"/>
      <c r="AE118" s="180"/>
    </row>
    <row r="119" spans="4:31" x14ac:dyDescent="0.3">
      <c r="D119" s="136">
        <v>3</v>
      </c>
      <c r="E119" s="630"/>
      <c r="F119" s="630"/>
      <c r="G119" s="631"/>
      <c r="H119" s="631"/>
      <c r="I119" s="631"/>
      <c r="J119" s="138">
        <v>97.9</v>
      </c>
      <c r="K119" s="138">
        <v>67.599999999999994</v>
      </c>
      <c r="L119" s="138">
        <v>55.7</v>
      </c>
      <c r="M119" s="138">
        <v>68.2</v>
      </c>
      <c r="N119" s="138">
        <v>175.8</v>
      </c>
      <c r="O119" s="138">
        <v>173.7</v>
      </c>
      <c r="P119" s="138">
        <v>182.9</v>
      </c>
      <c r="Q119" s="138">
        <v>179.5</v>
      </c>
      <c r="R119" s="138"/>
      <c r="S119" s="138"/>
      <c r="T119" s="138">
        <v>68.400000000000006</v>
      </c>
      <c r="U119" s="138"/>
      <c r="V119" s="138"/>
      <c r="W119" s="138"/>
      <c r="X119" s="138"/>
      <c r="Y119" s="138"/>
      <c r="Z119" s="138"/>
      <c r="AA119" s="180"/>
      <c r="AB119" s="180"/>
      <c r="AC119" s="180"/>
      <c r="AD119" s="180"/>
      <c r="AE119" s="180"/>
    </row>
    <row r="120" spans="4:31" x14ac:dyDescent="0.3">
      <c r="D120" s="136">
        <v>4</v>
      </c>
      <c r="E120" s="630"/>
      <c r="F120" s="630"/>
      <c r="G120" s="631"/>
      <c r="H120" s="631"/>
      <c r="I120" s="631"/>
      <c r="J120" s="138">
        <v>98.3</v>
      </c>
      <c r="K120" s="138">
        <v>68.7</v>
      </c>
      <c r="L120" s="138">
        <v>60.8</v>
      </c>
      <c r="M120" s="138">
        <v>69.099999999999994</v>
      </c>
      <c r="N120" s="138">
        <v>191.3</v>
      </c>
      <c r="O120" s="138">
        <v>191.4</v>
      </c>
      <c r="P120" s="138">
        <v>198.3</v>
      </c>
      <c r="Q120" s="138">
        <v>194.5</v>
      </c>
      <c r="R120" s="138"/>
      <c r="S120" s="138"/>
      <c r="T120" s="138">
        <v>74.5</v>
      </c>
      <c r="U120" s="138"/>
      <c r="V120" s="138"/>
      <c r="W120" s="138"/>
      <c r="X120" s="138"/>
      <c r="Y120" s="138"/>
      <c r="Z120" s="138"/>
      <c r="AA120" s="180"/>
      <c r="AB120" s="180"/>
      <c r="AC120" s="180"/>
      <c r="AD120" s="180"/>
      <c r="AE120" s="180"/>
    </row>
    <row r="121" spans="4:31" x14ac:dyDescent="0.3">
      <c r="D121" s="623">
        <v>5</v>
      </c>
      <c r="E121" s="630"/>
      <c r="F121" s="630"/>
      <c r="G121" s="631"/>
      <c r="H121" s="631"/>
      <c r="I121" s="631"/>
      <c r="J121" s="625">
        <v>98.6</v>
      </c>
      <c r="K121" s="625">
        <v>74.8</v>
      </c>
      <c r="L121" s="625">
        <v>68.099999999999994</v>
      </c>
      <c r="M121" s="625">
        <v>83.2</v>
      </c>
      <c r="N121" s="625">
        <v>205.8</v>
      </c>
      <c r="O121" s="625">
        <v>205.2</v>
      </c>
      <c r="P121" s="625">
        <v>211.5</v>
      </c>
      <c r="Q121" s="625">
        <v>208.9</v>
      </c>
      <c r="R121" s="625"/>
      <c r="S121" s="625"/>
      <c r="T121" s="625">
        <v>86.6</v>
      </c>
      <c r="U121" s="625"/>
      <c r="V121" s="625"/>
      <c r="W121" s="625"/>
      <c r="X121" s="625"/>
      <c r="Y121" s="625"/>
      <c r="Z121" s="625"/>
      <c r="AA121" s="180"/>
      <c r="AB121" s="180"/>
      <c r="AC121" s="180"/>
      <c r="AD121" s="180"/>
      <c r="AE121" s="180"/>
    </row>
    <row r="122" spans="4:31" x14ac:dyDescent="0.3">
      <c r="D122" s="136">
        <v>6</v>
      </c>
      <c r="E122" s="630"/>
      <c r="F122" s="630"/>
      <c r="G122" s="631"/>
      <c r="H122" s="631"/>
      <c r="I122" s="631"/>
      <c r="J122" s="138">
        <v>98.9</v>
      </c>
      <c r="K122" s="138">
        <v>86.7</v>
      </c>
      <c r="L122" s="138">
        <v>68.8</v>
      </c>
      <c r="M122" s="138">
        <v>88</v>
      </c>
      <c r="N122" s="138">
        <v>216.5</v>
      </c>
      <c r="O122" s="138">
        <v>218.2</v>
      </c>
      <c r="P122" s="138">
        <v>223.1</v>
      </c>
      <c r="Q122" s="138">
        <v>220.4</v>
      </c>
      <c r="R122" s="138"/>
      <c r="S122" s="138"/>
      <c r="T122" s="138">
        <v>88.3</v>
      </c>
      <c r="U122" s="138"/>
      <c r="V122" s="138"/>
      <c r="W122" s="138"/>
      <c r="X122" s="138"/>
      <c r="Y122" s="138"/>
      <c r="Z122" s="138"/>
      <c r="AA122" s="180"/>
      <c r="AB122" s="180"/>
      <c r="AC122" s="180"/>
      <c r="AD122" s="180"/>
      <c r="AE122" s="180"/>
    </row>
    <row r="123" spans="4:31" x14ac:dyDescent="0.3">
      <c r="D123" s="136">
        <v>7</v>
      </c>
      <c r="E123" s="630"/>
      <c r="F123" s="630"/>
      <c r="G123" s="631"/>
      <c r="H123" s="631"/>
      <c r="I123" s="631"/>
      <c r="J123" s="138">
        <v>99.1</v>
      </c>
      <c r="K123" s="138">
        <v>89.4</v>
      </c>
      <c r="L123" s="138">
        <v>74.599999999999994</v>
      </c>
      <c r="M123" s="138">
        <v>90.7</v>
      </c>
      <c r="N123" s="138">
        <v>229.2</v>
      </c>
      <c r="O123" s="138">
        <v>229.6</v>
      </c>
      <c r="P123" s="138">
        <v>233.5</v>
      </c>
      <c r="Q123" s="138">
        <v>231.9</v>
      </c>
      <c r="R123" s="138"/>
      <c r="S123" s="138"/>
      <c r="T123" s="138">
        <v>90.5</v>
      </c>
      <c r="U123" s="138"/>
      <c r="V123" s="138"/>
      <c r="W123" s="138"/>
      <c r="X123" s="138"/>
      <c r="Y123" s="138"/>
      <c r="Z123" s="138"/>
      <c r="AA123" s="181"/>
      <c r="AB123" s="181"/>
      <c r="AC123" s="181"/>
      <c r="AD123" s="181"/>
      <c r="AE123" s="181"/>
    </row>
    <row r="124" spans="4:31" x14ac:dyDescent="0.3">
      <c r="D124" s="136">
        <v>8</v>
      </c>
      <c r="E124" s="630"/>
      <c r="F124" s="630"/>
      <c r="G124" s="631"/>
      <c r="H124" s="631"/>
      <c r="I124" s="631"/>
      <c r="J124" s="138">
        <v>99.3</v>
      </c>
      <c r="K124" s="138">
        <v>92.1</v>
      </c>
      <c r="L124" s="138">
        <v>83.5</v>
      </c>
      <c r="M124" s="138">
        <v>98.1</v>
      </c>
      <c r="N124" s="138">
        <v>237.9</v>
      </c>
      <c r="O124" s="138">
        <v>239.8</v>
      </c>
      <c r="P124" s="138">
        <v>244</v>
      </c>
      <c r="Q124" s="138">
        <v>242.9</v>
      </c>
      <c r="R124" s="138"/>
      <c r="S124" s="138"/>
      <c r="T124" s="138">
        <v>97.5</v>
      </c>
      <c r="U124" s="138"/>
      <c r="V124" s="138"/>
      <c r="W124" s="138"/>
      <c r="X124" s="138"/>
      <c r="Y124" s="138"/>
      <c r="Z124" s="138"/>
      <c r="AA124" s="18"/>
      <c r="AB124" s="18"/>
      <c r="AC124" s="18"/>
      <c r="AD124" s="18"/>
      <c r="AE124" s="18"/>
    </row>
    <row r="125" spans="4:31" x14ac:dyDescent="0.3">
      <c r="D125" s="136">
        <v>9</v>
      </c>
      <c r="E125" s="630"/>
      <c r="F125" s="630"/>
      <c r="G125" s="631"/>
      <c r="H125" s="631"/>
      <c r="I125" s="631"/>
      <c r="J125" s="138">
        <v>99.4</v>
      </c>
      <c r="K125" s="138">
        <v>98</v>
      </c>
      <c r="L125" s="138">
        <v>87.7</v>
      </c>
      <c r="M125" s="138">
        <v>98.7</v>
      </c>
      <c r="N125" s="138">
        <v>247.6</v>
      </c>
      <c r="O125" s="138">
        <v>250.7</v>
      </c>
      <c r="P125" s="138">
        <v>252.5</v>
      </c>
      <c r="Q125" s="138">
        <v>252</v>
      </c>
      <c r="R125" s="138"/>
      <c r="S125" s="138"/>
      <c r="T125" s="138">
        <v>98.1</v>
      </c>
      <c r="U125" s="138"/>
      <c r="V125" s="138"/>
      <c r="W125" s="138"/>
      <c r="X125" s="138"/>
      <c r="Y125" s="138"/>
      <c r="Z125" s="138"/>
    </row>
    <row r="126" spans="4:31" x14ac:dyDescent="0.3">
      <c r="D126" s="623">
        <v>10</v>
      </c>
      <c r="E126" s="630"/>
      <c r="F126" s="630"/>
      <c r="G126" s="631"/>
      <c r="H126" s="631"/>
      <c r="I126" s="631"/>
      <c r="J126" s="625">
        <v>99.6</v>
      </c>
      <c r="K126" s="625">
        <v>98.5</v>
      </c>
      <c r="L126" s="625">
        <v>90.3</v>
      </c>
      <c r="M126" s="625">
        <v>101.7</v>
      </c>
      <c r="N126" s="625">
        <v>256.10000000000002</v>
      </c>
      <c r="O126" s="625">
        <v>260</v>
      </c>
      <c r="P126" s="625">
        <v>262.60000000000002</v>
      </c>
      <c r="Q126" s="625">
        <v>262.7</v>
      </c>
      <c r="R126" s="625"/>
      <c r="S126" s="625"/>
      <c r="T126" s="625">
        <v>98.5</v>
      </c>
      <c r="U126" s="625"/>
      <c r="V126" s="625"/>
      <c r="W126" s="625"/>
      <c r="X126" s="625"/>
      <c r="Y126" s="625"/>
      <c r="Z126" s="625"/>
    </row>
    <row r="127" spans="4:31" x14ac:dyDescent="0.3">
      <c r="D127" s="136">
        <v>11</v>
      </c>
      <c r="E127" s="630"/>
      <c r="F127" s="630"/>
      <c r="G127" s="631"/>
      <c r="H127" s="631"/>
      <c r="I127" s="631"/>
      <c r="J127" s="138">
        <v>99.7</v>
      </c>
      <c r="K127" s="138">
        <v>99.1</v>
      </c>
      <c r="L127" s="138">
        <v>97.5</v>
      </c>
      <c r="M127" s="138">
        <v>102.8</v>
      </c>
      <c r="N127" s="138">
        <v>264.8</v>
      </c>
      <c r="O127" s="138">
        <v>269.8</v>
      </c>
      <c r="P127" s="138">
        <v>271.3</v>
      </c>
      <c r="Q127" s="138">
        <v>272.3</v>
      </c>
      <c r="R127" s="138"/>
      <c r="S127" s="138"/>
      <c r="T127" s="138">
        <v>101.5</v>
      </c>
      <c r="U127" s="138"/>
      <c r="V127" s="138"/>
      <c r="W127" s="138"/>
      <c r="X127" s="138"/>
      <c r="Y127" s="138"/>
      <c r="Z127" s="138"/>
    </row>
    <row r="128" spans="4:31" x14ac:dyDescent="0.3">
      <c r="D128" s="136">
        <v>12</v>
      </c>
      <c r="E128" s="630"/>
      <c r="F128" s="630"/>
      <c r="G128" s="631"/>
      <c r="H128" s="631"/>
      <c r="I128" s="631"/>
      <c r="J128" s="138">
        <v>99.9</v>
      </c>
      <c r="K128" s="138">
        <v>102.3</v>
      </c>
      <c r="L128" s="138">
        <v>98.3</v>
      </c>
      <c r="M128" s="138">
        <v>112.8</v>
      </c>
      <c r="N128" s="138">
        <v>272.7</v>
      </c>
      <c r="O128" s="138">
        <v>278.8</v>
      </c>
      <c r="P128" s="138">
        <v>281.2</v>
      </c>
      <c r="Q128" s="138">
        <v>282.7</v>
      </c>
      <c r="R128" s="138"/>
      <c r="S128" s="138"/>
      <c r="T128" s="138">
        <v>102.4</v>
      </c>
      <c r="U128" s="138"/>
      <c r="V128" s="138"/>
      <c r="W128" s="138"/>
      <c r="X128" s="138"/>
      <c r="Y128" s="138"/>
      <c r="Z128" s="138"/>
    </row>
    <row r="129" spans="4:26" x14ac:dyDescent="0.3">
      <c r="D129" s="136">
        <v>13</v>
      </c>
      <c r="E129" s="630"/>
      <c r="F129" s="630"/>
      <c r="G129" s="631"/>
      <c r="H129" s="631"/>
      <c r="I129" s="631"/>
      <c r="J129" s="138">
        <v>100</v>
      </c>
      <c r="K129" s="138">
        <v>112</v>
      </c>
      <c r="L129" s="138">
        <v>98.7</v>
      </c>
      <c r="M129" s="138">
        <v>116.9</v>
      </c>
      <c r="N129" s="138">
        <v>281</v>
      </c>
      <c r="O129" s="138">
        <v>287</v>
      </c>
      <c r="P129" s="138">
        <v>289.7</v>
      </c>
      <c r="Q129" s="138">
        <v>287.39999999999998</v>
      </c>
      <c r="R129" s="138"/>
      <c r="S129" s="138"/>
      <c r="T129" s="138">
        <v>112</v>
      </c>
      <c r="U129" s="138"/>
      <c r="V129" s="138"/>
      <c r="W129" s="138"/>
      <c r="X129" s="138"/>
      <c r="Y129" s="138"/>
      <c r="Z129" s="138"/>
    </row>
    <row r="130" spans="4:26" x14ac:dyDescent="0.3">
      <c r="D130" s="136">
        <v>14</v>
      </c>
      <c r="E130" s="630"/>
      <c r="F130" s="630"/>
      <c r="G130" s="631"/>
      <c r="H130" s="631"/>
      <c r="I130" s="631"/>
      <c r="J130" s="138">
        <v>100.1</v>
      </c>
      <c r="K130" s="138">
        <v>115.5</v>
      </c>
      <c r="L130" s="138">
        <v>101.8</v>
      </c>
      <c r="M130" s="138">
        <v>117.9</v>
      </c>
      <c r="N130" s="138">
        <v>288.3</v>
      </c>
      <c r="O130" s="138">
        <v>295.8</v>
      </c>
      <c r="P130" s="138">
        <v>297.89999999999998</v>
      </c>
      <c r="Q130" s="138">
        <v>289.89999999999998</v>
      </c>
      <c r="R130" s="138"/>
      <c r="S130" s="138"/>
      <c r="T130" s="138">
        <v>115.2</v>
      </c>
      <c r="U130" s="138"/>
      <c r="V130" s="138"/>
      <c r="W130" s="138"/>
      <c r="X130" s="138"/>
      <c r="Y130" s="138"/>
      <c r="Z130" s="138"/>
    </row>
    <row r="131" spans="4:26" x14ac:dyDescent="0.3">
      <c r="D131" s="623">
        <v>15</v>
      </c>
      <c r="E131" s="630"/>
      <c r="F131" s="630"/>
      <c r="G131" s="631"/>
      <c r="H131" s="631"/>
      <c r="I131" s="631"/>
      <c r="J131" s="625">
        <v>100.2</v>
      </c>
      <c r="K131" s="625">
        <v>117.3</v>
      </c>
      <c r="L131" s="625">
        <v>105.3</v>
      </c>
      <c r="M131" s="625">
        <v>119.7</v>
      </c>
      <c r="N131" s="625">
        <v>296.10000000000002</v>
      </c>
      <c r="O131" s="625">
        <v>303</v>
      </c>
      <c r="P131" s="625">
        <v>305</v>
      </c>
      <c r="Q131" s="625">
        <v>292.7</v>
      </c>
      <c r="R131" s="625"/>
      <c r="S131" s="625"/>
      <c r="T131" s="625">
        <v>117.1</v>
      </c>
      <c r="U131" s="625"/>
      <c r="V131" s="625"/>
      <c r="W131" s="625"/>
      <c r="X131" s="625"/>
      <c r="Y131" s="625"/>
      <c r="Z131" s="625"/>
    </row>
    <row r="132" spans="4:26" x14ac:dyDescent="0.3">
      <c r="D132" s="136">
        <v>16</v>
      </c>
      <c r="E132" s="630"/>
      <c r="F132" s="630"/>
      <c r="G132" s="631"/>
      <c r="H132" s="631"/>
      <c r="I132" s="631"/>
      <c r="J132" s="138">
        <v>100.3</v>
      </c>
      <c r="K132" s="138">
        <v>118.9</v>
      </c>
      <c r="L132" s="138">
        <v>112.7</v>
      </c>
      <c r="M132" s="138">
        <v>126.1</v>
      </c>
      <c r="N132" s="138">
        <v>303.2</v>
      </c>
      <c r="O132" s="138">
        <v>311.39999999999998</v>
      </c>
      <c r="P132" s="138">
        <v>312.89999999999998</v>
      </c>
      <c r="Q132" s="138">
        <v>296.5</v>
      </c>
      <c r="R132" s="138"/>
      <c r="S132" s="138"/>
      <c r="T132" s="138">
        <v>117.8</v>
      </c>
      <c r="U132" s="138"/>
      <c r="V132" s="138"/>
      <c r="W132" s="138"/>
      <c r="X132" s="138"/>
      <c r="Y132" s="138"/>
      <c r="Z132" s="138"/>
    </row>
    <row r="133" spans="4:26" x14ac:dyDescent="0.3">
      <c r="D133" s="136">
        <v>17</v>
      </c>
      <c r="E133" s="630"/>
      <c r="F133" s="630"/>
      <c r="G133" s="631"/>
      <c r="H133" s="631"/>
      <c r="I133" s="631"/>
      <c r="J133" s="138">
        <v>100.4</v>
      </c>
      <c r="K133" s="138">
        <v>124</v>
      </c>
      <c r="L133" s="138">
        <v>116.8</v>
      </c>
      <c r="M133" s="138">
        <v>126.8</v>
      </c>
      <c r="N133" s="138">
        <v>310.3</v>
      </c>
      <c r="O133" s="138">
        <v>318.3</v>
      </c>
      <c r="P133" s="138">
        <v>319.60000000000002</v>
      </c>
      <c r="Q133" s="138">
        <v>300.2</v>
      </c>
      <c r="R133" s="138"/>
      <c r="S133" s="138"/>
      <c r="T133" s="138">
        <v>119</v>
      </c>
      <c r="U133" s="138"/>
      <c r="V133" s="138"/>
      <c r="W133" s="138"/>
      <c r="X133" s="138"/>
      <c r="Y133" s="138"/>
      <c r="Z133" s="138"/>
    </row>
    <row r="134" spans="4:26" x14ac:dyDescent="0.3">
      <c r="D134" s="136">
        <v>18</v>
      </c>
      <c r="E134" s="630"/>
      <c r="F134" s="630"/>
      <c r="G134" s="631"/>
      <c r="H134" s="631"/>
      <c r="I134" s="631"/>
      <c r="J134" s="138">
        <v>100.5</v>
      </c>
      <c r="K134" s="138">
        <v>126.6</v>
      </c>
      <c r="L134" s="138">
        <v>117.7</v>
      </c>
      <c r="M134" s="138">
        <v>127.6</v>
      </c>
      <c r="N134" s="138">
        <v>316.89999999999998</v>
      </c>
      <c r="O134" s="138">
        <v>326.39999999999998</v>
      </c>
      <c r="P134" s="138">
        <v>327.2</v>
      </c>
      <c r="Q134" s="138">
        <v>305.60000000000002</v>
      </c>
      <c r="R134" s="138"/>
      <c r="S134" s="138"/>
      <c r="T134" s="138">
        <v>122.7</v>
      </c>
      <c r="U134" s="138"/>
      <c r="V134" s="138"/>
      <c r="W134" s="138"/>
      <c r="X134" s="138"/>
      <c r="Y134" s="138"/>
      <c r="Z134" s="138"/>
    </row>
    <row r="135" spans="4:26" x14ac:dyDescent="0.3">
      <c r="D135" s="136">
        <v>19</v>
      </c>
      <c r="E135" s="630"/>
      <c r="F135" s="630"/>
      <c r="G135" s="631"/>
      <c r="H135" s="631"/>
      <c r="I135" s="631"/>
      <c r="J135" s="138">
        <v>100.6</v>
      </c>
      <c r="K135" s="138">
        <v>127.1</v>
      </c>
      <c r="L135" s="138">
        <v>119.2</v>
      </c>
      <c r="M135" s="138">
        <v>133.4</v>
      </c>
      <c r="N135" s="138">
        <v>323.60000000000002</v>
      </c>
      <c r="O135" s="138">
        <v>333.1</v>
      </c>
      <c r="P135" s="138">
        <v>333.8</v>
      </c>
      <c r="Q135" s="138">
        <v>311.39999999999998</v>
      </c>
      <c r="R135" s="138"/>
      <c r="S135" s="138"/>
      <c r="T135" s="138">
        <v>126.3</v>
      </c>
      <c r="U135" s="138"/>
      <c r="V135" s="138"/>
      <c r="W135" s="138"/>
      <c r="X135" s="138"/>
      <c r="Y135" s="138"/>
      <c r="Z135" s="138"/>
    </row>
    <row r="136" spans="4:26" x14ac:dyDescent="0.3">
      <c r="D136" s="623">
        <v>20</v>
      </c>
      <c r="E136" s="630"/>
      <c r="F136" s="630"/>
      <c r="G136" s="631"/>
      <c r="H136" s="631"/>
      <c r="I136" s="631"/>
      <c r="J136" s="625">
        <v>100.7</v>
      </c>
      <c r="K136" s="625">
        <v>132.9</v>
      </c>
      <c r="L136" s="625">
        <v>125.8</v>
      </c>
      <c r="M136" s="625">
        <v>137.69999999999999</v>
      </c>
      <c r="N136" s="625">
        <v>330.4</v>
      </c>
      <c r="O136" s="625">
        <v>340.8</v>
      </c>
      <c r="P136" s="625">
        <v>341</v>
      </c>
      <c r="Q136" s="625">
        <v>316.5</v>
      </c>
      <c r="R136" s="625"/>
      <c r="S136" s="625"/>
      <c r="T136" s="625">
        <v>126.8</v>
      </c>
      <c r="U136" s="625"/>
      <c r="V136" s="625"/>
      <c r="W136" s="625"/>
      <c r="X136" s="625"/>
      <c r="Y136" s="625"/>
      <c r="Z136" s="625"/>
    </row>
    <row r="137" spans="4:26" x14ac:dyDescent="0.3">
      <c r="D137" s="136">
        <v>21</v>
      </c>
      <c r="E137" s="630"/>
      <c r="F137" s="630"/>
      <c r="G137" s="631"/>
      <c r="H137" s="631"/>
      <c r="I137" s="631"/>
      <c r="J137" s="138">
        <v>100.9</v>
      </c>
      <c r="K137" s="138">
        <v>135.80000000000001</v>
      </c>
      <c r="L137" s="138">
        <v>126.8</v>
      </c>
      <c r="M137" s="138">
        <v>140.4</v>
      </c>
      <c r="N137" s="138">
        <v>336</v>
      </c>
      <c r="O137" s="138">
        <v>347.4</v>
      </c>
      <c r="P137" s="138">
        <v>347.6</v>
      </c>
      <c r="Q137" s="138">
        <v>322.7</v>
      </c>
      <c r="R137" s="138"/>
      <c r="S137" s="138"/>
      <c r="T137" s="138">
        <v>127.1</v>
      </c>
      <c r="U137" s="138"/>
      <c r="V137" s="138"/>
      <c r="W137" s="138"/>
      <c r="X137" s="138"/>
      <c r="Y137" s="138"/>
      <c r="Z137" s="138"/>
    </row>
    <row r="138" spans="4:26" x14ac:dyDescent="0.3">
      <c r="D138" s="136">
        <v>22</v>
      </c>
      <c r="E138" s="630"/>
      <c r="F138" s="630"/>
      <c r="G138" s="631"/>
      <c r="H138" s="631"/>
      <c r="I138" s="631"/>
      <c r="J138" s="138">
        <v>112.1</v>
      </c>
      <c r="K138" s="138">
        <v>140.19999999999999</v>
      </c>
      <c r="L138" s="138">
        <v>127.2</v>
      </c>
      <c r="M138" s="138">
        <v>142.9</v>
      </c>
      <c r="N138" s="138">
        <v>342.3</v>
      </c>
      <c r="O138" s="138">
        <v>354.7</v>
      </c>
      <c r="P138" s="138">
        <v>354.2</v>
      </c>
      <c r="Q138" s="138">
        <v>328.1</v>
      </c>
      <c r="R138" s="138"/>
      <c r="S138" s="138"/>
      <c r="T138" s="138">
        <v>130.9</v>
      </c>
      <c r="U138" s="138"/>
      <c r="V138" s="138"/>
      <c r="W138" s="138"/>
      <c r="X138" s="138"/>
      <c r="Y138" s="138"/>
      <c r="Z138" s="138"/>
    </row>
    <row r="139" spans="4:26" x14ac:dyDescent="0.3">
      <c r="D139" s="136">
        <v>23</v>
      </c>
      <c r="E139" s="630"/>
      <c r="F139" s="630"/>
      <c r="G139" s="631"/>
      <c r="H139" s="631"/>
      <c r="I139" s="631"/>
      <c r="J139" s="138">
        <v>116.9</v>
      </c>
      <c r="K139" s="138">
        <v>142.6</v>
      </c>
      <c r="L139" s="138">
        <v>133</v>
      </c>
      <c r="M139" s="138">
        <v>144.69999999999999</v>
      </c>
      <c r="N139" s="138">
        <v>347.3</v>
      </c>
      <c r="O139" s="138">
        <v>360.8</v>
      </c>
      <c r="P139" s="138">
        <v>360.4</v>
      </c>
      <c r="Q139" s="138">
        <v>334.9</v>
      </c>
      <c r="R139" s="138"/>
      <c r="S139" s="138"/>
      <c r="T139" s="138">
        <v>133.30000000000001</v>
      </c>
      <c r="U139" s="138"/>
      <c r="V139" s="138"/>
      <c r="W139" s="138"/>
      <c r="X139" s="138"/>
      <c r="Y139" s="138"/>
      <c r="Z139" s="138"/>
    </row>
    <row r="140" spans="4:26" x14ac:dyDescent="0.3">
      <c r="D140" s="136">
        <v>24</v>
      </c>
      <c r="E140" s="630"/>
      <c r="F140" s="630"/>
      <c r="G140" s="631"/>
      <c r="H140" s="631"/>
      <c r="I140" s="631"/>
      <c r="J140" s="138">
        <v>123</v>
      </c>
      <c r="K140" s="138">
        <v>144.6</v>
      </c>
      <c r="L140" s="138">
        <v>136</v>
      </c>
      <c r="M140" s="138">
        <v>146.80000000000001</v>
      </c>
      <c r="N140" s="138">
        <v>352.9</v>
      </c>
      <c r="O140" s="138">
        <v>367.9</v>
      </c>
      <c r="P140" s="138">
        <v>366.8</v>
      </c>
      <c r="Q140" s="138">
        <v>340.8</v>
      </c>
      <c r="R140" s="138"/>
      <c r="S140" s="138"/>
      <c r="T140" s="138">
        <v>135.1</v>
      </c>
      <c r="U140" s="138"/>
      <c r="V140" s="138"/>
      <c r="W140" s="138"/>
      <c r="X140" s="138"/>
      <c r="Y140" s="138"/>
      <c r="Z140" s="138"/>
    </row>
    <row r="141" spans="4:26" x14ac:dyDescent="0.3">
      <c r="D141" s="136">
        <v>25</v>
      </c>
      <c r="E141" s="630"/>
      <c r="F141" s="630"/>
      <c r="G141" s="631"/>
      <c r="H141" s="631"/>
      <c r="I141" s="631"/>
      <c r="J141" s="138">
        <v>126.7</v>
      </c>
      <c r="K141" s="138">
        <v>146.5</v>
      </c>
      <c r="L141" s="138">
        <v>140.30000000000001</v>
      </c>
      <c r="M141" s="138">
        <v>151.5</v>
      </c>
      <c r="N141" s="138">
        <v>357.5</v>
      </c>
      <c r="O141" s="138">
        <v>373.9</v>
      </c>
      <c r="P141" s="138">
        <v>373.1</v>
      </c>
      <c r="Q141" s="138">
        <v>348</v>
      </c>
      <c r="R141" s="138"/>
      <c r="S141" s="138"/>
      <c r="T141" s="138">
        <v>138.30000000000001</v>
      </c>
      <c r="U141" s="138"/>
      <c r="V141" s="138"/>
      <c r="W141" s="138"/>
      <c r="X141" s="138"/>
      <c r="Y141" s="138"/>
      <c r="Z141" s="138"/>
    </row>
    <row r="142" spans="4:26" x14ac:dyDescent="0.3">
      <c r="D142" s="136">
        <v>26</v>
      </c>
      <c r="E142" s="630"/>
      <c r="F142" s="630"/>
      <c r="G142" s="631"/>
      <c r="H142" s="631"/>
      <c r="I142" s="631"/>
      <c r="J142" s="138">
        <v>137</v>
      </c>
      <c r="K142" s="138">
        <v>151.4</v>
      </c>
      <c r="L142" s="138">
        <v>142.6</v>
      </c>
      <c r="M142" s="138">
        <v>152</v>
      </c>
      <c r="N142" s="138">
        <v>363.2</v>
      </c>
      <c r="O142" s="138">
        <v>380</v>
      </c>
      <c r="P142" s="138">
        <v>378.8</v>
      </c>
      <c r="Q142" s="138">
        <v>354</v>
      </c>
      <c r="R142" s="138"/>
      <c r="S142" s="138"/>
      <c r="T142" s="138">
        <v>140.6</v>
      </c>
      <c r="U142" s="138"/>
      <c r="V142" s="138"/>
      <c r="W142" s="138"/>
      <c r="X142" s="138"/>
      <c r="Y142" s="138"/>
      <c r="Z142" s="138"/>
    </row>
    <row r="143" spans="4:26" x14ac:dyDescent="0.3">
      <c r="D143" s="136">
        <v>27</v>
      </c>
      <c r="E143" s="630"/>
      <c r="F143" s="630"/>
      <c r="G143" s="631"/>
      <c r="H143" s="631"/>
      <c r="I143" s="631"/>
      <c r="J143" s="138">
        <v>140.4</v>
      </c>
      <c r="K143" s="138">
        <v>152.1</v>
      </c>
      <c r="L143" s="138">
        <v>144.5</v>
      </c>
      <c r="M143" s="138">
        <v>154</v>
      </c>
      <c r="N143" s="138">
        <v>368.4</v>
      </c>
      <c r="O143" s="138">
        <v>386.5</v>
      </c>
      <c r="P143" s="138">
        <v>385.1</v>
      </c>
      <c r="Q143" s="138">
        <v>360.9</v>
      </c>
      <c r="R143" s="138"/>
      <c r="S143" s="138"/>
      <c r="T143" s="138">
        <v>142.80000000000001</v>
      </c>
      <c r="U143" s="138"/>
      <c r="V143" s="138"/>
      <c r="W143" s="138"/>
      <c r="X143" s="138"/>
      <c r="Y143" s="138"/>
      <c r="Z143" s="138"/>
    </row>
    <row r="144" spans="4:26" x14ac:dyDescent="0.3">
      <c r="D144" s="136">
        <v>28</v>
      </c>
      <c r="E144" s="630"/>
      <c r="F144" s="630"/>
      <c r="G144" s="631"/>
      <c r="H144" s="631"/>
      <c r="I144" s="631"/>
      <c r="J144" s="138">
        <v>144.80000000000001</v>
      </c>
      <c r="K144" s="138">
        <v>154.1</v>
      </c>
      <c r="L144" s="138">
        <v>146.30000000000001</v>
      </c>
      <c r="M144" s="138">
        <v>158.6</v>
      </c>
      <c r="N144" s="138">
        <v>374.4</v>
      </c>
      <c r="O144" s="138">
        <v>392.4</v>
      </c>
      <c r="P144" s="138">
        <v>390.8</v>
      </c>
      <c r="Q144" s="138">
        <v>367</v>
      </c>
      <c r="R144" s="138"/>
      <c r="S144" s="138"/>
      <c r="T144" s="138">
        <v>144.19999999999999</v>
      </c>
      <c r="U144" s="138"/>
      <c r="V144" s="138"/>
      <c r="W144" s="138"/>
      <c r="X144" s="138"/>
      <c r="Y144" s="138"/>
      <c r="Z144" s="138"/>
    </row>
    <row r="145" spans="4:26" x14ac:dyDescent="0.3">
      <c r="D145" s="136">
        <v>29</v>
      </c>
      <c r="E145" s="630"/>
      <c r="F145" s="630"/>
      <c r="G145" s="631"/>
      <c r="H145" s="631"/>
      <c r="I145" s="631"/>
      <c r="J145" s="138">
        <v>150.69999999999999</v>
      </c>
      <c r="K145" s="138">
        <v>159</v>
      </c>
      <c r="L145" s="138">
        <v>151.4</v>
      </c>
      <c r="M145" s="138">
        <v>160.9</v>
      </c>
      <c r="N145" s="138">
        <v>381.3</v>
      </c>
      <c r="O145" s="138">
        <v>398.9</v>
      </c>
      <c r="P145" s="138">
        <v>397.1</v>
      </c>
      <c r="Q145" s="138">
        <v>373.7</v>
      </c>
      <c r="R145" s="138"/>
      <c r="S145" s="138"/>
      <c r="T145" s="138">
        <v>145.4</v>
      </c>
      <c r="U145" s="138"/>
      <c r="V145" s="138"/>
      <c r="W145" s="138"/>
      <c r="X145" s="138"/>
      <c r="Y145" s="138"/>
      <c r="Z145" s="138"/>
    </row>
    <row r="146" spans="4:26" x14ac:dyDescent="0.3">
      <c r="D146" s="623">
        <v>30</v>
      </c>
      <c r="E146" s="630"/>
      <c r="F146" s="630"/>
      <c r="G146" s="631"/>
      <c r="H146" s="631"/>
      <c r="I146" s="631"/>
      <c r="J146" s="625">
        <v>152.9</v>
      </c>
      <c r="K146" s="625">
        <v>160.9</v>
      </c>
      <c r="L146" s="625">
        <v>152.1</v>
      </c>
      <c r="M146" s="625">
        <v>162.80000000000001</v>
      </c>
      <c r="N146" s="625">
        <v>387.3</v>
      </c>
      <c r="O146" s="625">
        <v>404.9</v>
      </c>
      <c r="P146" s="625">
        <v>402.8</v>
      </c>
      <c r="Q146" s="625">
        <v>379.7</v>
      </c>
      <c r="R146" s="625"/>
      <c r="S146" s="625"/>
      <c r="T146" s="625">
        <v>147</v>
      </c>
      <c r="U146" s="625"/>
      <c r="V146" s="625"/>
      <c r="W146" s="625"/>
      <c r="X146" s="625"/>
      <c r="Y146" s="625"/>
      <c r="Z146" s="625"/>
    </row>
    <row r="147" spans="4:26" x14ac:dyDescent="0.3">
      <c r="D147" s="136">
        <v>31</v>
      </c>
      <c r="E147" s="630"/>
      <c r="F147" s="630"/>
      <c r="G147" s="631"/>
      <c r="H147" s="631"/>
      <c r="I147" s="631"/>
      <c r="J147" s="138">
        <v>158.5</v>
      </c>
      <c r="K147" s="138">
        <v>162.6</v>
      </c>
      <c r="L147" s="138">
        <v>153.9</v>
      </c>
      <c r="M147" s="138">
        <v>165.8</v>
      </c>
      <c r="N147" s="138">
        <v>393.2</v>
      </c>
      <c r="O147" s="138">
        <v>411.2</v>
      </c>
      <c r="P147" s="138">
        <v>408.9</v>
      </c>
      <c r="Q147" s="138">
        <v>386.4</v>
      </c>
      <c r="R147" s="138"/>
      <c r="S147" s="138"/>
      <c r="T147" s="138">
        <v>151.4</v>
      </c>
      <c r="U147" s="138"/>
      <c r="V147" s="138"/>
      <c r="W147" s="138"/>
      <c r="X147" s="138"/>
      <c r="Y147" s="138"/>
      <c r="Z147" s="138"/>
    </row>
    <row r="148" spans="4:26" x14ac:dyDescent="0.3">
      <c r="D148" s="136">
        <v>32</v>
      </c>
      <c r="E148" s="630"/>
      <c r="F148" s="630"/>
      <c r="G148" s="631"/>
      <c r="H148" s="631"/>
      <c r="I148" s="631"/>
      <c r="J148" s="138">
        <v>160.69999999999999</v>
      </c>
      <c r="K148" s="138">
        <v>163.19999999999999</v>
      </c>
      <c r="L148" s="138">
        <v>158.30000000000001</v>
      </c>
      <c r="M148" s="138">
        <v>166.7</v>
      </c>
      <c r="N148" s="138">
        <v>397.9</v>
      </c>
      <c r="O148" s="138">
        <v>416.8</v>
      </c>
      <c r="P148" s="138">
        <v>414.3</v>
      </c>
      <c r="Q148" s="138">
        <v>392.3</v>
      </c>
      <c r="R148" s="138"/>
      <c r="S148" s="138"/>
      <c r="T148" s="138">
        <v>152</v>
      </c>
      <c r="U148" s="138"/>
      <c r="V148" s="138"/>
      <c r="W148" s="138"/>
      <c r="X148" s="138"/>
      <c r="Y148" s="138"/>
      <c r="Z148" s="138"/>
    </row>
    <row r="149" spans="4:26" x14ac:dyDescent="0.3">
      <c r="D149" s="136">
        <v>33</v>
      </c>
      <c r="E149" s="630"/>
      <c r="F149" s="630"/>
      <c r="G149" s="631"/>
      <c r="H149" s="631"/>
      <c r="I149" s="631"/>
      <c r="J149" s="138">
        <v>161.4</v>
      </c>
      <c r="K149" s="138">
        <v>163.6</v>
      </c>
      <c r="L149" s="138">
        <v>160.9</v>
      </c>
      <c r="M149" s="138">
        <v>169.1</v>
      </c>
      <c r="N149" s="138">
        <v>403</v>
      </c>
      <c r="O149" s="138">
        <v>422.2</v>
      </c>
      <c r="P149" s="138">
        <v>419.8</v>
      </c>
      <c r="Q149" s="138">
        <v>398.5</v>
      </c>
      <c r="R149" s="138"/>
      <c r="S149" s="138"/>
      <c r="T149" s="138">
        <v>152.30000000000001</v>
      </c>
      <c r="U149" s="138"/>
      <c r="V149" s="138"/>
      <c r="W149" s="138"/>
      <c r="X149" s="138"/>
      <c r="Y149" s="138"/>
      <c r="Z149" s="138"/>
    </row>
    <row r="150" spans="4:26" x14ac:dyDescent="0.3">
      <c r="D150" s="136">
        <v>34</v>
      </c>
      <c r="E150" s="630"/>
      <c r="F150" s="630"/>
      <c r="G150" s="631"/>
      <c r="H150" s="631"/>
      <c r="I150" s="631"/>
      <c r="J150" s="138">
        <v>162.6</v>
      </c>
      <c r="K150" s="138">
        <v>164.4</v>
      </c>
      <c r="L150" s="138">
        <v>162.69999999999999</v>
      </c>
      <c r="M150" s="138">
        <v>170.7</v>
      </c>
      <c r="N150" s="138">
        <v>407.7</v>
      </c>
      <c r="O150" s="138">
        <v>428.1</v>
      </c>
      <c r="P150" s="138">
        <v>425.2</v>
      </c>
      <c r="Q150" s="138">
        <v>404.9</v>
      </c>
      <c r="R150" s="138"/>
      <c r="S150" s="138"/>
      <c r="T150" s="138">
        <v>153.6</v>
      </c>
      <c r="U150" s="138"/>
      <c r="V150" s="138"/>
      <c r="W150" s="138"/>
      <c r="X150" s="138"/>
      <c r="Y150" s="138"/>
      <c r="Z150" s="138"/>
    </row>
    <row r="151" spans="4:26" x14ac:dyDescent="0.3">
      <c r="D151" s="136">
        <v>35</v>
      </c>
      <c r="E151" s="630"/>
      <c r="F151" s="630"/>
      <c r="G151" s="631"/>
      <c r="H151" s="631"/>
      <c r="I151" s="631"/>
      <c r="J151" s="138">
        <v>163.1</v>
      </c>
      <c r="K151" s="138">
        <v>166.2</v>
      </c>
      <c r="L151" s="138">
        <v>163.30000000000001</v>
      </c>
      <c r="M151" s="138">
        <v>174.6</v>
      </c>
      <c r="N151" s="138">
        <v>412.7</v>
      </c>
      <c r="O151" s="138">
        <v>433.6</v>
      </c>
      <c r="P151" s="138">
        <v>430.3</v>
      </c>
      <c r="Q151" s="138">
        <v>410.7</v>
      </c>
      <c r="R151" s="138"/>
      <c r="S151" s="138"/>
      <c r="T151" s="138">
        <v>157.30000000000001</v>
      </c>
      <c r="U151" s="138"/>
      <c r="V151" s="138"/>
      <c r="W151" s="138"/>
      <c r="X151" s="138"/>
      <c r="Y151" s="138"/>
      <c r="Z151" s="138"/>
    </row>
    <row r="152" spans="4:26" x14ac:dyDescent="0.3">
      <c r="D152" s="136">
        <v>36</v>
      </c>
      <c r="E152" s="630"/>
      <c r="F152" s="630"/>
      <c r="G152" s="631"/>
      <c r="H152" s="631"/>
      <c r="I152" s="631"/>
      <c r="J152" s="138">
        <v>163.4</v>
      </c>
      <c r="K152" s="138">
        <v>166.9</v>
      </c>
      <c r="L152" s="138">
        <v>164.8</v>
      </c>
      <c r="M152" s="138">
        <v>175.2</v>
      </c>
      <c r="N152" s="138">
        <v>418.2</v>
      </c>
      <c r="O152" s="138">
        <v>439.5</v>
      </c>
      <c r="P152" s="138">
        <v>436</v>
      </c>
      <c r="Q152" s="138">
        <v>417</v>
      </c>
      <c r="R152" s="138"/>
      <c r="S152" s="138"/>
      <c r="T152" s="138">
        <v>159.9</v>
      </c>
      <c r="U152" s="138"/>
      <c r="V152" s="138"/>
      <c r="W152" s="138"/>
      <c r="X152" s="138"/>
      <c r="Y152" s="138"/>
      <c r="Z152" s="138"/>
    </row>
    <row r="153" spans="4:26" x14ac:dyDescent="0.3">
      <c r="D153" s="136">
        <v>37</v>
      </c>
      <c r="E153" s="630"/>
      <c r="F153" s="630"/>
      <c r="G153" s="631"/>
      <c r="H153" s="631"/>
      <c r="I153" s="631"/>
      <c r="J153" s="138">
        <v>163.6</v>
      </c>
      <c r="K153" s="138">
        <v>168.2</v>
      </c>
      <c r="L153" s="138">
        <v>166.6</v>
      </c>
      <c r="M153" s="138">
        <v>176.9</v>
      </c>
      <c r="N153" s="138">
        <v>424</v>
      </c>
      <c r="O153" s="138">
        <v>445</v>
      </c>
      <c r="P153" s="138">
        <v>441.2</v>
      </c>
      <c r="Q153" s="138">
        <v>422.6</v>
      </c>
      <c r="R153" s="138"/>
      <c r="S153" s="138"/>
      <c r="T153" s="138">
        <v>161.69999999999999</v>
      </c>
      <c r="U153" s="138"/>
      <c r="V153" s="138"/>
      <c r="W153" s="138"/>
      <c r="X153" s="138"/>
      <c r="Y153" s="138"/>
      <c r="Z153" s="138"/>
    </row>
    <row r="154" spans="4:26" x14ac:dyDescent="0.3">
      <c r="D154" s="136">
        <v>38</v>
      </c>
      <c r="E154" s="630"/>
      <c r="F154" s="630"/>
      <c r="G154" s="631"/>
      <c r="H154" s="631"/>
      <c r="I154" s="631"/>
      <c r="J154" s="138">
        <v>163.9</v>
      </c>
      <c r="K154" s="138">
        <v>170.2</v>
      </c>
      <c r="L154" s="138">
        <v>167.9</v>
      </c>
      <c r="M154" s="138">
        <v>179.9</v>
      </c>
      <c r="N154" s="138">
        <v>429.3</v>
      </c>
      <c r="O154" s="138">
        <v>450.4</v>
      </c>
      <c r="P154" s="138">
        <v>446.6</v>
      </c>
      <c r="Q154" s="138">
        <v>428.2</v>
      </c>
      <c r="R154" s="138"/>
      <c r="S154" s="138"/>
      <c r="T154" s="138">
        <v>163.1</v>
      </c>
      <c r="U154" s="138"/>
      <c r="V154" s="138"/>
      <c r="W154" s="138"/>
      <c r="X154" s="138"/>
      <c r="Y154" s="138"/>
      <c r="Z154" s="138"/>
    </row>
    <row r="155" spans="4:26" x14ac:dyDescent="0.3">
      <c r="D155" s="136">
        <v>39</v>
      </c>
      <c r="E155" s="630"/>
      <c r="F155" s="630"/>
      <c r="G155" s="631"/>
      <c r="H155" s="631"/>
      <c r="I155" s="631"/>
      <c r="J155" s="138">
        <v>164.1</v>
      </c>
      <c r="K155" s="138">
        <v>170.7</v>
      </c>
      <c r="L155" s="138">
        <v>170.1</v>
      </c>
      <c r="M155" s="138">
        <v>182.5</v>
      </c>
      <c r="N155" s="138">
        <v>434.6</v>
      </c>
      <c r="O155" s="138">
        <v>456.3</v>
      </c>
      <c r="P155" s="138">
        <v>451.9</v>
      </c>
      <c r="Q155" s="138">
        <v>434.3</v>
      </c>
      <c r="R155" s="138"/>
      <c r="S155" s="138"/>
      <c r="T155" s="138">
        <v>165.7</v>
      </c>
      <c r="U155" s="138"/>
      <c r="V155" s="138"/>
      <c r="W155" s="138"/>
      <c r="X155" s="138"/>
      <c r="Y155" s="138"/>
      <c r="Z155" s="138"/>
    </row>
    <row r="156" spans="4:26" x14ac:dyDescent="0.3">
      <c r="D156" s="623">
        <v>40</v>
      </c>
      <c r="E156" s="630"/>
      <c r="F156" s="630"/>
      <c r="G156" s="631"/>
      <c r="H156" s="631"/>
      <c r="I156" s="631"/>
      <c r="J156" s="625">
        <v>164.2</v>
      </c>
      <c r="K156" s="625">
        <v>171</v>
      </c>
      <c r="L156" s="625">
        <v>170.6</v>
      </c>
      <c r="M156" s="625">
        <v>184.6</v>
      </c>
      <c r="N156" s="625">
        <v>439.3</v>
      </c>
      <c r="O156" s="625">
        <v>461.8</v>
      </c>
      <c r="P156" s="625">
        <v>457.1</v>
      </c>
      <c r="Q156" s="625">
        <v>440</v>
      </c>
      <c r="R156" s="625"/>
      <c r="S156" s="625"/>
      <c r="T156" s="625">
        <v>166.6</v>
      </c>
      <c r="U156" s="625"/>
      <c r="V156" s="625"/>
      <c r="W156" s="625"/>
      <c r="X156" s="625"/>
      <c r="Y156" s="625"/>
      <c r="Z156" s="625"/>
    </row>
    <row r="157" spans="4:26" x14ac:dyDescent="0.3">
      <c r="D157" s="136">
        <v>41</v>
      </c>
      <c r="E157" s="630"/>
      <c r="F157" s="630"/>
      <c r="G157" s="631"/>
      <c r="H157" s="631"/>
      <c r="I157" s="631"/>
      <c r="J157" s="138">
        <v>164.4</v>
      </c>
      <c r="K157" s="138">
        <v>173.9</v>
      </c>
      <c r="L157" s="138">
        <v>174.4</v>
      </c>
      <c r="M157" s="138">
        <v>187.9</v>
      </c>
      <c r="N157" s="138">
        <v>444.2</v>
      </c>
      <c r="O157" s="138">
        <v>467.4</v>
      </c>
      <c r="P157" s="138">
        <v>462.6</v>
      </c>
      <c r="Q157" s="138">
        <v>445.7</v>
      </c>
      <c r="R157" s="138"/>
      <c r="S157" s="138"/>
      <c r="T157" s="138">
        <v>167.3</v>
      </c>
      <c r="U157" s="138"/>
      <c r="V157" s="138"/>
      <c r="W157" s="138"/>
      <c r="X157" s="138"/>
      <c r="Y157" s="138"/>
      <c r="Z157" s="138"/>
    </row>
    <row r="158" spans="4:26" x14ac:dyDescent="0.3">
      <c r="D158" s="136">
        <v>42</v>
      </c>
      <c r="E158" s="630"/>
      <c r="F158" s="630"/>
      <c r="G158" s="631"/>
      <c r="H158" s="631"/>
      <c r="I158" s="631"/>
      <c r="J158" s="138">
        <v>164.7</v>
      </c>
      <c r="K158" s="138">
        <v>175.3</v>
      </c>
      <c r="L158" s="138">
        <v>175.3</v>
      </c>
      <c r="M158" s="138">
        <v>189.3</v>
      </c>
      <c r="N158" s="138">
        <v>449</v>
      </c>
      <c r="O158" s="138">
        <v>473</v>
      </c>
      <c r="P158" s="138">
        <v>467.8</v>
      </c>
      <c r="Q158" s="138">
        <v>451.7</v>
      </c>
      <c r="R158" s="138"/>
      <c r="S158" s="138"/>
      <c r="T158" s="138">
        <v>169.7</v>
      </c>
      <c r="U158" s="138"/>
      <c r="V158" s="138"/>
      <c r="W158" s="138"/>
      <c r="X158" s="138"/>
      <c r="Y158" s="138"/>
      <c r="Z158" s="138"/>
    </row>
    <row r="159" spans="4:26" x14ac:dyDescent="0.3">
      <c r="D159" s="136">
        <v>43</v>
      </c>
      <c r="E159" s="630"/>
      <c r="F159" s="630"/>
      <c r="G159" s="631"/>
      <c r="H159" s="631"/>
      <c r="I159" s="631"/>
      <c r="J159" s="138">
        <v>165.3</v>
      </c>
      <c r="K159" s="138">
        <v>176.1</v>
      </c>
      <c r="L159" s="138">
        <v>176.5</v>
      </c>
      <c r="M159" s="138">
        <v>192.5</v>
      </c>
      <c r="N159" s="138">
        <v>454.5</v>
      </c>
      <c r="O159" s="138">
        <v>478.6</v>
      </c>
      <c r="P159" s="138">
        <v>473</v>
      </c>
      <c r="Q159" s="138">
        <v>457.4</v>
      </c>
      <c r="R159" s="138"/>
      <c r="S159" s="138"/>
      <c r="T159" s="138">
        <v>171.1</v>
      </c>
      <c r="U159" s="138"/>
      <c r="V159" s="138"/>
      <c r="W159" s="138"/>
      <c r="X159" s="138"/>
      <c r="Y159" s="138"/>
      <c r="Z159" s="138"/>
    </row>
    <row r="160" spans="4:26" x14ac:dyDescent="0.3">
      <c r="D160" s="136">
        <v>44</v>
      </c>
      <c r="E160" s="630"/>
      <c r="F160" s="630"/>
      <c r="G160" s="631"/>
      <c r="H160" s="631"/>
      <c r="I160" s="631"/>
      <c r="J160" s="138">
        <v>165.7</v>
      </c>
      <c r="K160" s="138">
        <v>178.2</v>
      </c>
      <c r="L160" s="138">
        <v>179.6</v>
      </c>
      <c r="M160" s="138">
        <v>195.7</v>
      </c>
      <c r="N160" s="138">
        <v>459.7</v>
      </c>
      <c r="O160" s="138">
        <v>484.1</v>
      </c>
      <c r="P160" s="138">
        <v>478.3</v>
      </c>
      <c r="Q160" s="138">
        <v>463</v>
      </c>
      <c r="R160" s="138"/>
      <c r="S160" s="138"/>
      <c r="T160" s="138">
        <v>174.6</v>
      </c>
      <c r="U160" s="138"/>
      <c r="V160" s="138"/>
      <c r="W160" s="138"/>
      <c r="X160" s="138"/>
      <c r="Y160" s="138"/>
      <c r="Z160" s="138"/>
    </row>
    <row r="161" spans="4:26" x14ac:dyDescent="0.3">
      <c r="D161" s="136">
        <v>45</v>
      </c>
      <c r="E161" s="630"/>
      <c r="F161" s="630"/>
      <c r="G161" s="631"/>
      <c r="H161" s="631"/>
      <c r="I161" s="631"/>
      <c r="J161" s="138">
        <v>166.9</v>
      </c>
      <c r="K161" s="138">
        <v>181</v>
      </c>
      <c r="L161" s="138">
        <v>182.4</v>
      </c>
      <c r="M161" s="138">
        <v>196.9</v>
      </c>
      <c r="N161" s="138">
        <v>465</v>
      </c>
      <c r="O161" s="138">
        <v>489.7</v>
      </c>
      <c r="P161" s="138">
        <v>483.4</v>
      </c>
      <c r="Q161" s="138">
        <v>469</v>
      </c>
      <c r="R161" s="138"/>
      <c r="S161" s="138"/>
      <c r="T161" s="138">
        <v>175.2</v>
      </c>
      <c r="U161" s="138"/>
      <c r="V161" s="138"/>
      <c r="W161" s="138"/>
      <c r="X161" s="138"/>
      <c r="Y161" s="138"/>
      <c r="Z161" s="138"/>
    </row>
    <row r="162" spans="4:26" x14ac:dyDescent="0.3">
      <c r="D162" s="136">
        <v>46</v>
      </c>
      <c r="E162" s="630"/>
      <c r="F162" s="630"/>
      <c r="G162" s="631"/>
      <c r="H162" s="631"/>
      <c r="I162" s="631"/>
      <c r="J162" s="138">
        <v>167.3</v>
      </c>
      <c r="K162" s="138">
        <v>183.8</v>
      </c>
      <c r="L162" s="138">
        <v>184.7</v>
      </c>
      <c r="M162" s="138">
        <v>197.6</v>
      </c>
      <c r="N162" s="138">
        <v>470.1</v>
      </c>
      <c r="O162" s="138">
        <v>495.3</v>
      </c>
      <c r="P162" s="138">
        <v>488.6</v>
      </c>
      <c r="Q162" s="138">
        <v>474.6</v>
      </c>
      <c r="R162" s="138"/>
      <c r="S162" s="138"/>
      <c r="T162" s="138">
        <v>175.7</v>
      </c>
      <c r="U162" s="138"/>
      <c r="V162" s="138"/>
      <c r="W162" s="138"/>
      <c r="X162" s="138"/>
      <c r="Y162" s="138"/>
      <c r="Z162" s="138"/>
    </row>
    <row r="163" spans="4:26" x14ac:dyDescent="0.3">
      <c r="D163" s="136">
        <v>47</v>
      </c>
      <c r="E163" s="630"/>
      <c r="F163" s="630"/>
      <c r="G163" s="631"/>
      <c r="H163" s="631"/>
      <c r="I163" s="631"/>
      <c r="J163" s="138">
        <v>167.7</v>
      </c>
      <c r="K163" s="138">
        <v>186.7</v>
      </c>
      <c r="L163" s="138">
        <v>188.2</v>
      </c>
      <c r="M163" s="138">
        <v>201.3</v>
      </c>
      <c r="N163" s="138">
        <v>474.9</v>
      </c>
      <c r="O163" s="138">
        <v>500.3</v>
      </c>
      <c r="P163" s="138">
        <v>493.8</v>
      </c>
      <c r="Q163" s="138">
        <v>480.3</v>
      </c>
      <c r="R163" s="138"/>
      <c r="S163" s="138"/>
      <c r="T163" s="138">
        <v>177.4</v>
      </c>
      <c r="U163" s="138"/>
      <c r="V163" s="138"/>
      <c r="W163" s="138"/>
      <c r="X163" s="138"/>
      <c r="Y163" s="138"/>
      <c r="Z163" s="138"/>
    </row>
    <row r="164" spans="4:26" x14ac:dyDescent="0.3">
      <c r="D164" s="136">
        <v>48</v>
      </c>
      <c r="E164" s="630"/>
      <c r="F164" s="630"/>
      <c r="G164" s="631"/>
      <c r="H164" s="631"/>
      <c r="I164" s="631"/>
      <c r="J164" s="138">
        <v>170</v>
      </c>
      <c r="K164" s="138">
        <v>189.1</v>
      </c>
      <c r="L164" s="138">
        <v>189.8</v>
      </c>
      <c r="M164" s="138">
        <v>203.4</v>
      </c>
      <c r="N164" s="138">
        <v>479.9</v>
      </c>
      <c r="O164" s="138">
        <v>505.2</v>
      </c>
      <c r="P164" s="138">
        <v>498.7</v>
      </c>
      <c r="Q164" s="138">
        <v>486</v>
      </c>
      <c r="R164" s="138"/>
      <c r="S164" s="138"/>
      <c r="T164" s="138">
        <v>180</v>
      </c>
      <c r="U164" s="138"/>
      <c r="V164" s="138"/>
      <c r="W164" s="138"/>
      <c r="X164" s="138"/>
      <c r="Y164" s="138"/>
      <c r="Z164" s="138"/>
    </row>
    <row r="165" spans="4:26" x14ac:dyDescent="0.3">
      <c r="D165" s="136">
        <v>49</v>
      </c>
      <c r="E165" s="630"/>
      <c r="F165" s="630"/>
      <c r="G165" s="631"/>
      <c r="H165" s="631"/>
      <c r="I165" s="631"/>
      <c r="J165" s="138">
        <v>170.5</v>
      </c>
      <c r="K165" s="138">
        <v>191.8</v>
      </c>
      <c r="L165" s="138">
        <v>193.7</v>
      </c>
      <c r="M165" s="138">
        <v>205.5</v>
      </c>
      <c r="N165" s="138">
        <v>485</v>
      </c>
      <c r="O165" s="138">
        <v>510.2</v>
      </c>
      <c r="P165" s="138">
        <v>503.3</v>
      </c>
      <c r="Q165" s="138">
        <v>491.8</v>
      </c>
      <c r="R165" s="138"/>
      <c r="S165" s="138"/>
      <c r="T165" s="138">
        <v>182</v>
      </c>
      <c r="U165" s="138"/>
      <c r="V165" s="138"/>
      <c r="W165" s="138"/>
      <c r="X165" s="138"/>
      <c r="Y165" s="138"/>
      <c r="Z165" s="138"/>
    </row>
    <row r="166" spans="4:26" x14ac:dyDescent="0.3">
      <c r="D166" s="623">
        <v>50</v>
      </c>
      <c r="E166" s="630"/>
      <c r="F166" s="630"/>
      <c r="G166" s="631"/>
      <c r="H166" s="631"/>
      <c r="I166" s="631"/>
      <c r="J166" s="625">
        <v>170.9</v>
      </c>
      <c r="K166" s="625">
        <v>195.8</v>
      </c>
      <c r="L166" s="625">
        <v>196.6</v>
      </c>
      <c r="M166" s="625">
        <v>208.1</v>
      </c>
      <c r="N166" s="625">
        <v>490.4</v>
      </c>
      <c r="O166" s="625">
        <v>515.5</v>
      </c>
      <c r="P166" s="625">
        <v>507.9</v>
      </c>
      <c r="Q166" s="625">
        <v>497.3</v>
      </c>
      <c r="R166" s="625"/>
      <c r="S166" s="625"/>
      <c r="T166" s="625">
        <v>183.8</v>
      </c>
      <c r="U166" s="625"/>
      <c r="V166" s="625"/>
      <c r="W166" s="625"/>
      <c r="X166" s="625"/>
      <c r="Y166" s="625"/>
      <c r="Z166" s="625"/>
    </row>
    <row r="167" spans="4:26" x14ac:dyDescent="0.3">
      <c r="D167" s="136">
        <v>51</v>
      </c>
      <c r="E167" s="630"/>
      <c r="F167" s="630"/>
      <c r="G167" s="631"/>
      <c r="H167" s="631"/>
      <c r="I167" s="631"/>
      <c r="J167" s="138">
        <v>171.1</v>
      </c>
      <c r="K167" s="138">
        <v>197.1</v>
      </c>
      <c r="L167" s="138">
        <v>197.3</v>
      </c>
      <c r="M167" s="138">
        <v>210.6</v>
      </c>
      <c r="N167" s="138">
        <v>495.8</v>
      </c>
      <c r="O167" s="138">
        <v>520.79999999999995</v>
      </c>
      <c r="P167" s="138">
        <v>512.70000000000005</v>
      </c>
      <c r="Q167" s="138">
        <v>502.3</v>
      </c>
      <c r="R167" s="138"/>
      <c r="S167" s="138"/>
      <c r="T167" s="138">
        <v>185.9</v>
      </c>
      <c r="U167" s="138"/>
      <c r="V167" s="138"/>
      <c r="W167" s="138"/>
      <c r="X167" s="138"/>
      <c r="Y167" s="138"/>
      <c r="Z167" s="138"/>
    </row>
    <row r="168" spans="4:26" x14ac:dyDescent="0.3">
      <c r="D168" s="136">
        <v>52</v>
      </c>
      <c r="E168" s="630"/>
      <c r="F168" s="630"/>
      <c r="G168" s="631"/>
      <c r="H168" s="631"/>
      <c r="I168" s="631"/>
      <c r="J168" s="138">
        <v>171.3</v>
      </c>
      <c r="K168" s="138">
        <v>199</v>
      </c>
      <c r="L168" s="138">
        <v>200.3</v>
      </c>
      <c r="M168" s="138">
        <v>213.4</v>
      </c>
      <c r="N168" s="138">
        <v>500.3</v>
      </c>
      <c r="O168" s="138">
        <v>525.70000000000005</v>
      </c>
      <c r="P168" s="138">
        <v>517.6</v>
      </c>
      <c r="Q168" s="138">
        <v>507.4</v>
      </c>
      <c r="R168" s="138"/>
      <c r="S168" s="138"/>
      <c r="T168" s="138">
        <v>188.5</v>
      </c>
      <c r="U168" s="138"/>
      <c r="V168" s="138"/>
      <c r="W168" s="138"/>
      <c r="X168" s="138"/>
      <c r="Y168" s="138"/>
      <c r="Z168" s="138"/>
    </row>
    <row r="169" spans="4:26" x14ac:dyDescent="0.3">
      <c r="D169" s="136">
        <v>53</v>
      </c>
      <c r="E169" s="630"/>
      <c r="F169" s="630"/>
      <c r="G169" s="631"/>
      <c r="H169" s="631"/>
      <c r="I169" s="631"/>
      <c r="J169" s="138">
        <v>171.5</v>
      </c>
      <c r="K169" s="138">
        <v>202.6</v>
      </c>
      <c r="L169" s="138">
        <v>203</v>
      </c>
      <c r="M169" s="138">
        <v>216.2</v>
      </c>
      <c r="N169" s="138">
        <v>504.8</v>
      </c>
      <c r="O169" s="138">
        <v>530.4</v>
      </c>
      <c r="P169" s="138">
        <v>522.4</v>
      </c>
      <c r="Q169" s="138">
        <v>512.70000000000005</v>
      </c>
      <c r="R169" s="138"/>
      <c r="S169" s="138"/>
      <c r="T169" s="138">
        <v>189.6</v>
      </c>
      <c r="U169" s="138"/>
      <c r="V169" s="138"/>
      <c r="W169" s="138"/>
      <c r="X169" s="138"/>
      <c r="Y169" s="138"/>
      <c r="Z169" s="138"/>
    </row>
    <row r="170" spans="4:26" x14ac:dyDescent="0.3">
      <c r="D170" s="136">
        <v>54</v>
      </c>
      <c r="E170" s="630"/>
      <c r="F170" s="630"/>
      <c r="G170" s="631"/>
      <c r="H170" s="631"/>
      <c r="I170" s="631"/>
      <c r="J170" s="138">
        <v>171.7</v>
      </c>
      <c r="K170" s="138">
        <v>204.8</v>
      </c>
      <c r="L170" s="138">
        <v>205.3</v>
      </c>
      <c r="M170" s="138">
        <v>217.1</v>
      </c>
      <c r="N170" s="138">
        <v>509.4</v>
      </c>
      <c r="O170" s="138">
        <v>535.1</v>
      </c>
      <c r="P170" s="138">
        <v>526.79999999999995</v>
      </c>
      <c r="Q170" s="138">
        <v>518</v>
      </c>
      <c r="R170" s="138"/>
      <c r="S170" s="138"/>
      <c r="T170" s="138">
        <v>191.8</v>
      </c>
      <c r="U170" s="138"/>
      <c r="V170" s="138"/>
      <c r="W170" s="138"/>
      <c r="X170" s="138"/>
      <c r="Y170" s="138"/>
      <c r="Z170" s="138"/>
    </row>
    <row r="171" spans="4:26" x14ac:dyDescent="0.3">
      <c r="D171" s="136">
        <v>55</v>
      </c>
      <c r="E171" s="630"/>
      <c r="F171" s="630"/>
      <c r="G171" s="631"/>
      <c r="H171" s="631"/>
      <c r="I171" s="631"/>
      <c r="J171" s="138">
        <v>171.9</v>
      </c>
      <c r="K171" s="138">
        <v>207.7</v>
      </c>
      <c r="L171" s="138">
        <v>208.2</v>
      </c>
      <c r="M171" s="138">
        <v>219.4</v>
      </c>
      <c r="N171" s="138">
        <v>514.5</v>
      </c>
      <c r="O171" s="138">
        <v>539.6</v>
      </c>
      <c r="P171" s="138">
        <v>531.20000000000005</v>
      </c>
      <c r="Q171" s="138">
        <v>523.20000000000005</v>
      </c>
      <c r="R171" s="138"/>
      <c r="S171" s="138"/>
      <c r="T171" s="138">
        <v>194.9</v>
      </c>
      <c r="U171" s="138"/>
      <c r="V171" s="138"/>
      <c r="W171" s="138"/>
      <c r="X171" s="138"/>
      <c r="Y171" s="138"/>
      <c r="Z171" s="138"/>
    </row>
    <row r="172" spans="4:26" x14ac:dyDescent="0.3">
      <c r="D172" s="136">
        <v>56</v>
      </c>
      <c r="E172" s="630"/>
      <c r="F172" s="630"/>
      <c r="G172" s="631"/>
      <c r="H172" s="631"/>
      <c r="I172" s="631"/>
      <c r="J172" s="138">
        <v>172.1</v>
      </c>
      <c r="K172" s="138">
        <v>210.7</v>
      </c>
      <c r="L172" s="138">
        <v>211.1</v>
      </c>
      <c r="M172" s="138">
        <v>222.1</v>
      </c>
      <c r="N172" s="138">
        <v>519.70000000000005</v>
      </c>
      <c r="O172" s="138">
        <v>544.1</v>
      </c>
      <c r="P172" s="138">
        <v>535.4</v>
      </c>
      <c r="Q172" s="138">
        <v>528.1</v>
      </c>
      <c r="R172" s="138"/>
      <c r="S172" s="138"/>
      <c r="T172" s="138">
        <v>196.9</v>
      </c>
      <c r="U172" s="138"/>
      <c r="V172" s="138"/>
      <c r="W172" s="138"/>
      <c r="X172" s="138"/>
      <c r="Y172" s="138"/>
      <c r="Z172" s="138"/>
    </row>
    <row r="173" spans="4:26" x14ac:dyDescent="0.3">
      <c r="D173" s="136">
        <v>57</v>
      </c>
      <c r="E173" s="630"/>
      <c r="F173" s="630"/>
      <c r="G173" s="631"/>
      <c r="H173" s="631"/>
      <c r="I173" s="631"/>
      <c r="J173" s="138">
        <v>175</v>
      </c>
      <c r="K173" s="138">
        <v>213.9</v>
      </c>
      <c r="L173" s="138">
        <v>214.1</v>
      </c>
      <c r="M173" s="138">
        <v>225.2</v>
      </c>
      <c r="N173" s="138">
        <v>524.5</v>
      </c>
      <c r="O173" s="138">
        <v>548.5</v>
      </c>
      <c r="P173" s="138">
        <v>539.5</v>
      </c>
      <c r="Q173" s="138">
        <v>532.79999999999995</v>
      </c>
      <c r="R173" s="138"/>
      <c r="S173" s="138"/>
      <c r="T173" s="138">
        <v>197.4</v>
      </c>
      <c r="U173" s="138"/>
      <c r="V173" s="138"/>
      <c r="W173" s="138"/>
      <c r="X173" s="138"/>
      <c r="Y173" s="138"/>
      <c r="Z173" s="138"/>
    </row>
    <row r="174" spans="4:26" x14ac:dyDescent="0.3">
      <c r="D174" s="136">
        <v>58</v>
      </c>
      <c r="E174" s="630"/>
      <c r="F174" s="630"/>
      <c r="G174" s="631"/>
      <c r="H174" s="631"/>
      <c r="I174" s="631"/>
      <c r="J174" s="138">
        <v>176.2</v>
      </c>
      <c r="K174" s="138">
        <v>216.7</v>
      </c>
      <c r="L174" s="138">
        <v>216.8</v>
      </c>
      <c r="M174" s="138">
        <v>227.8</v>
      </c>
      <c r="N174" s="138">
        <v>529.1</v>
      </c>
      <c r="O174" s="138">
        <v>553</v>
      </c>
      <c r="P174" s="138">
        <v>543.5</v>
      </c>
      <c r="Q174" s="138">
        <v>537.4</v>
      </c>
      <c r="R174" s="138"/>
      <c r="S174" s="138"/>
      <c r="T174" s="138">
        <v>198.7</v>
      </c>
      <c r="U174" s="138"/>
      <c r="V174" s="138"/>
      <c r="W174" s="138"/>
      <c r="X174" s="138"/>
      <c r="Y174" s="138"/>
      <c r="Z174" s="138"/>
    </row>
    <row r="175" spans="4:26" x14ac:dyDescent="0.3">
      <c r="D175" s="136">
        <v>59</v>
      </c>
      <c r="E175" s="630"/>
      <c r="F175" s="630"/>
      <c r="G175" s="631"/>
      <c r="H175" s="631"/>
      <c r="I175" s="631"/>
      <c r="J175" s="138">
        <v>176.8</v>
      </c>
      <c r="K175" s="138">
        <v>218.3</v>
      </c>
      <c r="L175" s="138">
        <v>218.4</v>
      </c>
      <c r="M175" s="138">
        <v>230.1</v>
      </c>
      <c r="N175" s="138">
        <v>533.6</v>
      </c>
      <c r="O175" s="138">
        <v>557.29999999999995</v>
      </c>
      <c r="P175" s="138">
        <v>547.6</v>
      </c>
      <c r="Q175" s="138">
        <v>541.9</v>
      </c>
      <c r="R175" s="138"/>
      <c r="S175" s="138"/>
      <c r="T175" s="138">
        <v>202</v>
      </c>
      <c r="U175" s="138"/>
      <c r="V175" s="138"/>
      <c r="W175" s="138"/>
      <c r="X175" s="138"/>
      <c r="Y175" s="138"/>
      <c r="Z175" s="138"/>
    </row>
    <row r="176" spans="4:26" x14ac:dyDescent="0.3">
      <c r="D176" s="623">
        <v>60</v>
      </c>
      <c r="E176" s="630"/>
      <c r="F176" s="630"/>
      <c r="G176" s="631"/>
      <c r="H176" s="631"/>
      <c r="I176" s="631"/>
      <c r="J176" s="625">
        <v>179.6</v>
      </c>
      <c r="K176" s="625">
        <v>221.3</v>
      </c>
      <c r="L176" s="625">
        <v>221.3</v>
      </c>
      <c r="M176" s="625">
        <v>232.8</v>
      </c>
      <c r="N176" s="625">
        <v>538</v>
      </c>
      <c r="O176" s="625">
        <v>561.4</v>
      </c>
      <c r="P176" s="625">
        <v>551.70000000000005</v>
      </c>
      <c r="Q176" s="625">
        <v>546.4</v>
      </c>
      <c r="R176" s="625"/>
      <c r="S176" s="625"/>
      <c r="T176" s="625">
        <v>203.6</v>
      </c>
      <c r="U176" s="625"/>
      <c r="V176" s="625"/>
      <c r="W176" s="625"/>
      <c r="X176" s="625"/>
      <c r="Y176" s="625"/>
      <c r="Z176" s="625"/>
    </row>
    <row r="177" spans="4:26" x14ac:dyDescent="0.3">
      <c r="D177" s="136">
        <v>61</v>
      </c>
      <c r="E177" s="630"/>
      <c r="F177" s="630"/>
      <c r="G177" s="631"/>
      <c r="H177" s="631"/>
      <c r="I177" s="631"/>
      <c r="J177" s="138">
        <v>183.6</v>
      </c>
      <c r="K177" s="138">
        <v>225.1</v>
      </c>
      <c r="L177" s="138">
        <v>224.9</v>
      </c>
      <c r="M177" s="138">
        <v>235.6</v>
      </c>
      <c r="N177" s="138">
        <v>542.5</v>
      </c>
      <c r="O177" s="138">
        <v>565.29999999999995</v>
      </c>
      <c r="P177" s="138">
        <v>555.70000000000005</v>
      </c>
      <c r="Q177" s="138">
        <v>550.9</v>
      </c>
      <c r="R177" s="138"/>
      <c r="S177" s="138"/>
      <c r="T177" s="138">
        <v>205.4</v>
      </c>
      <c r="U177" s="138"/>
      <c r="V177" s="138"/>
      <c r="W177" s="138"/>
      <c r="X177" s="138"/>
      <c r="Y177" s="138"/>
      <c r="Z177" s="138"/>
    </row>
    <row r="178" spans="4:26" x14ac:dyDescent="0.3">
      <c r="D178" s="136">
        <v>62</v>
      </c>
      <c r="E178" s="630"/>
      <c r="F178" s="630"/>
      <c r="G178" s="631"/>
      <c r="H178" s="631"/>
      <c r="I178" s="631"/>
      <c r="J178" s="138">
        <v>188</v>
      </c>
      <c r="K178" s="138">
        <v>228.1</v>
      </c>
      <c r="L178" s="138">
        <v>227.9</v>
      </c>
      <c r="M178" s="138">
        <v>236.7</v>
      </c>
      <c r="N178" s="138">
        <v>547</v>
      </c>
      <c r="O178" s="138">
        <v>569</v>
      </c>
      <c r="P178" s="138">
        <v>559.4</v>
      </c>
      <c r="Q178" s="138">
        <v>555.29999999999995</v>
      </c>
      <c r="R178" s="138"/>
      <c r="S178" s="138"/>
      <c r="T178" s="138">
        <v>207.9</v>
      </c>
      <c r="U178" s="138"/>
      <c r="V178" s="138"/>
      <c r="W178" s="138"/>
      <c r="X178" s="138"/>
      <c r="Y178" s="138"/>
      <c r="Z178" s="138"/>
    </row>
    <row r="179" spans="4:26" x14ac:dyDescent="0.3">
      <c r="D179" s="136">
        <v>63</v>
      </c>
      <c r="E179" s="630"/>
      <c r="F179" s="630"/>
      <c r="G179" s="631"/>
      <c r="H179" s="631"/>
      <c r="I179" s="631"/>
      <c r="J179" s="138">
        <v>190.6</v>
      </c>
      <c r="K179" s="138">
        <v>230.7</v>
      </c>
      <c r="L179" s="138">
        <v>230.4</v>
      </c>
      <c r="M179" s="138">
        <v>239.9</v>
      </c>
      <c r="N179" s="138">
        <v>551.6</v>
      </c>
      <c r="O179" s="138">
        <v>572.5</v>
      </c>
      <c r="P179" s="138">
        <v>563</v>
      </c>
      <c r="Q179" s="138">
        <v>559.4</v>
      </c>
      <c r="R179" s="138"/>
      <c r="S179" s="138"/>
      <c r="T179" s="138">
        <v>210.2</v>
      </c>
      <c r="U179" s="138"/>
      <c r="V179" s="138"/>
      <c r="W179" s="138"/>
      <c r="X179" s="138"/>
      <c r="Y179" s="138"/>
      <c r="Z179" s="138"/>
    </row>
    <row r="180" spans="4:26" x14ac:dyDescent="0.3">
      <c r="D180" s="136">
        <v>64</v>
      </c>
      <c r="E180" s="630"/>
      <c r="F180" s="630"/>
      <c r="G180" s="631"/>
      <c r="H180" s="631"/>
      <c r="I180" s="631"/>
      <c r="J180" s="138">
        <v>196.6</v>
      </c>
      <c r="K180" s="138">
        <v>234.9</v>
      </c>
      <c r="L180" s="138">
        <v>234</v>
      </c>
      <c r="M180" s="138">
        <v>243.5</v>
      </c>
      <c r="N180" s="138">
        <v>556.20000000000005</v>
      </c>
      <c r="O180" s="138">
        <v>576.20000000000005</v>
      </c>
      <c r="P180" s="138">
        <v>566.5</v>
      </c>
      <c r="Q180" s="138">
        <v>563.4</v>
      </c>
      <c r="R180" s="138"/>
      <c r="S180" s="138"/>
      <c r="T180" s="138">
        <v>212.8</v>
      </c>
      <c r="U180" s="138"/>
      <c r="V180" s="138"/>
      <c r="W180" s="138"/>
      <c r="X180" s="138"/>
      <c r="Y180" s="138"/>
      <c r="Z180" s="138"/>
    </row>
    <row r="181" spans="4:26" x14ac:dyDescent="0.3">
      <c r="D181" s="136">
        <v>65</v>
      </c>
      <c r="E181" s="630"/>
      <c r="F181" s="630"/>
      <c r="G181" s="631"/>
      <c r="H181" s="631"/>
      <c r="I181" s="631"/>
      <c r="J181" s="138">
        <v>199.7</v>
      </c>
      <c r="K181" s="138">
        <v>236.3</v>
      </c>
      <c r="L181" s="138">
        <v>236.1</v>
      </c>
      <c r="M181" s="138">
        <v>246.6</v>
      </c>
      <c r="N181" s="138">
        <v>560.4</v>
      </c>
      <c r="O181" s="138">
        <v>580</v>
      </c>
      <c r="P181" s="138">
        <v>569.79999999999995</v>
      </c>
      <c r="Q181" s="138">
        <v>567.29999999999995</v>
      </c>
      <c r="R181" s="138"/>
      <c r="S181" s="138"/>
      <c r="T181" s="138">
        <v>215.6</v>
      </c>
      <c r="U181" s="138"/>
      <c r="V181" s="138"/>
      <c r="W181" s="138"/>
      <c r="X181" s="138"/>
      <c r="Y181" s="138"/>
      <c r="Z181" s="138"/>
    </row>
    <row r="182" spans="4:26" x14ac:dyDescent="0.3">
      <c r="D182" s="136">
        <v>66</v>
      </c>
      <c r="E182" s="630"/>
      <c r="F182" s="630"/>
      <c r="G182" s="631"/>
      <c r="H182" s="631"/>
      <c r="I182" s="631"/>
      <c r="J182" s="138">
        <v>204.5</v>
      </c>
      <c r="K182" s="138">
        <v>239.4</v>
      </c>
      <c r="L182" s="138">
        <v>238.4</v>
      </c>
      <c r="M182" s="138">
        <v>249.5</v>
      </c>
      <c r="N182" s="138">
        <v>564.5</v>
      </c>
      <c r="O182" s="138">
        <v>583.70000000000005</v>
      </c>
      <c r="P182" s="138">
        <v>573.1</v>
      </c>
      <c r="Q182" s="138">
        <v>570.9</v>
      </c>
      <c r="R182" s="138"/>
      <c r="S182" s="138"/>
      <c r="T182" s="138">
        <v>217</v>
      </c>
      <c r="U182" s="138"/>
      <c r="V182" s="138"/>
      <c r="W182" s="138"/>
      <c r="X182" s="138"/>
      <c r="Y182" s="138"/>
      <c r="Z182" s="138"/>
    </row>
    <row r="183" spans="4:26" x14ac:dyDescent="0.3">
      <c r="D183" s="136">
        <v>67</v>
      </c>
      <c r="E183" s="630"/>
      <c r="F183" s="630"/>
      <c r="G183" s="631"/>
      <c r="H183" s="631"/>
      <c r="I183" s="631"/>
      <c r="J183" s="138">
        <v>209.8</v>
      </c>
      <c r="K183" s="138">
        <v>243.5</v>
      </c>
      <c r="L183" s="138">
        <v>242.6</v>
      </c>
      <c r="M183" s="138">
        <v>253.1</v>
      </c>
      <c r="N183" s="138">
        <v>568.4</v>
      </c>
      <c r="O183" s="138">
        <v>587.5</v>
      </c>
      <c r="P183" s="138">
        <v>576.5</v>
      </c>
      <c r="Q183" s="138">
        <v>574.5</v>
      </c>
      <c r="R183" s="138"/>
      <c r="S183" s="138"/>
      <c r="T183" s="138">
        <v>217.9</v>
      </c>
      <c r="U183" s="138"/>
      <c r="V183" s="138"/>
      <c r="W183" s="138"/>
      <c r="X183" s="138"/>
      <c r="Y183" s="138"/>
      <c r="Z183" s="138"/>
    </row>
    <row r="184" spans="4:26" x14ac:dyDescent="0.3">
      <c r="D184" s="136">
        <v>68</v>
      </c>
      <c r="E184" s="630"/>
      <c r="F184" s="630"/>
      <c r="G184" s="631"/>
      <c r="H184" s="631"/>
      <c r="I184" s="631"/>
      <c r="J184" s="138">
        <v>215.5</v>
      </c>
      <c r="K184" s="138">
        <v>247.2</v>
      </c>
      <c r="L184" s="138">
        <v>246.2</v>
      </c>
      <c r="M184" s="138">
        <v>254.9</v>
      </c>
      <c r="N184" s="138">
        <v>572.1</v>
      </c>
      <c r="O184" s="138">
        <v>591.29999999999995</v>
      </c>
      <c r="P184" s="138">
        <v>579.9</v>
      </c>
      <c r="Q184" s="138">
        <v>578.29999999999995</v>
      </c>
      <c r="R184" s="138"/>
      <c r="S184" s="138"/>
      <c r="T184" s="138">
        <v>220.2</v>
      </c>
      <c r="U184" s="138"/>
      <c r="V184" s="138"/>
      <c r="W184" s="138"/>
      <c r="X184" s="138"/>
      <c r="Y184" s="138"/>
      <c r="Z184" s="138"/>
    </row>
    <row r="185" spans="4:26" x14ac:dyDescent="0.3">
      <c r="D185" s="136">
        <v>69</v>
      </c>
      <c r="E185" s="630"/>
      <c r="F185" s="630"/>
      <c r="G185" s="631"/>
      <c r="H185" s="631"/>
      <c r="I185" s="631"/>
      <c r="J185" s="138">
        <v>219</v>
      </c>
      <c r="K185" s="138">
        <v>250.7</v>
      </c>
      <c r="L185" s="138">
        <v>249.6</v>
      </c>
      <c r="M185" s="138">
        <v>257.10000000000002</v>
      </c>
      <c r="N185" s="138">
        <v>575.9</v>
      </c>
      <c r="O185" s="138">
        <v>595</v>
      </c>
      <c r="P185" s="138">
        <v>583.4</v>
      </c>
      <c r="Q185" s="138">
        <v>582.1</v>
      </c>
      <c r="R185" s="138"/>
      <c r="S185" s="138"/>
      <c r="T185" s="138">
        <v>223.2</v>
      </c>
      <c r="U185" s="138"/>
      <c r="V185" s="138"/>
      <c r="W185" s="138"/>
      <c r="X185" s="138"/>
      <c r="Y185" s="138"/>
      <c r="Z185" s="138"/>
    </row>
    <row r="186" spans="4:26" x14ac:dyDescent="0.3">
      <c r="D186" s="623">
        <v>70</v>
      </c>
      <c r="E186" s="630"/>
      <c r="F186" s="630"/>
      <c r="G186" s="631"/>
      <c r="H186" s="631"/>
      <c r="I186" s="631"/>
      <c r="J186" s="625">
        <v>225</v>
      </c>
      <c r="K186" s="625">
        <v>254.5</v>
      </c>
      <c r="L186" s="625">
        <v>253.6</v>
      </c>
      <c r="M186" s="625">
        <v>260.89999999999998</v>
      </c>
      <c r="N186" s="625">
        <v>579.70000000000005</v>
      </c>
      <c r="O186" s="625">
        <v>598.70000000000005</v>
      </c>
      <c r="P186" s="625">
        <v>586.9</v>
      </c>
      <c r="Q186" s="625">
        <v>586</v>
      </c>
      <c r="R186" s="625"/>
      <c r="S186" s="625"/>
      <c r="T186" s="625">
        <v>226</v>
      </c>
      <c r="U186" s="625"/>
      <c r="V186" s="625"/>
      <c r="W186" s="625"/>
      <c r="X186" s="625"/>
      <c r="Y186" s="625"/>
      <c r="Z186" s="625"/>
    </row>
    <row r="187" spans="4:26" x14ac:dyDescent="0.3">
      <c r="D187" s="136">
        <v>71</v>
      </c>
      <c r="E187" s="630"/>
      <c r="F187" s="630"/>
      <c r="G187" s="631"/>
      <c r="H187" s="631"/>
      <c r="I187" s="631"/>
      <c r="J187" s="138">
        <v>230.1</v>
      </c>
      <c r="K187" s="138">
        <v>256.2</v>
      </c>
      <c r="L187" s="138">
        <v>255.3</v>
      </c>
      <c r="M187" s="138">
        <v>264.2</v>
      </c>
      <c r="N187" s="138">
        <v>583.5</v>
      </c>
      <c r="O187" s="138">
        <v>602.6</v>
      </c>
      <c r="P187" s="138">
        <v>590.5</v>
      </c>
      <c r="Q187" s="138">
        <v>589.79999999999995</v>
      </c>
      <c r="R187" s="138"/>
      <c r="S187" s="138"/>
      <c r="T187" s="138">
        <v>228.7</v>
      </c>
      <c r="U187" s="138"/>
      <c r="V187" s="138"/>
      <c r="W187" s="138"/>
      <c r="X187" s="138"/>
      <c r="Y187" s="138"/>
      <c r="Z187" s="138"/>
    </row>
    <row r="188" spans="4:26" x14ac:dyDescent="0.3">
      <c r="D188" s="136">
        <v>72</v>
      </c>
      <c r="E188" s="630"/>
      <c r="F188" s="630"/>
      <c r="G188" s="631"/>
      <c r="H188" s="631"/>
      <c r="I188" s="631"/>
      <c r="J188" s="138">
        <v>235.7</v>
      </c>
      <c r="K188" s="138">
        <v>260.39999999999998</v>
      </c>
      <c r="L188" s="138">
        <v>258.7</v>
      </c>
      <c r="M188" s="138">
        <v>266.8</v>
      </c>
      <c r="N188" s="138">
        <v>587.29999999999995</v>
      </c>
      <c r="O188" s="138">
        <v>606.70000000000005</v>
      </c>
      <c r="P188" s="138">
        <v>594</v>
      </c>
      <c r="Q188" s="138">
        <v>593.70000000000005</v>
      </c>
      <c r="R188" s="138"/>
      <c r="S188" s="138"/>
      <c r="T188" s="138">
        <v>230.8</v>
      </c>
      <c r="U188" s="138"/>
      <c r="V188" s="138"/>
      <c r="W188" s="138"/>
      <c r="X188" s="138"/>
      <c r="Y188" s="138"/>
      <c r="Z188" s="138"/>
    </row>
    <row r="189" spans="4:26" x14ac:dyDescent="0.3">
      <c r="D189" s="136">
        <v>73</v>
      </c>
      <c r="E189" s="630"/>
      <c r="F189" s="630"/>
      <c r="G189" s="631"/>
      <c r="H189" s="631"/>
      <c r="I189" s="631"/>
      <c r="J189" s="138">
        <v>240</v>
      </c>
      <c r="K189" s="138">
        <v>264.39999999999998</v>
      </c>
      <c r="L189" s="138">
        <v>263</v>
      </c>
      <c r="M189" s="138">
        <v>270.7</v>
      </c>
      <c r="N189" s="138">
        <v>591</v>
      </c>
      <c r="O189" s="138">
        <v>610.79999999999995</v>
      </c>
      <c r="P189" s="138">
        <v>597.5</v>
      </c>
      <c r="Q189" s="138">
        <v>597.6</v>
      </c>
      <c r="R189" s="138"/>
      <c r="S189" s="138"/>
      <c r="T189" s="138">
        <v>234.3</v>
      </c>
      <c r="U189" s="138"/>
      <c r="V189" s="138"/>
      <c r="W189" s="138"/>
      <c r="X189" s="138"/>
      <c r="Y189" s="138"/>
      <c r="Z189" s="138"/>
    </row>
    <row r="190" spans="4:26" x14ac:dyDescent="0.3">
      <c r="D190" s="139">
        <v>74</v>
      </c>
      <c r="E190" s="632"/>
      <c r="F190" s="632"/>
      <c r="G190" s="633"/>
      <c r="H190" s="633"/>
      <c r="I190" s="633"/>
      <c r="J190" s="123">
        <v>246.8</v>
      </c>
      <c r="K190" s="123">
        <v>267.60000000000002</v>
      </c>
      <c r="L190" s="123">
        <v>265.89999999999998</v>
      </c>
      <c r="M190" s="123">
        <v>272.39999999999998</v>
      </c>
      <c r="N190" s="123">
        <v>594.79999999999995</v>
      </c>
      <c r="O190" s="123">
        <v>614.9</v>
      </c>
      <c r="P190" s="123">
        <v>601.20000000000005</v>
      </c>
      <c r="Q190" s="123">
        <v>601.70000000000005</v>
      </c>
      <c r="R190" s="123"/>
      <c r="S190" s="123"/>
      <c r="T190" s="123">
        <v>236.1</v>
      </c>
      <c r="U190" s="123"/>
      <c r="V190" s="123"/>
      <c r="W190" s="123"/>
      <c r="X190" s="123"/>
      <c r="Y190" s="123"/>
      <c r="Z190" s="123"/>
    </row>
    <row r="191" spans="4:26" x14ac:dyDescent="0.3">
      <c r="D191" s="136">
        <v>75</v>
      </c>
      <c r="E191" s="630"/>
      <c r="F191" s="630"/>
      <c r="G191" s="634"/>
      <c r="H191" s="634"/>
      <c r="I191" s="634"/>
      <c r="J191" s="121">
        <v>253.2</v>
      </c>
      <c r="K191" s="121">
        <v>271.60000000000002</v>
      </c>
      <c r="L191" s="121">
        <v>269.89999999999998</v>
      </c>
      <c r="M191" s="121">
        <v>276.39999999999998</v>
      </c>
      <c r="N191" s="121">
        <v>598.5</v>
      </c>
      <c r="O191" s="121">
        <v>619.4</v>
      </c>
      <c r="P191" s="121">
        <v>605.1</v>
      </c>
      <c r="Q191" s="121">
        <v>606</v>
      </c>
      <c r="R191" s="121"/>
      <c r="S191" s="121"/>
      <c r="T191" s="121">
        <v>237.5</v>
      </c>
      <c r="U191" s="121"/>
      <c r="V191" s="121"/>
      <c r="W191" s="121"/>
      <c r="X191" s="121"/>
      <c r="Y191" s="121"/>
      <c r="Z191" s="121"/>
    </row>
    <row r="192" spans="4:26" x14ac:dyDescent="0.3">
      <c r="D192" s="136">
        <v>76</v>
      </c>
      <c r="E192" s="630"/>
      <c r="F192" s="630"/>
      <c r="G192" s="634"/>
      <c r="H192" s="634"/>
      <c r="I192" s="634"/>
      <c r="J192" s="121">
        <v>257</v>
      </c>
      <c r="K192" s="121">
        <v>274.39999999999998</v>
      </c>
      <c r="L192" s="121">
        <v>272.3</v>
      </c>
      <c r="M192" s="121">
        <v>280.2</v>
      </c>
      <c r="N192" s="121">
        <v>602.4</v>
      </c>
      <c r="O192" s="121">
        <v>623.9</v>
      </c>
      <c r="P192" s="121">
        <v>609</v>
      </c>
      <c r="Q192" s="121">
        <v>610.5</v>
      </c>
      <c r="R192" s="121"/>
      <c r="S192" s="121"/>
      <c r="T192" s="121">
        <v>241</v>
      </c>
      <c r="U192" s="121"/>
      <c r="V192" s="121"/>
      <c r="W192" s="121"/>
      <c r="X192" s="121"/>
      <c r="Y192" s="121"/>
      <c r="Z192" s="121"/>
    </row>
    <row r="193" spans="4:26" x14ac:dyDescent="0.3">
      <c r="D193" s="136">
        <v>77</v>
      </c>
      <c r="E193" s="630"/>
      <c r="F193" s="630"/>
      <c r="G193" s="634"/>
      <c r="H193" s="634"/>
      <c r="I193" s="634"/>
      <c r="J193" s="121">
        <v>264</v>
      </c>
      <c r="K193" s="121">
        <v>279.3</v>
      </c>
      <c r="L193" s="121">
        <v>276.60000000000002</v>
      </c>
      <c r="M193" s="121">
        <v>283.60000000000002</v>
      </c>
      <c r="N193" s="121">
        <v>606.29999999999995</v>
      </c>
      <c r="O193" s="121">
        <v>628.5</v>
      </c>
      <c r="P193" s="121">
        <v>613</v>
      </c>
      <c r="Q193" s="121">
        <v>615</v>
      </c>
      <c r="R193" s="121"/>
      <c r="S193" s="121"/>
      <c r="T193" s="121">
        <v>245.2</v>
      </c>
      <c r="U193" s="121"/>
      <c r="V193" s="121"/>
      <c r="W193" s="121"/>
      <c r="X193" s="121"/>
      <c r="Y193" s="121"/>
      <c r="Z193" s="121"/>
    </row>
    <row r="194" spans="4:26" x14ac:dyDescent="0.3">
      <c r="D194" s="136">
        <v>78</v>
      </c>
      <c r="E194" s="630"/>
      <c r="F194" s="630"/>
      <c r="G194" s="634"/>
      <c r="H194" s="634"/>
      <c r="I194" s="634"/>
      <c r="J194" s="121">
        <v>269.39999999999998</v>
      </c>
      <c r="K194" s="121">
        <v>283.10000000000002</v>
      </c>
      <c r="L194" s="121">
        <v>280.89999999999998</v>
      </c>
      <c r="M194" s="121">
        <v>287.39999999999998</v>
      </c>
      <c r="N194" s="121">
        <v>610.29999999999995</v>
      </c>
      <c r="O194" s="121">
        <v>633</v>
      </c>
      <c r="P194" s="121">
        <v>617.20000000000005</v>
      </c>
      <c r="Q194" s="121">
        <v>620</v>
      </c>
      <c r="R194" s="121"/>
      <c r="S194" s="121"/>
      <c r="T194" s="121">
        <v>248.4</v>
      </c>
      <c r="U194" s="121"/>
      <c r="V194" s="121"/>
      <c r="W194" s="121"/>
      <c r="X194" s="121"/>
      <c r="Y194" s="121"/>
      <c r="Z194" s="121"/>
    </row>
    <row r="195" spans="4:26" x14ac:dyDescent="0.3">
      <c r="D195" s="136">
        <v>79</v>
      </c>
      <c r="E195" s="630"/>
      <c r="F195" s="630"/>
      <c r="G195" s="634"/>
      <c r="H195" s="634"/>
      <c r="I195" s="634"/>
      <c r="J195" s="121">
        <v>274.39999999999998</v>
      </c>
      <c r="K195" s="121">
        <v>287.5</v>
      </c>
      <c r="L195" s="121">
        <v>285.10000000000002</v>
      </c>
      <c r="M195" s="121">
        <v>290.39999999999998</v>
      </c>
      <c r="N195" s="121">
        <v>614.4</v>
      </c>
      <c r="O195" s="121">
        <v>637.9</v>
      </c>
      <c r="P195" s="121">
        <v>621.6</v>
      </c>
      <c r="Q195" s="121">
        <v>625.1</v>
      </c>
      <c r="R195" s="121"/>
      <c r="S195" s="121"/>
      <c r="T195" s="121">
        <v>251.8</v>
      </c>
      <c r="U195" s="121"/>
      <c r="V195" s="121"/>
      <c r="W195" s="121"/>
      <c r="X195" s="121"/>
      <c r="Y195" s="121"/>
      <c r="Z195" s="121"/>
    </row>
    <row r="196" spans="4:26" x14ac:dyDescent="0.3">
      <c r="D196" s="623">
        <v>80</v>
      </c>
      <c r="E196" s="630"/>
      <c r="F196" s="630"/>
      <c r="G196" s="634"/>
      <c r="H196" s="634"/>
      <c r="I196" s="634"/>
      <c r="J196" s="627">
        <v>281.7</v>
      </c>
      <c r="K196" s="627">
        <v>291.2</v>
      </c>
      <c r="L196" s="627">
        <v>288.2</v>
      </c>
      <c r="M196" s="627">
        <v>295.10000000000002</v>
      </c>
      <c r="N196" s="627">
        <v>618.6</v>
      </c>
      <c r="O196" s="627">
        <v>643.20000000000005</v>
      </c>
      <c r="P196" s="627">
        <v>626.1</v>
      </c>
      <c r="Q196" s="627">
        <v>630.29999999999995</v>
      </c>
      <c r="R196" s="627"/>
      <c r="S196" s="627"/>
      <c r="T196" s="627">
        <v>254.8</v>
      </c>
      <c r="U196" s="627"/>
      <c r="V196" s="627"/>
      <c r="W196" s="627"/>
      <c r="X196" s="627"/>
      <c r="Y196" s="627"/>
      <c r="Z196" s="627"/>
    </row>
    <row r="197" spans="4:26" x14ac:dyDescent="0.3">
      <c r="D197" s="136">
        <v>81</v>
      </c>
      <c r="E197" s="630"/>
      <c r="F197" s="630"/>
      <c r="G197" s="634"/>
      <c r="H197" s="634"/>
      <c r="I197" s="634"/>
      <c r="J197" s="121">
        <v>287.89999999999998</v>
      </c>
      <c r="K197" s="121">
        <v>296</v>
      </c>
      <c r="L197" s="121">
        <v>293.3</v>
      </c>
      <c r="M197" s="121">
        <v>298.8</v>
      </c>
      <c r="N197" s="121">
        <v>623</v>
      </c>
      <c r="O197" s="121">
        <v>648.70000000000005</v>
      </c>
      <c r="P197" s="121">
        <v>630.70000000000005</v>
      </c>
      <c r="Q197" s="121">
        <v>635.70000000000005</v>
      </c>
      <c r="R197" s="121"/>
      <c r="S197" s="121"/>
      <c r="T197" s="121">
        <v>256.7</v>
      </c>
      <c r="U197" s="121"/>
      <c r="V197" s="121"/>
      <c r="W197" s="121"/>
      <c r="X197" s="121"/>
      <c r="Y197" s="121"/>
      <c r="Z197" s="121"/>
    </row>
    <row r="198" spans="4:26" x14ac:dyDescent="0.3">
      <c r="D198" s="136">
        <v>82</v>
      </c>
      <c r="E198" s="630"/>
      <c r="F198" s="630"/>
      <c r="G198" s="634"/>
      <c r="H198" s="634"/>
      <c r="I198" s="634"/>
      <c r="J198" s="121">
        <v>294.7</v>
      </c>
      <c r="K198" s="121">
        <v>301.10000000000002</v>
      </c>
      <c r="L198" s="121">
        <v>297.60000000000002</v>
      </c>
      <c r="M198" s="121">
        <v>302.7</v>
      </c>
      <c r="N198" s="121">
        <v>627.29999999999995</v>
      </c>
      <c r="O198" s="121">
        <v>654.1</v>
      </c>
      <c r="P198" s="121">
        <v>635.29999999999995</v>
      </c>
      <c r="Q198" s="121">
        <v>641.79999999999995</v>
      </c>
      <c r="R198" s="121"/>
      <c r="S198" s="121"/>
      <c r="T198" s="121">
        <v>261.2</v>
      </c>
      <c r="U198" s="121"/>
      <c r="V198" s="121"/>
      <c r="W198" s="121"/>
      <c r="X198" s="121"/>
      <c r="Y198" s="121"/>
      <c r="Z198" s="121"/>
    </row>
    <row r="199" spans="4:26" x14ac:dyDescent="0.3">
      <c r="D199" s="136">
        <v>83</v>
      </c>
      <c r="E199" s="630"/>
      <c r="F199" s="630"/>
      <c r="G199" s="634"/>
      <c r="H199" s="634"/>
      <c r="I199" s="634"/>
      <c r="J199" s="121">
        <v>301.8</v>
      </c>
      <c r="K199" s="121">
        <v>304.39999999999998</v>
      </c>
      <c r="L199" s="121">
        <v>302.5</v>
      </c>
      <c r="M199" s="121">
        <v>306.5</v>
      </c>
      <c r="N199" s="121">
        <v>631.70000000000005</v>
      </c>
      <c r="O199" s="121">
        <v>659.8</v>
      </c>
      <c r="P199" s="121">
        <v>640.4</v>
      </c>
      <c r="Q199" s="121">
        <v>648.5</v>
      </c>
      <c r="R199" s="121"/>
      <c r="S199" s="121"/>
      <c r="T199" s="121">
        <v>265.10000000000002</v>
      </c>
      <c r="U199" s="121"/>
      <c r="V199" s="121"/>
      <c r="W199" s="121"/>
      <c r="X199" s="121"/>
      <c r="Y199" s="121"/>
      <c r="Z199" s="121"/>
    </row>
    <row r="200" spans="4:26" x14ac:dyDescent="0.3">
      <c r="D200" s="136">
        <v>84</v>
      </c>
      <c r="E200" s="630"/>
      <c r="F200" s="630"/>
      <c r="G200" s="634"/>
      <c r="H200" s="634"/>
      <c r="I200" s="634"/>
      <c r="J200" s="121">
        <v>308.10000000000002</v>
      </c>
      <c r="K200" s="121">
        <v>309.89999999999998</v>
      </c>
      <c r="L200" s="121">
        <v>306.10000000000002</v>
      </c>
      <c r="M200" s="121">
        <v>311</v>
      </c>
      <c r="N200" s="121">
        <v>636.20000000000005</v>
      </c>
      <c r="O200" s="121">
        <v>667</v>
      </c>
      <c r="P200" s="121">
        <v>646</v>
      </c>
      <c r="Q200" s="121">
        <v>655.20000000000005</v>
      </c>
      <c r="R200" s="121"/>
      <c r="S200" s="121"/>
      <c r="T200" s="121">
        <v>269</v>
      </c>
      <c r="U200" s="121"/>
      <c r="V200" s="121"/>
      <c r="W200" s="121"/>
      <c r="X200" s="121"/>
      <c r="Y200" s="121"/>
      <c r="Z200" s="121"/>
    </row>
    <row r="201" spans="4:26" x14ac:dyDescent="0.3">
      <c r="D201" s="136">
        <v>85</v>
      </c>
      <c r="E201" s="630"/>
      <c r="F201" s="630"/>
      <c r="G201" s="634"/>
      <c r="H201" s="634"/>
      <c r="I201" s="634"/>
      <c r="J201" s="121">
        <v>315.8</v>
      </c>
      <c r="K201" s="121">
        <v>315.39999999999998</v>
      </c>
      <c r="L201" s="121">
        <v>311.3</v>
      </c>
      <c r="M201" s="121">
        <v>315.89999999999998</v>
      </c>
      <c r="N201" s="121">
        <v>641.1</v>
      </c>
      <c r="O201" s="121">
        <v>673.9</v>
      </c>
      <c r="P201" s="121">
        <v>651.70000000000005</v>
      </c>
      <c r="Q201" s="121">
        <v>663.5</v>
      </c>
      <c r="R201" s="121"/>
      <c r="S201" s="121"/>
      <c r="T201" s="121">
        <v>272.10000000000002</v>
      </c>
      <c r="U201" s="121"/>
      <c r="V201" s="121"/>
      <c r="W201" s="121"/>
      <c r="X201" s="121"/>
      <c r="Y201" s="121"/>
      <c r="Z201" s="121"/>
    </row>
    <row r="202" spans="4:26" x14ac:dyDescent="0.3">
      <c r="D202" s="136">
        <v>86</v>
      </c>
      <c r="E202" s="630"/>
      <c r="F202" s="630"/>
      <c r="G202" s="634"/>
      <c r="H202" s="634"/>
      <c r="I202" s="634"/>
      <c r="J202" s="121">
        <v>322.2</v>
      </c>
      <c r="K202" s="121">
        <v>319.60000000000002</v>
      </c>
      <c r="L202" s="121">
        <v>316.5</v>
      </c>
      <c r="M202" s="121">
        <v>319.8</v>
      </c>
      <c r="N202" s="121">
        <v>646.29999999999995</v>
      </c>
      <c r="O202" s="121">
        <v>682.1</v>
      </c>
      <c r="P202" s="121">
        <v>657.5</v>
      </c>
      <c r="Q202" s="121">
        <v>673.4</v>
      </c>
      <c r="R202" s="121"/>
      <c r="S202" s="121"/>
      <c r="T202" s="121">
        <v>276.7</v>
      </c>
      <c r="U202" s="121"/>
      <c r="V202" s="121"/>
      <c r="W202" s="121"/>
      <c r="X202" s="121"/>
      <c r="Y202" s="121"/>
      <c r="Z202" s="121"/>
    </row>
    <row r="203" spans="4:26" x14ac:dyDescent="0.3">
      <c r="D203" s="136">
        <v>87</v>
      </c>
      <c r="E203" s="630"/>
      <c r="F203" s="630"/>
      <c r="G203" s="634"/>
      <c r="H203" s="634"/>
      <c r="I203" s="634"/>
      <c r="J203" s="121">
        <v>330.3</v>
      </c>
      <c r="K203" s="121">
        <v>325.7</v>
      </c>
      <c r="L203" s="121">
        <v>321.39999999999998</v>
      </c>
      <c r="M203" s="121">
        <v>325.2</v>
      </c>
      <c r="N203" s="121">
        <v>651.4</v>
      </c>
      <c r="O203" s="121">
        <v>689.8</v>
      </c>
      <c r="P203" s="121">
        <v>665.3</v>
      </c>
      <c r="Q203" s="121">
        <v>685.9</v>
      </c>
      <c r="R203" s="121"/>
      <c r="S203" s="121"/>
      <c r="T203" s="121">
        <v>281.8</v>
      </c>
      <c r="U203" s="121"/>
      <c r="V203" s="121"/>
      <c r="W203" s="121"/>
      <c r="X203" s="121"/>
      <c r="Y203" s="121"/>
      <c r="Z203" s="121"/>
    </row>
    <row r="204" spans="4:26" x14ac:dyDescent="0.3">
      <c r="D204" s="136">
        <v>88</v>
      </c>
      <c r="E204" s="630"/>
      <c r="F204" s="630"/>
      <c r="G204" s="634"/>
      <c r="H204" s="634"/>
      <c r="I204" s="634"/>
      <c r="J204" s="121">
        <v>337.5</v>
      </c>
      <c r="K204" s="121">
        <v>331.2</v>
      </c>
      <c r="L204" s="121">
        <v>327.3</v>
      </c>
      <c r="M204" s="121">
        <v>330.5</v>
      </c>
      <c r="N204" s="121">
        <v>656.4</v>
      </c>
      <c r="O204" s="121">
        <v>697</v>
      </c>
      <c r="P204" s="121">
        <v>673.5</v>
      </c>
      <c r="Q204" s="121">
        <v>703.1</v>
      </c>
      <c r="R204" s="121"/>
      <c r="S204" s="121"/>
      <c r="T204" s="121">
        <v>287.3</v>
      </c>
      <c r="U204" s="121"/>
      <c r="V204" s="121"/>
      <c r="W204" s="121"/>
      <c r="X204" s="121"/>
      <c r="Y204" s="121"/>
      <c r="Z204" s="121"/>
    </row>
    <row r="205" spans="4:26" x14ac:dyDescent="0.3">
      <c r="D205" s="136">
        <v>89</v>
      </c>
      <c r="E205" s="630"/>
      <c r="F205" s="630"/>
      <c r="G205" s="634"/>
      <c r="H205" s="634"/>
      <c r="I205" s="634"/>
      <c r="J205" s="121">
        <v>345.3</v>
      </c>
      <c r="K205" s="121">
        <v>338</v>
      </c>
      <c r="L205" s="121">
        <v>332.8</v>
      </c>
      <c r="M205" s="121">
        <v>336.4</v>
      </c>
      <c r="N205" s="121">
        <v>662.9</v>
      </c>
      <c r="O205" s="121">
        <v>705</v>
      </c>
      <c r="P205" s="121">
        <v>683.4</v>
      </c>
      <c r="Q205" s="121"/>
      <c r="R205" s="121"/>
      <c r="S205" s="121"/>
      <c r="T205" s="121">
        <v>291.39999999999998</v>
      </c>
      <c r="U205" s="121"/>
      <c r="V205" s="121"/>
      <c r="W205" s="121"/>
      <c r="X205" s="121"/>
      <c r="Y205" s="121"/>
      <c r="Z205" s="121"/>
    </row>
    <row r="206" spans="4:26" x14ac:dyDescent="0.3">
      <c r="D206" s="623">
        <v>90</v>
      </c>
      <c r="E206" s="630"/>
      <c r="F206" s="630"/>
      <c r="G206" s="634"/>
      <c r="H206" s="634"/>
      <c r="I206" s="634"/>
      <c r="J206" s="627">
        <v>352.8</v>
      </c>
      <c r="K206" s="627">
        <v>344.7</v>
      </c>
      <c r="L206" s="627">
        <v>340</v>
      </c>
      <c r="M206" s="627">
        <v>343.1</v>
      </c>
      <c r="N206" s="627">
        <v>670.2</v>
      </c>
      <c r="O206" s="627">
        <v>713.3</v>
      </c>
      <c r="P206" s="627">
        <v>693.3</v>
      </c>
      <c r="Q206" s="627"/>
      <c r="R206" s="627"/>
      <c r="S206" s="627"/>
      <c r="T206" s="627">
        <v>297.5</v>
      </c>
      <c r="U206" s="627"/>
      <c r="V206" s="627"/>
      <c r="W206" s="627"/>
      <c r="X206" s="627"/>
      <c r="Y206" s="627"/>
      <c r="Z206" s="627"/>
    </row>
    <row r="207" spans="4:26" x14ac:dyDescent="0.3">
      <c r="D207" s="136">
        <v>91</v>
      </c>
      <c r="E207" s="630"/>
      <c r="F207" s="630"/>
      <c r="G207" s="635"/>
      <c r="H207" s="635"/>
      <c r="I207" s="635"/>
      <c r="J207" s="121">
        <v>359.7</v>
      </c>
      <c r="K207" s="121">
        <v>351.5</v>
      </c>
      <c r="L207" s="121">
        <v>346.4</v>
      </c>
      <c r="M207" s="121">
        <v>349</v>
      </c>
      <c r="N207" s="121">
        <v>677.2</v>
      </c>
      <c r="O207" s="121">
        <v>721.8</v>
      </c>
      <c r="P207" s="121">
        <v>705.2</v>
      </c>
      <c r="Q207" s="121"/>
      <c r="R207" s="121"/>
      <c r="S207" s="121"/>
      <c r="T207" s="121">
        <v>303</v>
      </c>
      <c r="U207" s="121"/>
      <c r="V207" s="121"/>
      <c r="W207" s="121"/>
      <c r="X207" s="121"/>
      <c r="Y207" s="121"/>
      <c r="Z207" s="121"/>
    </row>
    <row r="208" spans="4:26" x14ac:dyDescent="0.3">
      <c r="D208" s="136">
        <v>92</v>
      </c>
      <c r="E208" s="630"/>
      <c r="F208" s="630"/>
      <c r="G208" s="635"/>
      <c r="H208" s="635"/>
      <c r="I208" s="635"/>
      <c r="J208" s="121">
        <v>368.2</v>
      </c>
      <c r="K208" s="121">
        <v>358.3</v>
      </c>
      <c r="L208" s="121">
        <v>354.1</v>
      </c>
      <c r="M208" s="121">
        <v>356.2</v>
      </c>
      <c r="N208" s="121">
        <v>685.2</v>
      </c>
      <c r="O208" s="121">
        <v>730.5</v>
      </c>
      <c r="P208" s="121">
        <v>724.8</v>
      </c>
      <c r="Q208" s="121"/>
      <c r="R208" s="121"/>
      <c r="S208" s="121"/>
      <c r="T208" s="121">
        <v>309.7</v>
      </c>
      <c r="U208" s="121"/>
      <c r="V208" s="121"/>
      <c r="W208" s="121"/>
      <c r="X208" s="121"/>
      <c r="Y208" s="121"/>
      <c r="Z208" s="121"/>
    </row>
    <row r="209" spans="4:31" x14ac:dyDescent="0.3">
      <c r="D209" s="136">
        <v>93</v>
      </c>
      <c r="E209" s="630"/>
      <c r="F209" s="630"/>
      <c r="G209" s="635"/>
      <c r="H209" s="635"/>
      <c r="I209" s="635"/>
      <c r="J209" s="121">
        <v>375.8</v>
      </c>
      <c r="K209" s="121">
        <v>366.7</v>
      </c>
      <c r="L209" s="121">
        <v>361.9</v>
      </c>
      <c r="M209" s="121">
        <v>363.6</v>
      </c>
      <c r="N209" s="121">
        <v>692.9</v>
      </c>
      <c r="O209" s="121"/>
      <c r="P209" s="121"/>
      <c r="Q209" s="121"/>
      <c r="R209" s="121"/>
      <c r="S209" s="121"/>
      <c r="T209" s="121">
        <v>316.8</v>
      </c>
      <c r="U209" s="121"/>
      <c r="V209" s="121"/>
      <c r="W209" s="121"/>
      <c r="X209" s="121"/>
      <c r="Y209" s="121"/>
      <c r="Z209" s="121"/>
    </row>
    <row r="210" spans="4:31" x14ac:dyDescent="0.3">
      <c r="D210" s="136">
        <v>94</v>
      </c>
      <c r="E210" s="630"/>
      <c r="F210" s="630"/>
      <c r="G210" s="635"/>
      <c r="H210" s="635"/>
      <c r="I210" s="635"/>
      <c r="J210" s="121">
        <v>384.1</v>
      </c>
      <c r="K210" s="121">
        <v>375.1</v>
      </c>
      <c r="L210" s="121">
        <v>370.1</v>
      </c>
      <c r="M210" s="121">
        <v>371.8</v>
      </c>
      <c r="N210" s="121">
        <v>701.1</v>
      </c>
      <c r="O210" s="121"/>
      <c r="P210" s="121"/>
      <c r="Q210" s="121"/>
      <c r="R210" s="121"/>
      <c r="S210" s="121"/>
      <c r="T210" s="121">
        <v>325.3</v>
      </c>
      <c r="U210" s="121"/>
      <c r="V210" s="121"/>
      <c r="W210" s="121"/>
      <c r="X210" s="121"/>
      <c r="Y210" s="121"/>
      <c r="Z210" s="121"/>
    </row>
    <row r="211" spans="4:31" x14ac:dyDescent="0.3">
      <c r="D211" s="623">
        <v>95</v>
      </c>
      <c r="E211" s="630"/>
      <c r="F211" s="630"/>
      <c r="G211" s="635"/>
      <c r="H211" s="635"/>
      <c r="I211" s="635"/>
      <c r="J211" s="627">
        <v>393.3</v>
      </c>
      <c r="K211" s="627">
        <v>384.6</v>
      </c>
      <c r="L211" s="627">
        <v>380.3</v>
      </c>
      <c r="M211" s="627">
        <v>381.3</v>
      </c>
      <c r="N211" s="627">
        <v>709.2</v>
      </c>
      <c r="O211" s="627"/>
      <c r="P211" s="627"/>
      <c r="Q211" s="627"/>
      <c r="R211" s="627"/>
      <c r="S211" s="627"/>
      <c r="T211" s="627">
        <v>334.9</v>
      </c>
      <c r="U211" s="627"/>
      <c r="V211" s="627"/>
      <c r="W211" s="627"/>
      <c r="X211" s="627"/>
      <c r="Y211" s="627"/>
      <c r="Z211" s="627"/>
    </row>
    <row r="212" spans="4:31" x14ac:dyDescent="0.3">
      <c r="D212" s="136">
        <v>96</v>
      </c>
      <c r="E212" s="630"/>
      <c r="F212" s="630"/>
      <c r="G212" s="635"/>
      <c r="H212" s="635"/>
      <c r="I212" s="635"/>
      <c r="J212" s="121">
        <v>403.9</v>
      </c>
      <c r="K212" s="121">
        <v>395.5</v>
      </c>
      <c r="L212" s="121">
        <v>391.4</v>
      </c>
      <c r="M212" s="121">
        <v>392.4</v>
      </c>
      <c r="N212" s="121">
        <v>718.8</v>
      </c>
      <c r="O212" s="121"/>
      <c r="P212" s="121"/>
      <c r="Q212" s="121"/>
      <c r="R212" s="121"/>
      <c r="S212" s="121"/>
      <c r="T212" s="121">
        <v>346.4</v>
      </c>
      <c r="U212" s="121"/>
      <c r="V212" s="121"/>
      <c r="W212" s="121"/>
      <c r="X212" s="121"/>
      <c r="Y212" s="121"/>
      <c r="Z212" s="121"/>
    </row>
    <row r="213" spans="4:31" x14ac:dyDescent="0.3">
      <c r="D213" s="136">
        <v>97</v>
      </c>
      <c r="E213" s="630"/>
      <c r="F213" s="630"/>
      <c r="G213" s="635"/>
      <c r="H213" s="635"/>
      <c r="I213" s="635"/>
      <c r="J213" s="121">
        <v>416.6</v>
      </c>
      <c r="K213" s="121">
        <v>408.7</v>
      </c>
      <c r="L213" s="121">
        <v>404.6</v>
      </c>
      <c r="M213" s="121">
        <v>405.8</v>
      </c>
      <c r="N213" s="121">
        <v>729.2</v>
      </c>
      <c r="O213" s="121"/>
      <c r="P213" s="121"/>
      <c r="Q213" s="121"/>
      <c r="R213" s="121"/>
      <c r="S213" s="121"/>
      <c r="T213" s="121">
        <v>361</v>
      </c>
      <c r="U213" s="121"/>
      <c r="V213" s="121"/>
      <c r="W213" s="121"/>
      <c r="X213" s="121"/>
      <c r="Y213" s="121"/>
      <c r="Z213" s="121"/>
    </row>
    <row r="214" spans="4:31" x14ac:dyDescent="0.3">
      <c r="D214" s="136">
        <v>98</v>
      </c>
      <c r="E214" s="630"/>
      <c r="F214" s="630"/>
      <c r="G214" s="635"/>
      <c r="H214" s="635"/>
      <c r="I214" s="635"/>
      <c r="J214" s="121">
        <v>432.3</v>
      </c>
      <c r="K214" s="121">
        <v>425.2</v>
      </c>
      <c r="L214" s="121">
        <v>421.7</v>
      </c>
      <c r="M214" s="121">
        <v>422.8</v>
      </c>
      <c r="N214" s="121"/>
      <c r="O214" s="121"/>
      <c r="P214" s="121"/>
      <c r="Q214" s="121"/>
      <c r="R214" s="121"/>
      <c r="S214" s="121"/>
      <c r="T214" s="121">
        <v>380.1</v>
      </c>
      <c r="U214" s="121"/>
      <c r="V214" s="121"/>
      <c r="W214" s="121"/>
      <c r="X214" s="121"/>
      <c r="Y214" s="121"/>
      <c r="Z214" s="121"/>
    </row>
    <row r="215" spans="4:31" x14ac:dyDescent="0.3">
      <c r="D215" s="136">
        <v>99</v>
      </c>
      <c r="E215" s="630"/>
      <c r="F215" s="630"/>
      <c r="G215" s="635"/>
      <c r="H215" s="635"/>
      <c r="I215" s="635"/>
      <c r="J215" s="121">
        <v>454.8</v>
      </c>
      <c r="K215" s="121">
        <v>449.4</v>
      </c>
      <c r="L215" s="121">
        <v>446.5</v>
      </c>
      <c r="M215" s="121">
        <v>447.9</v>
      </c>
      <c r="N215" s="121"/>
      <c r="O215" s="121"/>
      <c r="P215" s="121"/>
      <c r="Q215" s="121"/>
      <c r="R215" s="121"/>
      <c r="S215" s="121"/>
      <c r="T215" s="121">
        <v>408.7</v>
      </c>
      <c r="U215" s="121"/>
      <c r="V215" s="121"/>
      <c r="W215" s="121"/>
      <c r="X215" s="121"/>
      <c r="Y215" s="121"/>
      <c r="Z215" s="121"/>
    </row>
    <row r="216" spans="4:31" x14ac:dyDescent="0.3">
      <c r="D216" s="623">
        <v>100</v>
      </c>
      <c r="E216" s="630"/>
      <c r="F216" s="630"/>
      <c r="G216" s="635"/>
      <c r="H216" s="635"/>
      <c r="I216" s="635"/>
      <c r="J216" s="627">
        <v>473</v>
      </c>
      <c r="K216" s="627">
        <v>468.4</v>
      </c>
      <c r="L216" s="627">
        <v>465.6</v>
      </c>
      <c r="M216" s="627">
        <v>466.8</v>
      </c>
      <c r="N216" s="627"/>
      <c r="O216" s="627"/>
      <c r="P216" s="627"/>
      <c r="Q216" s="627"/>
      <c r="R216" s="627"/>
      <c r="S216" s="627"/>
      <c r="T216" s="627">
        <v>432.2</v>
      </c>
      <c r="U216" s="627"/>
      <c r="V216" s="627"/>
      <c r="W216" s="627"/>
      <c r="X216" s="627"/>
      <c r="Y216" s="627"/>
      <c r="Z216" s="627"/>
    </row>
    <row r="219" spans="4:31" x14ac:dyDescent="0.3">
      <c r="J219" s="219" t="s">
        <v>94</v>
      </c>
      <c r="K219" s="13"/>
      <c r="L219" s="13"/>
      <c r="M219" s="129" t="s">
        <v>444</v>
      </c>
      <c r="N219" s="220" t="s">
        <v>358</v>
      </c>
      <c r="O219" s="13"/>
      <c r="P219" s="13"/>
      <c r="Q219" s="13"/>
      <c r="R219" s="844" t="s">
        <v>444</v>
      </c>
      <c r="S219" s="13"/>
      <c r="T219" s="219" t="s">
        <v>359</v>
      </c>
      <c r="U219" s="13"/>
      <c r="V219" s="13"/>
      <c r="W219" s="13"/>
      <c r="X219" s="13"/>
      <c r="Y219" s="13"/>
      <c r="Z219" s="103"/>
    </row>
    <row r="220" spans="4:31" x14ac:dyDescent="0.3">
      <c r="J220" s="212">
        <v>1</v>
      </c>
      <c r="K220" s="213">
        <v>2</v>
      </c>
      <c r="L220" s="213">
        <v>3</v>
      </c>
      <c r="M220" s="213">
        <v>4</v>
      </c>
      <c r="N220" s="212">
        <v>5</v>
      </c>
      <c r="O220" s="213">
        <v>6</v>
      </c>
      <c r="P220" s="215">
        <v>7</v>
      </c>
      <c r="Q220" s="215">
        <v>8</v>
      </c>
      <c r="R220" s="215">
        <v>9</v>
      </c>
      <c r="S220" s="215">
        <v>10</v>
      </c>
      <c r="T220" s="218">
        <v>11</v>
      </c>
      <c r="U220" s="215">
        <v>12</v>
      </c>
      <c r="V220" s="215">
        <v>13</v>
      </c>
      <c r="W220" s="215">
        <v>14</v>
      </c>
      <c r="X220" s="215">
        <v>15</v>
      </c>
      <c r="Y220" s="215">
        <v>16</v>
      </c>
      <c r="Z220" s="1609"/>
      <c r="AA220" s="1609"/>
      <c r="AB220" s="1609"/>
      <c r="AC220" s="1609"/>
      <c r="AD220" s="1609"/>
      <c r="AE220" s="1609"/>
    </row>
    <row r="221" spans="4:31" ht="18" thickBot="1" x14ac:dyDescent="0.35">
      <c r="D221" s="629" t="s">
        <v>392</v>
      </c>
      <c r="J221" s="222"/>
      <c r="N221" s="222"/>
      <c r="T221" s="222"/>
    </row>
    <row r="222" spans="4:31" x14ac:dyDescent="0.3">
      <c r="D222" s="134" t="s">
        <v>92</v>
      </c>
      <c r="E222" s="135"/>
      <c r="F222" s="135"/>
      <c r="G222" s="135"/>
      <c r="H222" s="135"/>
      <c r="I222" s="135"/>
      <c r="J222" s="622">
        <v>45856</v>
      </c>
      <c r="K222" s="622">
        <v>45857</v>
      </c>
      <c r="L222" s="622">
        <v>45858</v>
      </c>
      <c r="M222" s="622">
        <v>45859</v>
      </c>
      <c r="N222" s="622">
        <v>45860</v>
      </c>
      <c r="O222" s="622">
        <v>45861</v>
      </c>
      <c r="P222" s="622">
        <v>45862</v>
      </c>
      <c r="Q222" s="622">
        <v>45863</v>
      </c>
      <c r="R222" s="622">
        <v>45864</v>
      </c>
      <c r="S222" s="622">
        <v>45865</v>
      </c>
      <c r="T222" s="622">
        <v>45866</v>
      </c>
      <c r="U222" s="622">
        <v>45867</v>
      </c>
      <c r="V222" s="622">
        <v>45868</v>
      </c>
      <c r="W222" s="622">
        <v>45869</v>
      </c>
      <c r="X222" s="622">
        <v>45870</v>
      </c>
      <c r="Y222" s="622">
        <v>45871</v>
      </c>
      <c r="Z222" s="622">
        <v>45872</v>
      </c>
      <c r="AA222" s="12"/>
      <c r="AB222" s="12"/>
      <c r="AC222" s="12"/>
      <c r="AD222" s="12"/>
      <c r="AE222" s="12"/>
    </row>
    <row r="223" spans="4:31" x14ac:dyDescent="0.3">
      <c r="D223" s="136">
        <v>0</v>
      </c>
      <c r="E223" s="630"/>
      <c r="F223" s="630"/>
      <c r="G223" s="631"/>
      <c r="H223" s="631"/>
      <c r="I223" s="631"/>
      <c r="J223" s="138">
        <v>94.5</v>
      </c>
      <c r="K223" s="138">
        <v>89.7</v>
      </c>
      <c r="L223" s="138">
        <v>166</v>
      </c>
      <c r="M223" s="138"/>
      <c r="N223" s="138">
        <v>118.8</v>
      </c>
      <c r="O223" s="138">
        <v>114.7</v>
      </c>
      <c r="P223" s="138">
        <v>139.9</v>
      </c>
      <c r="Q223" s="138">
        <v>135.1</v>
      </c>
      <c r="R223" s="138"/>
      <c r="S223" s="138"/>
      <c r="T223" s="138"/>
      <c r="U223" s="138"/>
      <c r="V223" s="138"/>
      <c r="W223" s="138"/>
      <c r="X223" s="138"/>
      <c r="Y223" s="138"/>
      <c r="Z223" s="138"/>
      <c r="AA223" s="12"/>
      <c r="AB223" s="12"/>
      <c r="AC223" s="12"/>
      <c r="AD223" s="12"/>
      <c r="AE223" s="12"/>
    </row>
    <row r="224" spans="4:31" x14ac:dyDescent="0.3">
      <c r="D224" s="136">
        <v>1</v>
      </c>
      <c r="E224" s="630"/>
      <c r="F224" s="630"/>
      <c r="G224" s="631"/>
      <c r="H224" s="631"/>
      <c r="I224" s="631"/>
      <c r="J224" s="138">
        <v>94.8</v>
      </c>
      <c r="K224" s="138">
        <v>121.1</v>
      </c>
      <c r="L224" s="138">
        <v>216.8</v>
      </c>
      <c r="M224" s="138"/>
      <c r="N224" s="138">
        <v>176.6</v>
      </c>
      <c r="O224" s="138">
        <v>170.3</v>
      </c>
      <c r="P224" s="138">
        <v>174</v>
      </c>
      <c r="Q224" s="138">
        <v>173.5</v>
      </c>
      <c r="R224" s="138"/>
      <c r="S224" s="138"/>
      <c r="T224" s="138"/>
      <c r="U224" s="138"/>
      <c r="V224" s="138"/>
      <c r="W224" s="138"/>
      <c r="X224" s="138"/>
      <c r="Y224" s="138"/>
      <c r="Z224" s="138"/>
      <c r="AA224" s="180"/>
      <c r="AB224" s="180"/>
      <c r="AC224" s="180"/>
      <c r="AD224" s="180"/>
      <c r="AE224" s="180"/>
    </row>
    <row r="225" spans="4:31" x14ac:dyDescent="0.3">
      <c r="D225" s="136">
        <v>2</v>
      </c>
      <c r="E225" s="630"/>
      <c r="F225" s="630"/>
      <c r="G225" s="631"/>
      <c r="H225" s="631"/>
      <c r="I225" s="631"/>
      <c r="J225" s="138">
        <v>95.4</v>
      </c>
      <c r="K225" s="138">
        <v>121.5</v>
      </c>
      <c r="L225" s="138">
        <v>281.5</v>
      </c>
      <c r="M225" s="138"/>
      <c r="N225" s="138">
        <v>244.2</v>
      </c>
      <c r="O225" s="138">
        <v>234.5</v>
      </c>
      <c r="P225" s="138">
        <v>217</v>
      </c>
      <c r="Q225" s="138">
        <v>220.6</v>
      </c>
      <c r="R225" s="138"/>
      <c r="S225" s="138"/>
      <c r="T225" s="138"/>
      <c r="U225" s="138"/>
      <c r="V225" s="138"/>
      <c r="W225" s="138"/>
      <c r="X225" s="138"/>
      <c r="Y225" s="138"/>
      <c r="Z225" s="138"/>
      <c r="AA225" s="180"/>
      <c r="AB225" s="180"/>
      <c r="AC225" s="180"/>
      <c r="AD225" s="180"/>
      <c r="AE225" s="180"/>
    </row>
    <row r="226" spans="4:31" x14ac:dyDescent="0.3">
      <c r="D226" s="136">
        <v>3</v>
      </c>
      <c r="E226" s="630"/>
      <c r="F226" s="630"/>
      <c r="G226" s="631"/>
      <c r="H226" s="631"/>
      <c r="I226" s="631"/>
      <c r="J226" s="138">
        <v>108.5</v>
      </c>
      <c r="K226" s="138">
        <v>132.1</v>
      </c>
      <c r="L226" s="138">
        <v>322.10000000000002</v>
      </c>
      <c r="M226" s="138"/>
      <c r="N226" s="138">
        <v>281</v>
      </c>
      <c r="O226" s="138">
        <v>270</v>
      </c>
      <c r="P226" s="138">
        <v>250</v>
      </c>
      <c r="Q226" s="138">
        <v>255</v>
      </c>
      <c r="R226" s="138"/>
      <c r="S226" s="138"/>
      <c r="T226" s="138"/>
      <c r="U226" s="138"/>
      <c r="V226" s="138"/>
      <c r="W226" s="138"/>
      <c r="X226" s="138"/>
      <c r="Y226" s="138"/>
      <c r="Z226" s="138"/>
      <c r="AA226" s="180"/>
      <c r="AB226" s="180"/>
      <c r="AC226" s="180"/>
      <c r="AD226" s="180"/>
      <c r="AE226" s="180"/>
    </row>
    <row r="227" spans="4:31" x14ac:dyDescent="0.3">
      <c r="D227" s="136">
        <v>4</v>
      </c>
      <c r="E227" s="630"/>
      <c r="F227" s="630"/>
      <c r="G227" s="631"/>
      <c r="H227" s="631"/>
      <c r="I227" s="631"/>
      <c r="J227" s="138">
        <v>108.8</v>
      </c>
      <c r="K227" s="138">
        <v>184</v>
      </c>
      <c r="L227" s="138">
        <v>350.2</v>
      </c>
      <c r="M227" s="138"/>
      <c r="N227" s="138">
        <v>309</v>
      </c>
      <c r="O227" s="138">
        <v>300.2</v>
      </c>
      <c r="P227" s="138">
        <v>276.39999999999998</v>
      </c>
      <c r="Q227" s="138">
        <v>284.5</v>
      </c>
      <c r="R227" s="138"/>
      <c r="S227" s="138"/>
      <c r="T227" s="138"/>
      <c r="U227" s="138"/>
      <c r="V227" s="138"/>
      <c r="W227" s="138"/>
      <c r="X227" s="138"/>
      <c r="Y227" s="138"/>
      <c r="Z227" s="138"/>
      <c r="AA227" s="180"/>
      <c r="AB227" s="180"/>
      <c r="AC227" s="180"/>
      <c r="AD227" s="180"/>
      <c r="AE227" s="180"/>
    </row>
    <row r="228" spans="4:31" x14ac:dyDescent="0.3">
      <c r="D228" s="623">
        <v>5</v>
      </c>
      <c r="E228" s="630"/>
      <c r="F228" s="630"/>
      <c r="G228" s="631"/>
      <c r="H228" s="631"/>
      <c r="I228" s="631"/>
      <c r="J228" s="625">
        <v>109</v>
      </c>
      <c r="K228" s="625">
        <v>243.5</v>
      </c>
      <c r="L228" s="625">
        <v>371.1</v>
      </c>
      <c r="M228" s="625"/>
      <c r="N228" s="625">
        <v>330.2</v>
      </c>
      <c r="O228" s="625">
        <v>322.8</v>
      </c>
      <c r="P228" s="625">
        <v>299.60000000000002</v>
      </c>
      <c r="Q228" s="625">
        <v>310.7</v>
      </c>
      <c r="R228" s="625"/>
      <c r="S228" s="625"/>
      <c r="T228" s="625"/>
      <c r="U228" s="625"/>
      <c r="V228" s="625"/>
      <c r="W228" s="625"/>
      <c r="X228" s="625"/>
      <c r="Y228" s="625"/>
      <c r="Z228" s="625"/>
      <c r="AA228" s="180"/>
      <c r="AB228" s="180"/>
      <c r="AC228" s="180"/>
      <c r="AD228" s="180"/>
      <c r="AE228" s="180"/>
    </row>
    <row r="229" spans="4:31" x14ac:dyDescent="0.3">
      <c r="D229" s="136">
        <v>6</v>
      </c>
      <c r="E229" s="630"/>
      <c r="F229" s="630"/>
      <c r="G229" s="631"/>
      <c r="H229" s="631"/>
      <c r="I229" s="631"/>
      <c r="J229" s="138">
        <v>109.2</v>
      </c>
      <c r="K229" s="138">
        <v>297.8</v>
      </c>
      <c r="L229" s="138">
        <v>392</v>
      </c>
      <c r="M229" s="138"/>
      <c r="N229" s="138">
        <v>348.9</v>
      </c>
      <c r="O229" s="138">
        <v>342.8</v>
      </c>
      <c r="P229" s="138">
        <v>319.2</v>
      </c>
      <c r="Q229" s="138">
        <v>332.1</v>
      </c>
      <c r="R229" s="138"/>
      <c r="S229" s="138"/>
      <c r="T229" s="138"/>
      <c r="U229" s="138"/>
      <c r="V229" s="138"/>
      <c r="W229" s="138"/>
      <c r="X229" s="138"/>
      <c r="Y229" s="138"/>
      <c r="Z229" s="138"/>
      <c r="AA229" s="180"/>
      <c r="AB229" s="180"/>
      <c r="AC229" s="180"/>
      <c r="AD229" s="180"/>
      <c r="AE229" s="180"/>
    </row>
    <row r="230" spans="4:31" x14ac:dyDescent="0.3">
      <c r="D230" s="136">
        <v>7</v>
      </c>
      <c r="E230" s="630"/>
      <c r="F230" s="630"/>
      <c r="G230" s="631"/>
      <c r="H230" s="631"/>
      <c r="I230" s="631"/>
      <c r="J230" s="138">
        <v>109.3</v>
      </c>
      <c r="K230" s="138">
        <v>334.9</v>
      </c>
      <c r="L230" s="138">
        <v>406.2</v>
      </c>
      <c r="M230" s="138"/>
      <c r="N230" s="138">
        <v>364.2</v>
      </c>
      <c r="O230" s="138">
        <v>360.1</v>
      </c>
      <c r="P230" s="138">
        <v>337.7</v>
      </c>
      <c r="Q230" s="138">
        <v>352.3</v>
      </c>
      <c r="R230" s="138"/>
      <c r="S230" s="138"/>
      <c r="T230" s="138"/>
      <c r="U230" s="138"/>
      <c r="V230" s="138"/>
      <c r="W230" s="138"/>
      <c r="X230" s="138"/>
      <c r="Y230" s="138"/>
      <c r="Z230" s="138"/>
      <c r="AA230" s="181"/>
      <c r="AB230" s="181"/>
      <c r="AC230" s="181"/>
      <c r="AD230" s="181"/>
      <c r="AE230" s="181"/>
    </row>
    <row r="231" spans="4:31" x14ac:dyDescent="0.3">
      <c r="D231" s="136">
        <v>8</v>
      </c>
      <c r="E231" s="630"/>
      <c r="F231" s="630"/>
      <c r="G231" s="631"/>
      <c r="H231" s="631"/>
      <c r="I231" s="631"/>
      <c r="J231" s="138">
        <v>109.4</v>
      </c>
      <c r="K231" s="138">
        <v>359.9</v>
      </c>
      <c r="L231" s="138">
        <v>419.9</v>
      </c>
      <c r="M231" s="138"/>
      <c r="N231" s="138">
        <v>377.3</v>
      </c>
      <c r="O231" s="138">
        <v>375.4</v>
      </c>
      <c r="P231" s="138">
        <v>354.3</v>
      </c>
      <c r="Q231" s="138">
        <v>370.1</v>
      </c>
      <c r="R231" s="138"/>
      <c r="S231" s="138"/>
      <c r="T231" s="138"/>
      <c r="U231" s="138"/>
      <c r="V231" s="138"/>
      <c r="W231" s="138"/>
      <c r="X231" s="138"/>
      <c r="Y231" s="138"/>
      <c r="Z231" s="138"/>
      <c r="AA231" s="18"/>
      <c r="AB231" s="18"/>
      <c r="AC231" s="18"/>
      <c r="AD231" s="18"/>
      <c r="AE231" s="18"/>
    </row>
    <row r="232" spans="4:31" x14ac:dyDescent="0.3">
      <c r="D232" s="136">
        <v>9</v>
      </c>
      <c r="E232" s="630"/>
      <c r="F232" s="630"/>
      <c r="G232" s="631"/>
      <c r="H232" s="631"/>
      <c r="I232" s="631"/>
      <c r="J232" s="138">
        <v>109.5</v>
      </c>
      <c r="K232" s="138">
        <v>382</v>
      </c>
      <c r="L232" s="138">
        <v>433.6</v>
      </c>
      <c r="M232" s="138"/>
      <c r="N232" s="138">
        <v>388.8</v>
      </c>
      <c r="O232" s="138">
        <v>389.1</v>
      </c>
      <c r="P232" s="138">
        <v>369.8</v>
      </c>
      <c r="Q232" s="138">
        <v>386.7</v>
      </c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 spans="4:31" x14ac:dyDescent="0.3">
      <c r="D233" s="623">
        <v>10</v>
      </c>
      <c r="E233" s="630"/>
      <c r="F233" s="630"/>
      <c r="G233" s="631"/>
      <c r="H233" s="631"/>
      <c r="I233" s="631"/>
      <c r="J233" s="625">
        <v>109.6</v>
      </c>
      <c r="K233" s="625">
        <v>399.6</v>
      </c>
      <c r="L233" s="625">
        <v>445.2</v>
      </c>
      <c r="M233" s="625"/>
      <c r="N233" s="625">
        <v>399.5</v>
      </c>
      <c r="O233" s="625">
        <v>401.5</v>
      </c>
      <c r="P233" s="625">
        <v>383.9</v>
      </c>
      <c r="Q233" s="625">
        <v>402</v>
      </c>
      <c r="R233" s="625"/>
      <c r="S233" s="625"/>
      <c r="T233" s="625"/>
      <c r="U233" s="625"/>
      <c r="V233" s="625"/>
      <c r="W233" s="625"/>
      <c r="X233" s="625"/>
      <c r="Y233" s="625"/>
      <c r="Z233" s="625"/>
    </row>
    <row r="234" spans="4:31" x14ac:dyDescent="0.3">
      <c r="D234" s="136">
        <v>11</v>
      </c>
      <c r="E234" s="630"/>
      <c r="F234" s="630"/>
      <c r="G234" s="631"/>
      <c r="H234" s="631"/>
      <c r="I234" s="631"/>
      <c r="J234" s="138">
        <v>109.7</v>
      </c>
      <c r="K234" s="138">
        <v>413.3</v>
      </c>
      <c r="L234" s="138">
        <v>457.3</v>
      </c>
      <c r="M234" s="138"/>
      <c r="N234" s="138">
        <v>409.9</v>
      </c>
      <c r="O234" s="138">
        <v>413.6</v>
      </c>
      <c r="P234" s="138">
        <v>397.5</v>
      </c>
      <c r="Q234" s="138">
        <v>416.6</v>
      </c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 spans="4:31" x14ac:dyDescent="0.3">
      <c r="D235" s="136">
        <v>12</v>
      </c>
      <c r="E235" s="630"/>
      <c r="F235" s="630"/>
      <c r="G235" s="631"/>
      <c r="H235" s="631"/>
      <c r="I235" s="631"/>
      <c r="J235" s="138">
        <v>109.8</v>
      </c>
      <c r="K235" s="138">
        <v>428.1</v>
      </c>
      <c r="L235" s="138">
        <v>468.9</v>
      </c>
      <c r="M235" s="138"/>
      <c r="N235" s="138">
        <v>419.8</v>
      </c>
      <c r="O235" s="138">
        <v>425</v>
      </c>
      <c r="P235" s="138">
        <v>410.1</v>
      </c>
      <c r="Q235" s="138">
        <v>429.7</v>
      </c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 spans="4:31" x14ac:dyDescent="0.3">
      <c r="D236" s="136">
        <v>13</v>
      </c>
      <c r="E236" s="630"/>
      <c r="F236" s="630"/>
      <c r="G236" s="631"/>
      <c r="H236" s="631"/>
      <c r="I236" s="631"/>
      <c r="J236" s="138">
        <v>109.9</v>
      </c>
      <c r="K236" s="138">
        <v>440.6</v>
      </c>
      <c r="L236" s="138">
        <v>479.4</v>
      </c>
      <c r="M236" s="138"/>
      <c r="N236" s="138">
        <v>428.9</v>
      </c>
      <c r="O236" s="138">
        <v>435.9</v>
      </c>
      <c r="P236" s="138">
        <v>421.9</v>
      </c>
      <c r="Q236" s="138">
        <v>442.8</v>
      </c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 spans="4:31" x14ac:dyDescent="0.3">
      <c r="D237" s="136">
        <v>14</v>
      </c>
      <c r="E237" s="630"/>
      <c r="F237" s="630"/>
      <c r="G237" s="631"/>
      <c r="H237" s="631"/>
      <c r="I237" s="631"/>
      <c r="J237" s="138">
        <v>110</v>
      </c>
      <c r="K237" s="138">
        <v>452.4</v>
      </c>
      <c r="L237" s="138">
        <v>490.1</v>
      </c>
      <c r="M237" s="138"/>
      <c r="N237" s="138">
        <v>438.1</v>
      </c>
      <c r="O237" s="138">
        <v>446.4</v>
      </c>
      <c r="P237" s="138">
        <v>433.1</v>
      </c>
      <c r="Q237" s="138">
        <v>455.2</v>
      </c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 spans="4:31" x14ac:dyDescent="0.3">
      <c r="D238" s="623">
        <v>15</v>
      </c>
      <c r="E238" s="630"/>
      <c r="F238" s="630"/>
      <c r="G238" s="631"/>
      <c r="H238" s="631"/>
      <c r="I238" s="631"/>
      <c r="J238" s="625">
        <v>110.1</v>
      </c>
      <c r="K238" s="625">
        <v>464.9</v>
      </c>
      <c r="L238" s="625">
        <v>499.8</v>
      </c>
      <c r="M238" s="625"/>
      <c r="N238" s="625">
        <v>446.9</v>
      </c>
      <c r="O238" s="625">
        <v>456.6</v>
      </c>
      <c r="P238" s="625">
        <v>444.1</v>
      </c>
      <c r="Q238" s="625">
        <v>467.3</v>
      </c>
      <c r="R238" s="625"/>
      <c r="S238" s="625"/>
      <c r="T238" s="625"/>
      <c r="U238" s="625"/>
      <c r="V238" s="625"/>
      <c r="W238" s="625"/>
      <c r="X238" s="625"/>
      <c r="Y238" s="625"/>
      <c r="Z238" s="625"/>
    </row>
    <row r="239" spans="4:31" x14ac:dyDescent="0.3">
      <c r="D239" s="136">
        <v>16</v>
      </c>
      <c r="E239" s="630"/>
      <c r="F239" s="630"/>
      <c r="G239" s="631"/>
      <c r="H239" s="631"/>
      <c r="I239" s="631"/>
      <c r="J239" s="138">
        <v>110.2</v>
      </c>
      <c r="K239" s="138">
        <v>475.9</v>
      </c>
      <c r="L239" s="138">
        <v>508</v>
      </c>
      <c r="M239" s="138"/>
      <c r="N239" s="138">
        <v>455.4</v>
      </c>
      <c r="O239" s="138">
        <v>466.6</v>
      </c>
      <c r="P239" s="138">
        <v>454.8</v>
      </c>
      <c r="Q239" s="138">
        <v>478.7</v>
      </c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 spans="4:31" x14ac:dyDescent="0.3">
      <c r="D240" s="136">
        <v>17</v>
      </c>
      <c r="E240" s="630"/>
      <c r="F240" s="630"/>
      <c r="G240" s="631"/>
      <c r="H240" s="631"/>
      <c r="I240" s="631"/>
      <c r="J240" s="138">
        <v>110.3</v>
      </c>
      <c r="K240" s="138">
        <v>486.8</v>
      </c>
      <c r="L240" s="138">
        <v>516.70000000000005</v>
      </c>
      <c r="M240" s="138"/>
      <c r="N240" s="138">
        <v>463.7</v>
      </c>
      <c r="O240" s="138">
        <v>476.2</v>
      </c>
      <c r="P240" s="138">
        <v>465</v>
      </c>
      <c r="Q240" s="138">
        <v>489.8</v>
      </c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 spans="4:26" x14ac:dyDescent="0.3">
      <c r="D241" s="136">
        <v>18</v>
      </c>
      <c r="E241" s="630"/>
      <c r="F241" s="630"/>
      <c r="G241" s="631"/>
      <c r="H241" s="631"/>
      <c r="I241" s="631"/>
      <c r="J241" s="138">
        <v>110.3</v>
      </c>
      <c r="K241" s="138">
        <v>497.6</v>
      </c>
      <c r="L241" s="138">
        <v>524.6</v>
      </c>
      <c r="M241" s="138"/>
      <c r="N241" s="138">
        <v>471.7</v>
      </c>
      <c r="O241" s="138">
        <v>485.5</v>
      </c>
      <c r="P241" s="138">
        <v>475</v>
      </c>
      <c r="Q241" s="138">
        <v>499.7</v>
      </c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 spans="4:26" x14ac:dyDescent="0.3">
      <c r="D242" s="136">
        <v>19</v>
      </c>
      <c r="E242" s="630"/>
      <c r="F242" s="630"/>
      <c r="G242" s="631"/>
      <c r="H242" s="631"/>
      <c r="I242" s="631"/>
      <c r="J242" s="138">
        <v>110.4</v>
      </c>
      <c r="K242" s="138">
        <v>506.5</v>
      </c>
      <c r="L242" s="138">
        <v>531.29999999999995</v>
      </c>
      <c r="M242" s="138"/>
      <c r="N242" s="138">
        <v>479.4</v>
      </c>
      <c r="O242" s="138">
        <v>494.3</v>
      </c>
      <c r="P242" s="138">
        <v>484.6</v>
      </c>
      <c r="Q242" s="138">
        <v>508.5</v>
      </c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 spans="4:26" x14ac:dyDescent="0.3">
      <c r="D243" s="623">
        <v>20</v>
      </c>
      <c r="E243" s="630"/>
      <c r="F243" s="630"/>
      <c r="G243" s="631"/>
      <c r="H243" s="631"/>
      <c r="I243" s="631"/>
      <c r="J243" s="625">
        <v>110.5</v>
      </c>
      <c r="K243" s="625">
        <v>515.6</v>
      </c>
      <c r="L243" s="625">
        <v>537.5</v>
      </c>
      <c r="M243" s="625"/>
      <c r="N243" s="625">
        <v>486.8</v>
      </c>
      <c r="O243" s="625">
        <v>502.1</v>
      </c>
      <c r="P243" s="625">
        <v>493.8</v>
      </c>
      <c r="Q243" s="625">
        <v>517.29999999999995</v>
      </c>
      <c r="R243" s="625"/>
      <c r="S243" s="625"/>
      <c r="T243" s="625"/>
      <c r="U243" s="625"/>
      <c r="V243" s="625"/>
      <c r="W243" s="625"/>
      <c r="X243" s="625"/>
      <c r="Y243" s="625"/>
      <c r="Z243" s="625"/>
    </row>
    <row r="244" spans="4:26" x14ac:dyDescent="0.3">
      <c r="D244" s="136">
        <v>21</v>
      </c>
      <c r="E244" s="630"/>
      <c r="F244" s="630"/>
      <c r="G244" s="631"/>
      <c r="H244" s="631"/>
      <c r="I244" s="631"/>
      <c r="J244" s="138">
        <v>110.6</v>
      </c>
      <c r="K244" s="138">
        <v>524.20000000000005</v>
      </c>
      <c r="L244" s="138">
        <v>543.20000000000005</v>
      </c>
      <c r="M244" s="138"/>
      <c r="N244" s="138">
        <v>493.8</v>
      </c>
      <c r="O244" s="138">
        <v>509.1</v>
      </c>
      <c r="P244" s="138">
        <v>502</v>
      </c>
      <c r="Q244" s="138">
        <v>525.1</v>
      </c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 spans="4:26" x14ac:dyDescent="0.3">
      <c r="D245" s="136">
        <v>22</v>
      </c>
      <c r="E245" s="630"/>
      <c r="F245" s="630"/>
      <c r="G245" s="631"/>
      <c r="H245" s="631"/>
      <c r="I245" s="631"/>
      <c r="J245" s="138">
        <v>110.6</v>
      </c>
      <c r="K245" s="138">
        <v>531.5</v>
      </c>
      <c r="L245" s="138">
        <v>548.70000000000005</v>
      </c>
      <c r="M245" s="138"/>
      <c r="N245" s="138">
        <v>500</v>
      </c>
      <c r="O245" s="138">
        <v>516.29999999999995</v>
      </c>
      <c r="P245" s="138">
        <v>509.5</v>
      </c>
      <c r="Q245" s="138">
        <v>531.9</v>
      </c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 spans="4:26" x14ac:dyDescent="0.3">
      <c r="D246" s="136">
        <v>23</v>
      </c>
      <c r="E246" s="630"/>
      <c r="F246" s="630"/>
      <c r="G246" s="631"/>
      <c r="H246" s="631"/>
      <c r="I246" s="631"/>
      <c r="J246" s="138">
        <v>110.7</v>
      </c>
      <c r="K246" s="138">
        <v>538.20000000000005</v>
      </c>
      <c r="L246" s="138">
        <v>553.79999999999995</v>
      </c>
      <c r="M246" s="138"/>
      <c r="N246" s="138">
        <v>505.7</v>
      </c>
      <c r="O246" s="138">
        <v>523</v>
      </c>
      <c r="P246" s="138">
        <v>517.20000000000005</v>
      </c>
      <c r="Q246" s="138">
        <v>537.9</v>
      </c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 spans="4:26" x14ac:dyDescent="0.3">
      <c r="D247" s="136">
        <v>24</v>
      </c>
      <c r="E247" s="630"/>
      <c r="F247" s="630"/>
      <c r="G247" s="631"/>
      <c r="H247" s="631"/>
      <c r="I247" s="631"/>
      <c r="J247" s="138">
        <v>110.8</v>
      </c>
      <c r="K247" s="138">
        <v>544.4</v>
      </c>
      <c r="L247" s="138">
        <v>558.4</v>
      </c>
      <c r="M247" s="138"/>
      <c r="N247" s="138">
        <v>511.2</v>
      </c>
      <c r="O247" s="138">
        <v>528.70000000000005</v>
      </c>
      <c r="P247" s="138">
        <v>524.20000000000005</v>
      </c>
      <c r="Q247" s="138">
        <v>543.20000000000005</v>
      </c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 spans="4:26" x14ac:dyDescent="0.3">
      <c r="D248" s="136">
        <v>25</v>
      </c>
      <c r="E248" s="630"/>
      <c r="F248" s="630"/>
      <c r="G248" s="631"/>
      <c r="H248" s="631"/>
      <c r="I248" s="631"/>
      <c r="J248" s="138">
        <v>110.8</v>
      </c>
      <c r="K248" s="138">
        <v>550.29999999999995</v>
      </c>
      <c r="L248" s="138">
        <v>562.5</v>
      </c>
      <c r="M248" s="138"/>
      <c r="N248" s="138">
        <v>516.6</v>
      </c>
      <c r="O248" s="138">
        <v>534</v>
      </c>
      <c r="P248" s="138">
        <v>530.4</v>
      </c>
      <c r="Q248" s="138">
        <v>548.29999999999995</v>
      </c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 spans="4:26" x14ac:dyDescent="0.3">
      <c r="D249" s="136">
        <v>26</v>
      </c>
      <c r="E249" s="630"/>
      <c r="F249" s="630"/>
      <c r="G249" s="631"/>
      <c r="H249" s="631"/>
      <c r="I249" s="631"/>
      <c r="J249" s="138">
        <v>110.9</v>
      </c>
      <c r="K249" s="138">
        <v>555.79999999999995</v>
      </c>
      <c r="L249" s="138">
        <v>566.29999999999995</v>
      </c>
      <c r="M249" s="138"/>
      <c r="N249" s="138">
        <v>521.6</v>
      </c>
      <c r="O249" s="138">
        <v>538.79999999999995</v>
      </c>
      <c r="P249" s="138">
        <v>536</v>
      </c>
      <c r="Q249" s="138">
        <v>553.1</v>
      </c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 spans="4:26" x14ac:dyDescent="0.3">
      <c r="D250" s="136">
        <v>27</v>
      </c>
      <c r="E250" s="630"/>
      <c r="F250" s="630"/>
      <c r="G250" s="631"/>
      <c r="H250" s="631"/>
      <c r="I250" s="631"/>
      <c r="J250" s="138">
        <v>110.9</v>
      </c>
      <c r="K250" s="138">
        <v>560.4</v>
      </c>
      <c r="L250" s="138">
        <v>569.70000000000005</v>
      </c>
      <c r="M250" s="138"/>
      <c r="N250" s="138">
        <v>526.1</v>
      </c>
      <c r="O250" s="138">
        <v>543.29999999999995</v>
      </c>
      <c r="P250" s="138">
        <v>541.1</v>
      </c>
      <c r="Q250" s="138">
        <v>557.4</v>
      </c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 spans="4:26" x14ac:dyDescent="0.3">
      <c r="D251" s="136">
        <v>28</v>
      </c>
      <c r="E251" s="630"/>
      <c r="F251" s="630"/>
      <c r="G251" s="631"/>
      <c r="H251" s="631"/>
      <c r="I251" s="631"/>
      <c r="J251" s="138">
        <v>111</v>
      </c>
      <c r="K251" s="138">
        <v>564.70000000000005</v>
      </c>
      <c r="L251" s="138">
        <v>573</v>
      </c>
      <c r="M251" s="138"/>
      <c r="N251" s="138">
        <v>530.20000000000005</v>
      </c>
      <c r="O251" s="138">
        <v>547.6</v>
      </c>
      <c r="P251" s="138">
        <v>545.79999999999995</v>
      </c>
      <c r="Q251" s="138">
        <v>561.4</v>
      </c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 spans="4:26" x14ac:dyDescent="0.3">
      <c r="D252" s="136">
        <v>29</v>
      </c>
      <c r="E252" s="630"/>
      <c r="F252" s="630"/>
      <c r="G252" s="631"/>
      <c r="H252" s="631"/>
      <c r="I252" s="631"/>
      <c r="J252" s="138">
        <v>111</v>
      </c>
      <c r="K252" s="138">
        <v>568.6</v>
      </c>
      <c r="L252" s="138">
        <v>576.20000000000005</v>
      </c>
      <c r="M252" s="138"/>
      <c r="N252" s="138">
        <v>534</v>
      </c>
      <c r="O252" s="138">
        <v>551.79999999999995</v>
      </c>
      <c r="P252" s="138">
        <v>550.29999999999995</v>
      </c>
      <c r="Q252" s="138">
        <v>565.1</v>
      </c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 spans="4:26" x14ac:dyDescent="0.3">
      <c r="D253" s="623">
        <v>30</v>
      </c>
      <c r="E253" s="630"/>
      <c r="F253" s="630"/>
      <c r="G253" s="631"/>
      <c r="H253" s="631"/>
      <c r="I253" s="631"/>
      <c r="J253" s="625">
        <v>111.1</v>
      </c>
      <c r="K253" s="625">
        <v>572.20000000000005</v>
      </c>
      <c r="L253" s="625">
        <v>579.29999999999995</v>
      </c>
      <c r="M253" s="625"/>
      <c r="N253" s="625">
        <v>537.6</v>
      </c>
      <c r="O253" s="625">
        <v>555.70000000000005</v>
      </c>
      <c r="P253" s="625">
        <v>554.6</v>
      </c>
      <c r="Q253" s="625">
        <v>568.5</v>
      </c>
      <c r="R253" s="625"/>
      <c r="S253" s="625"/>
      <c r="T253" s="625"/>
      <c r="U253" s="625"/>
      <c r="V253" s="625"/>
      <c r="W253" s="625"/>
      <c r="X253" s="625"/>
      <c r="Y253" s="625"/>
      <c r="Z253" s="625"/>
    </row>
    <row r="254" spans="4:26" x14ac:dyDescent="0.3">
      <c r="D254" s="136">
        <v>31</v>
      </c>
      <c r="E254" s="630"/>
      <c r="F254" s="630"/>
      <c r="G254" s="631"/>
      <c r="H254" s="631"/>
      <c r="I254" s="631"/>
      <c r="J254" s="138">
        <v>111.2</v>
      </c>
      <c r="K254" s="138">
        <v>575.6</v>
      </c>
      <c r="L254" s="138">
        <v>582.4</v>
      </c>
      <c r="M254" s="138"/>
      <c r="N254" s="138">
        <v>541</v>
      </c>
      <c r="O254" s="138">
        <v>559.29999999999995</v>
      </c>
      <c r="P254" s="138">
        <v>558.4</v>
      </c>
      <c r="Q254" s="138">
        <v>571.70000000000005</v>
      </c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 spans="4:26" x14ac:dyDescent="0.3">
      <c r="D255" s="136">
        <v>32</v>
      </c>
      <c r="E255" s="630"/>
      <c r="F255" s="630"/>
      <c r="G255" s="631"/>
      <c r="H255" s="631"/>
      <c r="I255" s="631"/>
      <c r="J255" s="138">
        <v>111.2</v>
      </c>
      <c r="K255" s="138">
        <v>579</v>
      </c>
      <c r="L255" s="138">
        <v>585.29999999999995</v>
      </c>
      <c r="M255" s="138"/>
      <c r="N255" s="138">
        <v>544.20000000000005</v>
      </c>
      <c r="O255" s="138">
        <v>562.6</v>
      </c>
      <c r="P255" s="138">
        <v>561.9</v>
      </c>
      <c r="Q255" s="138">
        <v>574.9</v>
      </c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 spans="4:26" x14ac:dyDescent="0.3">
      <c r="D256" s="136">
        <v>33</v>
      </c>
      <c r="E256" s="630"/>
      <c r="F256" s="630"/>
      <c r="G256" s="631"/>
      <c r="H256" s="631"/>
      <c r="I256" s="631"/>
      <c r="J256" s="138">
        <v>111.3</v>
      </c>
      <c r="K256" s="138">
        <v>582.29999999999995</v>
      </c>
      <c r="L256" s="138">
        <v>588.1</v>
      </c>
      <c r="M256" s="138"/>
      <c r="N256" s="138">
        <v>547.4</v>
      </c>
      <c r="O256" s="138">
        <v>565.9</v>
      </c>
      <c r="P256" s="138">
        <v>565.29999999999995</v>
      </c>
      <c r="Q256" s="138">
        <v>578.20000000000005</v>
      </c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 spans="4:26" x14ac:dyDescent="0.3">
      <c r="D257" s="136">
        <v>34</v>
      </c>
      <c r="E257" s="630"/>
      <c r="F257" s="630"/>
      <c r="G257" s="631"/>
      <c r="H257" s="631"/>
      <c r="I257" s="631"/>
      <c r="J257" s="138">
        <v>111.3</v>
      </c>
      <c r="K257" s="138">
        <v>585.4</v>
      </c>
      <c r="L257" s="138">
        <v>590.9</v>
      </c>
      <c r="M257" s="138"/>
      <c r="N257" s="138">
        <v>550.5</v>
      </c>
      <c r="O257" s="138">
        <v>568.9</v>
      </c>
      <c r="P257" s="138">
        <v>568.5</v>
      </c>
      <c r="Q257" s="138">
        <v>581.4</v>
      </c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 spans="4:26" x14ac:dyDescent="0.3">
      <c r="D258" s="136">
        <v>35</v>
      </c>
      <c r="E258" s="630"/>
      <c r="F258" s="630"/>
      <c r="G258" s="631"/>
      <c r="H258" s="631"/>
      <c r="I258" s="631"/>
      <c r="J258" s="138">
        <v>111.4</v>
      </c>
      <c r="K258" s="138">
        <v>588.4</v>
      </c>
      <c r="L258" s="138">
        <v>593.6</v>
      </c>
      <c r="M258" s="138"/>
      <c r="N258" s="138">
        <v>553.5</v>
      </c>
      <c r="O258" s="138">
        <v>571.70000000000005</v>
      </c>
      <c r="P258" s="138">
        <v>571.4</v>
      </c>
      <c r="Q258" s="138">
        <v>584.6</v>
      </c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 spans="4:26" x14ac:dyDescent="0.3">
      <c r="D259" s="136">
        <v>36</v>
      </c>
      <c r="E259" s="630"/>
      <c r="F259" s="630"/>
      <c r="G259" s="631"/>
      <c r="H259" s="631"/>
      <c r="I259" s="631"/>
      <c r="J259" s="138">
        <v>150.80000000000001</v>
      </c>
      <c r="K259" s="138">
        <v>591.4</v>
      </c>
      <c r="L259" s="138">
        <v>596.20000000000005</v>
      </c>
      <c r="M259" s="138"/>
      <c r="N259" s="138">
        <v>556.29999999999995</v>
      </c>
      <c r="O259" s="138">
        <v>574.6</v>
      </c>
      <c r="P259" s="138">
        <v>574.29999999999995</v>
      </c>
      <c r="Q259" s="138">
        <v>587.79999999999995</v>
      </c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 spans="4:26" x14ac:dyDescent="0.3">
      <c r="D260" s="136">
        <v>37</v>
      </c>
      <c r="E260" s="630"/>
      <c r="F260" s="630"/>
      <c r="G260" s="631"/>
      <c r="H260" s="631"/>
      <c r="I260" s="631"/>
      <c r="J260" s="138">
        <v>157.5</v>
      </c>
      <c r="K260" s="138">
        <v>594.20000000000005</v>
      </c>
      <c r="L260" s="138">
        <v>598.9</v>
      </c>
      <c r="M260" s="138"/>
      <c r="N260" s="138">
        <v>559</v>
      </c>
      <c r="O260" s="138">
        <v>577.5</v>
      </c>
      <c r="P260" s="138">
        <v>577.29999999999995</v>
      </c>
      <c r="Q260" s="138">
        <v>590.9</v>
      </c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 spans="4:26" x14ac:dyDescent="0.3">
      <c r="D261" s="136">
        <v>38</v>
      </c>
      <c r="E261" s="630"/>
      <c r="F261" s="630"/>
      <c r="G261" s="631"/>
      <c r="H261" s="631"/>
      <c r="I261" s="631"/>
      <c r="J261" s="138">
        <v>158.6</v>
      </c>
      <c r="K261" s="138">
        <v>597</v>
      </c>
      <c r="L261" s="138">
        <v>601.5</v>
      </c>
      <c r="M261" s="138"/>
      <c r="N261" s="138">
        <v>561.5</v>
      </c>
      <c r="O261" s="138">
        <v>580.4</v>
      </c>
      <c r="P261" s="138">
        <v>580.20000000000005</v>
      </c>
      <c r="Q261" s="138">
        <v>593.9</v>
      </c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 spans="4:26" x14ac:dyDescent="0.3">
      <c r="D262" s="136">
        <v>39</v>
      </c>
      <c r="E262" s="630"/>
      <c r="F262" s="630"/>
      <c r="G262" s="631"/>
      <c r="H262" s="631"/>
      <c r="I262" s="631"/>
      <c r="J262" s="138">
        <v>158.80000000000001</v>
      </c>
      <c r="K262" s="138">
        <v>599.79999999999995</v>
      </c>
      <c r="L262" s="138">
        <v>604.20000000000005</v>
      </c>
      <c r="M262" s="138"/>
      <c r="N262" s="138">
        <v>564</v>
      </c>
      <c r="O262" s="138">
        <v>583.29999999999995</v>
      </c>
      <c r="P262" s="138">
        <v>583.20000000000005</v>
      </c>
      <c r="Q262" s="138">
        <v>597</v>
      </c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 spans="4:26" x14ac:dyDescent="0.3">
      <c r="D263" s="623">
        <v>40</v>
      </c>
      <c r="E263" s="630"/>
      <c r="F263" s="630"/>
      <c r="G263" s="631"/>
      <c r="H263" s="631"/>
      <c r="I263" s="631"/>
      <c r="J263" s="625">
        <v>159</v>
      </c>
      <c r="K263" s="625">
        <v>602.6</v>
      </c>
      <c r="L263" s="625">
        <v>606.9</v>
      </c>
      <c r="M263" s="625"/>
      <c r="N263" s="625">
        <v>566.4</v>
      </c>
      <c r="O263" s="625">
        <v>586.1</v>
      </c>
      <c r="P263" s="625">
        <v>586.1</v>
      </c>
      <c r="Q263" s="625">
        <v>600</v>
      </c>
      <c r="R263" s="625"/>
      <c r="S263" s="625"/>
      <c r="T263" s="625"/>
      <c r="U263" s="625"/>
      <c r="V263" s="625"/>
      <c r="W263" s="625"/>
      <c r="X263" s="625"/>
      <c r="Y263" s="625"/>
      <c r="Z263" s="625"/>
    </row>
    <row r="264" spans="4:26" x14ac:dyDescent="0.3">
      <c r="D264" s="136">
        <v>41</v>
      </c>
      <c r="E264" s="630"/>
      <c r="F264" s="630"/>
      <c r="G264" s="631"/>
      <c r="H264" s="631"/>
      <c r="I264" s="631"/>
      <c r="J264" s="138">
        <v>159.30000000000001</v>
      </c>
      <c r="K264" s="138">
        <v>605.5</v>
      </c>
      <c r="L264" s="138">
        <v>609.5</v>
      </c>
      <c r="M264" s="138"/>
      <c r="N264" s="138">
        <v>568.6</v>
      </c>
      <c r="O264" s="138">
        <v>588.9</v>
      </c>
      <c r="P264" s="138">
        <v>589</v>
      </c>
      <c r="Q264" s="138">
        <v>603.20000000000005</v>
      </c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 spans="4:26" x14ac:dyDescent="0.3">
      <c r="D265" s="136">
        <v>42</v>
      </c>
      <c r="E265" s="630"/>
      <c r="F265" s="630"/>
      <c r="G265" s="631"/>
      <c r="H265" s="631"/>
      <c r="I265" s="631"/>
      <c r="J265" s="138">
        <v>160.19999999999999</v>
      </c>
      <c r="K265" s="138">
        <v>608.29999999999995</v>
      </c>
      <c r="L265" s="138">
        <v>612.1</v>
      </c>
      <c r="M265" s="138"/>
      <c r="N265" s="138">
        <v>570.79999999999995</v>
      </c>
      <c r="O265" s="138">
        <v>591.79999999999995</v>
      </c>
      <c r="P265" s="138">
        <v>591.9</v>
      </c>
      <c r="Q265" s="138">
        <v>606.5</v>
      </c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 spans="4:26" x14ac:dyDescent="0.3">
      <c r="D266" s="136">
        <v>43</v>
      </c>
      <c r="E266" s="630"/>
      <c r="F266" s="630"/>
      <c r="G266" s="631"/>
      <c r="H266" s="631"/>
      <c r="I266" s="631"/>
      <c r="J266" s="138">
        <v>161</v>
      </c>
      <c r="K266" s="138">
        <v>611</v>
      </c>
      <c r="L266" s="138">
        <v>614.70000000000005</v>
      </c>
      <c r="M266" s="138"/>
      <c r="N266" s="138">
        <v>572.9</v>
      </c>
      <c r="O266" s="138">
        <v>594.5</v>
      </c>
      <c r="P266" s="138">
        <v>594.70000000000005</v>
      </c>
      <c r="Q266" s="138">
        <v>609.70000000000005</v>
      </c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 spans="4:26" x14ac:dyDescent="0.3">
      <c r="D267" s="136">
        <v>44</v>
      </c>
      <c r="E267" s="630"/>
      <c r="F267" s="630"/>
      <c r="G267" s="631"/>
      <c r="H267" s="631"/>
      <c r="I267" s="631"/>
      <c r="J267" s="138">
        <v>162.30000000000001</v>
      </c>
      <c r="K267" s="138">
        <v>613.79999999999995</v>
      </c>
      <c r="L267" s="138">
        <v>617.4</v>
      </c>
      <c r="M267" s="138"/>
      <c r="N267" s="138">
        <v>575</v>
      </c>
      <c r="O267" s="138">
        <v>597.29999999999995</v>
      </c>
      <c r="P267" s="138">
        <v>597.5</v>
      </c>
      <c r="Q267" s="138">
        <v>613</v>
      </c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 spans="4:26" x14ac:dyDescent="0.3">
      <c r="D268" s="136">
        <v>45</v>
      </c>
      <c r="E268" s="630"/>
      <c r="F268" s="630"/>
      <c r="G268" s="631"/>
      <c r="H268" s="631"/>
      <c r="I268" s="631"/>
      <c r="J268" s="138">
        <v>165.2</v>
      </c>
      <c r="K268" s="138">
        <v>616.6</v>
      </c>
      <c r="L268" s="138">
        <v>620.20000000000005</v>
      </c>
      <c r="M268" s="138"/>
      <c r="N268" s="138">
        <v>577.20000000000005</v>
      </c>
      <c r="O268" s="138">
        <v>600.1</v>
      </c>
      <c r="P268" s="138">
        <v>600.29999999999995</v>
      </c>
      <c r="Q268" s="138">
        <v>616.29999999999995</v>
      </c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 spans="4:26" x14ac:dyDescent="0.3">
      <c r="D269" s="136">
        <v>46</v>
      </c>
      <c r="E269" s="630"/>
      <c r="F269" s="630"/>
      <c r="G269" s="631"/>
      <c r="H269" s="631"/>
      <c r="I269" s="631"/>
      <c r="J269" s="138">
        <v>165.5</v>
      </c>
      <c r="K269" s="138">
        <v>619.4</v>
      </c>
      <c r="L269" s="138">
        <v>622.9</v>
      </c>
      <c r="M269" s="138"/>
      <c r="N269" s="138">
        <v>579.4</v>
      </c>
      <c r="O269" s="138">
        <v>603</v>
      </c>
      <c r="P269" s="138">
        <v>603.4</v>
      </c>
      <c r="Q269" s="138">
        <v>619.79999999999995</v>
      </c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 spans="4:26" x14ac:dyDescent="0.3">
      <c r="D270" s="136">
        <v>47</v>
      </c>
      <c r="E270" s="630"/>
      <c r="F270" s="630"/>
      <c r="G270" s="631"/>
      <c r="H270" s="631"/>
      <c r="I270" s="631"/>
      <c r="J270" s="138">
        <v>165.8</v>
      </c>
      <c r="K270" s="138">
        <v>622.29999999999995</v>
      </c>
      <c r="L270" s="138">
        <v>625.5</v>
      </c>
      <c r="M270" s="138"/>
      <c r="N270" s="138">
        <v>581.6</v>
      </c>
      <c r="O270" s="138">
        <v>606</v>
      </c>
      <c r="P270" s="138">
        <v>606.4</v>
      </c>
      <c r="Q270" s="138">
        <v>623.4</v>
      </c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 spans="4:26" x14ac:dyDescent="0.3">
      <c r="D271" s="136">
        <v>48</v>
      </c>
      <c r="E271" s="630"/>
      <c r="F271" s="630"/>
      <c r="G271" s="631"/>
      <c r="H271" s="631"/>
      <c r="I271" s="631"/>
      <c r="J271" s="138">
        <v>166</v>
      </c>
      <c r="K271" s="138">
        <v>625.1</v>
      </c>
      <c r="L271" s="138">
        <v>628.20000000000005</v>
      </c>
      <c r="M271" s="138"/>
      <c r="N271" s="138">
        <v>583.79999999999995</v>
      </c>
      <c r="O271" s="138">
        <v>608.9</v>
      </c>
      <c r="P271" s="138">
        <v>609.4</v>
      </c>
      <c r="Q271" s="138">
        <v>626.79999999999995</v>
      </c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 spans="4:26" x14ac:dyDescent="0.3">
      <c r="D272" s="136">
        <v>49</v>
      </c>
      <c r="E272" s="630"/>
      <c r="F272" s="630"/>
      <c r="G272" s="631"/>
      <c r="H272" s="631"/>
      <c r="I272" s="631"/>
      <c r="J272" s="138">
        <v>166.1</v>
      </c>
      <c r="K272" s="138">
        <v>627.9</v>
      </c>
      <c r="L272" s="138">
        <v>630.79999999999995</v>
      </c>
      <c r="M272" s="138"/>
      <c r="N272" s="138">
        <v>585.9</v>
      </c>
      <c r="O272" s="138">
        <v>611.79999999999995</v>
      </c>
      <c r="P272" s="138">
        <v>612.4</v>
      </c>
      <c r="Q272" s="138">
        <v>630.29999999999995</v>
      </c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 spans="4:26" x14ac:dyDescent="0.3">
      <c r="D273" s="623">
        <v>50</v>
      </c>
      <c r="E273" s="630"/>
      <c r="F273" s="630"/>
      <c r="G273" s="631"/>
      <c r="H273" s="631"/>
      <c r="I273" s="631"/>
      <c r="J273" s="625">
        <v>166.3</v>
      </c>
      <c r="K273" s="625">
        <v>630.70000000000005</v>
      </c>
      <c r="L273" s="625">
        <v>633.5</v>
      </c>
      <c r="M273" s="625"/>
      <c r="N273" s="625">
        <v>588</v>
      </c>
      <c r="O273" s="625">
        <v>614.79999999999995</v>
      </c>
      <c r="P273" s="625">
        <v>615.5</v>
      </c>
      <c r="Q273" s="625">
        <v>633.70000000000005</v>
      </c>
      <c r="R273" s="625"/>
      <c r="S273" s="625"/>
      <c r="T273" s="625"/>
      <c r="U273" s="625"/>
      <c r="V273" s="625"/>
      <c r="W273" s="625"/>
      <c r="X273" s="625"/>
      <c r="Y273" s="625"/>
      <c r="Z273" s="625"/>
    </row>
    <row r="274" spans="4:26" x14ac:dyDescent="0.3">
      <c r="D274" s="136">
        <v>51</v>
      </c>
      <c r="E274" s="630"/>
      <c r="F274" s="630"/>
      <c r="G274" s="631"/>
      <c r="H274" s="631"/>
      <c r="I274" s="631"/>
      <c r="J274" s="138">
        <v>169.9</v>
      </c>
      <c r="K274" s="138">
        <v>633.4</v>
      </c>
      <c r="L274" s="138">
        <v>636.1</v>
      </c>
      <c r="M274" s="138"/>
      <c r="N274" s="138">
        <v>590.1</v>
      </c>
      <c r="O274" s="138">
        <v>617.9</v>
      </c>
      <c r="P274" s="138">
        <v>618.79999999999995</v>
      </c>
      <c r="Q274" s="138">
        <v>637.4</v>
      </c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 spans="4:26" x14ac:dyDescent="0.3">
      <c r="D275" s="136">
        <v>52</v>
      </c>
      <c r="E275" s="630"/>
      <c r="F275" s="630"/>
      <c r="G275" s="631"/>
      <c r="H275" s="631"/>
      <c r="I275" s="631"/>
      <c r="J275" s="138">
        <v>171.1</v>
      </c>
      <c r="K275" s="138">
        <v>636.20000000000005</v>
      </c>
      <c r="L275" s="138">
        <v>638.9</v>
      </c>
      <c r="M275" s="138"/>
      <c r="N275" s="138">
        <v>592.29999999999995</v>
      </c>
      <c r="O275" s="138">
        <v>621.1</v>
      </c>
      <c r="P275" s="138">
        <v>622.1</v>
      </c>
      <c r="Q275" s="138">
        <v>641.20000000000005</v>
      </c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 spans="4:26" x14ac:dyDescent="0.3">
      <c r="D276" s="136">
        <v>53</v>
      </c>
      <c r="E276" s="630"/>
      <c r="F276" s="630"/>
      <c r="G276" s="631"/>
      <c r="H276" s="631"/>
      <c r="I276" s="631"/>
      <c r="J276" s="138">
        <v>179.4</v>
      </c>
      <c r="K276" s="138">
        <v>639.1</v>
      </c>
      <c r="L276" s="138">
        <v>641.70000000000005</v>
      </c>
      <c r="M276" s="138"/>
      <c r="N276" s="138">
        <v>594.29999999999995</v>
      </c>
      <c r="O276" s="138">
        <v>624.20000000000005</v>
      </c>
      <c r="P276" s="138">
        <v>625.29999999999995</v>
      </c>
      <c r="Q276" s="138">
        <v>645.29999999999995</v>
      </c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 spans="4:26" x14ac:dyDescent="0.3">
      <c r="D277" s="136">
        <v>54</v>
      </c>
      <c r="E277" s="630"/>
      <c r="F277" s="630"/>
      <c r="G277" s="631"/>
      <c r="H277" s="631"/>
      <c r="I277" s="631"/>
      <c r="J277" s="138">
        <v>191.7</v>
      </c>
      <c r="K277" s="138">
        <v>642.1</v>
      </c>
      <c r="L277" s="138">
        <v>644.6</v>
      </c>
      <c r="M277" s="138"/>
      <c r="N277" s="138">
        <v>596.4</v>
      </c>
      <c r="O277" s="138">
        <v>627.29999999999995</v>
      </c>
      <c r="P277" s="138">
        <v>628.6</v>
      </c>
      <c r="Q277" s="138">
        <v>649.29999999999995</v>
      </c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 spans="4:26" x14ac:dyDescent="0.3">
      <c r="D278" s="136">
        <v>55</v>
      </c>
      <c r="E278" s="630"/>
      <c r="F278" s="630"/>
      <c r="G278" s="631"/>
      <c r="H278" s="631"/>
      <c r="I278" s="631"/>
      <c r="J278" s="138">
        <v>251.2</v>
      </c>
      <c r="K278" s="138">
        <v>645.1</v>
      </c>
      <c r="L278" s="138">
        <v>647.5</v>
      </c>
      <c r="M278" s="138"/>
      <c r="N278" s="138">
        <v>598.5</v>
      </c>
      <c r="O278" s="138">
        <v>630.29999999999995</v>
      </c>
      <c r="P278" s="138">
        <v>631.79999999999995</v>
      </c>
      <c r="Q278" s="138">
        <v>653.29999999999995</v>
      </c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 spans="4:26" x14ac:dyDescent="0.3">
      <c r="D279" s="136">
        <v>56</v>
      </c>
      <c r="E279" s="630"/>
      <c r="F279" s="630"/>
      <c r="G279" s="631"/>
      <c r="H279" s="631"/>
      <c r="I279" s="631"/>
      <c r="J279" s="138">
        <v>303.60000000000002</v>
      </c>
      <c r="K279" s="138">
        <v>648.20000000000005</v>
      </c>
      <c r="L279" s="138">
        <v>650.29999999999995</v>
      </c>
      <c r="M279" s="138"/>
      <c r="N279" s="138">
        <v>600.6</v>
      </c>
      <c r="O279" s="138">
        <v>633.4</v>
      </c>
      <c r="P279" s="138">
        <v>635.1</v>
      </c>
      <c r="Q279" s="138">
        <v>657.1</v>
      </c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 spans="4:26" x14ac:dyDescent="0.3">
      <c r="D280" s="136">
        <v>57</v>
      </c>
      <c r="E280" s="630"/>
      <c r="F280" s="630"/>
      <c r="G280" s="631"/>
      <c r="H280" s="631"/>
      <c r="I280" s="631"/>
      <c r="J280" s="138">
        <v>342.9</v>
      </c>
      <c r="K280" s="138">
        <v>651.1</v>
      </c>
      <c r="L280" s="138">
        <v>653.1</v>
      </c>
      <c r="M280" s="138"/>
      <c r="N280" s="138">
        <v>602.79999999999995</v>
      </c>
      <c r="O280" s="138">
        <v>636.5</v>
      </c>
      <c r="P280" s="138">
        <v>638.70000000000005</v>
      </c>
      <c r="Q280" s="138">
        <v>661.9</v>
      </c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 spans="4:26" x14ac:dyDescent="0.3">
      <c r="D281" s="136">
        <v>58</v>
      </c>
      <c r="E281" s="630"/>
      <c r="F281" s="630"/>
      <c r="G281" s="631"/>
      <c r="H281" s="631"/>
      <c r="I281" s="631"/>
      <c r="J281" s="138">
        <v>371.7</v>
      </c>
      <c r="K281" s="138">
        <v>654</v>
      </c>
      <c r="L281" s="138">
        <v>655.7</v>
      </c>
      <c r="M281" s="138"/>
      <c r="N281" s="138">
        <v>605</v>
      </c>
      <c r="O281" s="138">
        <v>639.79999999999995</v>
      </c>
      <c r="P281" s="138">
        <v>642.4</v>
      </c>
      <c r="Q281" s="138">
        <v>667.2</v>
      </c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 spans="4:26" x14ac:dyDescent="0.3">
      <c r="D282" s="136">
        <v>59</v>
      </c>
      <c r="E282" s="630"/>
      <c r="F282" s="630"/>
      <c r="G282" s="631"/>
      <c r="H282" s="631"/>
      <c r="I282" s="631"/>
      <c r="J282" s="138">
        <v>393.3</v>
      </c>
      <c r="K282" s="138">
        <v>656.9</v>
      </c>
      <c r="L282" s="138">
        <v>658.6</v>
      </c>
      <c r="M282" s="138"/>
      <c r="N282" s="138">
        <v>607.29999999999995</v>
      </c>
      <c r="O282" s="138">
        <v>643.20000000000005</v>
      </c>
      <c r="P282" s="138">
        <v>646.4</v>
      </c>
      <c r="Q282" s="138">
        <v>672.2</v>
      </c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 spans="4:26" x14ac:dyDescent="0.3">
      <c r="D283" s="623">
        <v>60</v>
      </c>
      <c r="E283" s="630"/>
      <c r="F283" s="630"/>
      <c r="G283" s="631"/>
      <c r="H283" s="631"/>
      <c r="I283" s="631"/>
      <c r="J283" s="625">
        <v>412.8</v>
      </c>
      <c r="K283" s="625">
        <v>660.4</v>
      </c>
      <c r="L283" s="625">
        <v>662.2</v>
      </c>
      <c r="M283" s="625"/>
      <c r="N283" s="625">
        <v>609.5</v>
      </c>
      <c r="O283" s="625">
        <v>646.70000000000005</v>
      </c>
      <c r="P283" s="625">
        <v>650.20000000000005</v>
      </c>
      <c r="Q283" s="625">
        <v>677.6</v>
      </c>
      <c r="R283" s="625"/>
      <c r="S283" s="625"/>
      <c r="T283" s="625"/>
      <c r="U283" s="625"/>
      <c r="V283" s="625"/>
      <c r="W283" s="625"/>
      <c r="X283" s="625"/>
      <c r="Y283" s="625"/>
      <c r="Z283" s="625"/>
    </row>
    <row r="284" spans="4:26" x14ac:dyDescent="0.3">
      <c r="D284" s="136">
        <v>61</v>
      </c>
      <c r="E284" s="630"/>
      <c r="F284" s="630"/>
      <c r="G284" s="631"/>
      <c r="H284" s="631"/>
      <c r="I284" s="631"/>
      <c r="J284" s="138">
        <v>430.1</v>
      </c>
      <c r="K284" s="138">
        <v>664.2</v>
      </c>
      <c r="L284" s="138">
        <v>665.8</v>
      </c>
      <c r="M284" s="138"/>
      <c r="N284" s="138">
        <v>611.70000000000005</v>
      </c>
      <c r="O284" s="138">
        <v>650.1</v>
      </c>
      <c r="P284" s="138">
        <v>654.1</v>
      </c>
      <c r="Q284" s="138">
        <v>683.6</v>
      </c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 spans="4:26" x14ac:dyDescent="0.3">
      <c r="D285" s="136">
        <v>62</v>
      </c>
      <c r="E285" s="630"/>
      <c r="F285" s="630"/>
      <c r="G285" s="631"/>
      <c r="H285" s="631"/>
      <c r="I285" s="631"/>
      <c r="J285" s="138">
        <v>447.1</v>
      </c>
      <c r="K285" s="138">
        <v>668.1</v>
      </c>
      <c r="L285" s="138">
        <v>669.4</v>
      </c>
      <c r="M285" s="138"/>
      <c r="N285" s="138">
        <v>613.9</v>
      </c>
      <c r="O285" s="138">
        <v>653.5</v>
      </c>
      <c r="P285" s="138">
        <v>657.9</v>
      </c>
      <c r="Q285" s="138">
        <v>689.4</v>
      </c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 spans="4:26" x14ac:dyDescent="0.3">
      <c r="D286" s="136">
        <v>63</v>
      </c>
      <c r="E286" s="630"/>
      <c r="F286" s="630"/>
      <c r="G286" s="631"/>
      <c r="H286" s="631"/>
      <c r="I286" s="631"/>
      <c r="J286" s="138">
        <v>463.6</v>
      </c>
      <c r="K286" s="138">
        <v>671.8</v>
      </c>
      <c r="L286" s="138">
        <v>672.7</v>
      </c>
      <c r="M286" s="138"/>
      <c r="N286" s="138">
        <v>616.20000000000005</v>
      </c>
      <c r="O286" s="138">
        <v>656.7</v>
      </c>
      <c r="P286" s="138">
        <v>663</v>
      </c>
      <c r="Q286" s="138">
        <v>694.7</v>
      </c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 spans="4:26" x14ac:dyDescent="0.3">
      <c r="D287" s="136">
        <v>64</v>
      </c>
      <c r="E287" s="630"/>
      <c r="F287" s="630"/>
      <c r="G287" s="631"/>
      <c r="H287" s="631"/>
      <c r="I287" s="631"/>
      <c r="J287" s="138">
        <v>479.8</v>
      </c>
      <c r="K287" s="138">
        <v>675.3</v>
      </c>
      <c r="L287" s="138">
        <v>676.1</v>
      </c>
      <c r="M287" s="138"/>
      <c r="N287" s="138">
        <v>618.6</v>
      </c>
      <c r="O287" s="138">
        <v>660.6</v>
      </c>
      <c r="P287" s="138">
        <v>668.4</v>
      </c>
      <c r="Q287" s="138">
        <v>701.5</v>
      </c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 spans="4:26" x14ac:dyDescent="0.3">
      <c r="D288" s="136">
        <v>65</v>
      </c>
      <c r="E288" s="630"/>
      <c r="F288" s="630"/>
      <c r="G288" s="631"/>
      <c r="H288" s="631"/>
      <c r="I288" s="631"/>
      <c r="J288" s="138">
        <v>495.6</v>
      </c>
      <c r="K288" s="138">
        <v>679.8</v>
      </c>
      <c r="L288" s="138">
        <v>680.2</v>
      </c>
      <c r="M288" s="138"/>
      <c r="N288" s="138">
        <v>621</v>
      </c>
      <c r="O288" s="138">
        <v>665</v>
      </c>
      <c r="P288" s="138">
        <v>673.5</v>
      </c>
      <c r="Q288" s="138">
        <v>708.4</v>
      </c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 spans="4:26" x14ac:dyDescent="0.3">
      <c r="D289" s="136">
        <v>66</v>
      </c>
      <c r="E289" s="630"/>
      <c r="F289" s="630"/>
      <c r="G289" s="631"/>
      <c r="H289" s="631"/>
      <c r="I289" s="631"/>
      <c r="J289" s="138">
        <v>509.5</v>
      </c>
      <c r="K289" s="138">
        <v>683.8</v>
      </c>
      <c r="L289" s="138">
        <v>683.8</v>
      </c>
      <c r="M289" s="138"/>
      <c r="N289" s="138">
        <v>623.4</v>
      </c>
      <c r="O289" s="138">
        <v>669.5</v>
      </c>
      <c r="P289" s="138">
        <v>679.5</v>
      </c>
      <c r="Q289" s="138">
        <v>717.6</v>
      </c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 spans="4:26" x14ac:dyDescent="0.3">
      <c r="D290" s="136">
        <v>67</v>
      </c>
      <c r="E290" s="630"/>
      <c r="F290" s="630"/>
      <c r="G290" s="631"/>
      <c r="H290" s="631"/>
      <c r="I290" s="631"/>
      <c r="J290" s="138">
        <v>522.9</v>
      </c>
      <c r="K290" s="138">
        <v>687.8</v>
      </c>
      <c r="L290" s="138">
        <v>687.5</v>
      </c>
      <c r="M290" s="138"/>
      <c r="N290" s="138">
        <v>625.70000000000005</v>
      </c>
      <c r="O290" s="138">
        <v>673.4</v>
      </c>
      <c r="P290" s="138">
        <v>685.5</v>
      </c>
      <c r="Q290" s="138">
        <v>733.4</v>
      </c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 spans="4:26" x14ac:dyDescent="0.3">
      <c r="D291" s="136">
        <v>68</v>
      </c>
      <c r="E291" s="630"/>
      <c r="F291" s="630"/>
      <c r="G291" s="631"/>
      <c r="H291" s="631"/>
      <c r="I291" s="631"/>
      <c r="J291" s="138">
        <v>534.1</v>
      </c>
      <c r="K291" s="138">
        <v>691.8</v>
      </c>
      <c r="L291" s="138">
        <v>691.3</v>
      </c>
      <c r="M291" s="138"/>
      <c r="N291" s="138">
        <v>628</v>
      </c>
      <c r="O291" s="138">
        <v>678</v>
      </c>
      <c r="P291" s="138">
        <v>691.7</v>
      </c>
      <c r="Q291" s="138" t="s">
        <v>17</v>
      </c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 spans="4:26" x14ac:dyDescent="0.3">
      <c r="D292" s="136">
        <v>69</v>
      </c>
      <c r="E292" s="630"/>
      <c r="F292" s="630"/>
      <c r="G292" s="631"/>
      <c r="H292" s="631"/>
      <c r="I292" s="631"/>
      <c r="J292" s="138">
        <v>543.9</v>
      </c>
      <c r="K292" s="138">
        <v>695.2</v>
      </c>
      <c r="L292" s="138">
        <v>694.3</v>
      </c>
      <c r="M292" s="138"/>
      <c r="N292" s="138">
        <v>630.29999999999995</v>
      </c>
      <c r="O292" s="138">
        <v>682.8</v>
      </c>
      <c r="P292" s="138">
        <v>697.9</v>
      </c>
      <c r="Q292" s="138" t="s">
        <v>17</v>
      </c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 spans="4:26" x14ac:dyDescent="0.3">
      <c r="D293" s="623">
        <v>70</v>
      </c>
      <c r="E293" s="630"/>
      <c r="F293" s="630"/>
      <c r="G293" s="631"/>
      <c r="H293" s="631"/>
      <c r="I293" s="631"/>
      <c r="J293" s="625">
        <v>553.1</v>
      </c>
      <c r="K293" s="625">
        <v>700</v>
      </c>
      <c r="L293" s="625">
        <v>698.2</v>
      </c>
      <c r="M293" s="625"/>
      <c r="N293" s="625">
        <v>632.6</v>
      </c>
      <c r="O293" s="625">
        <v>687.2</v>
      </c>
      <c r="P293" s="625">
        <v>705.1</v>
      </c>
      <c r="Q293" s="625" t="s">
        <v>17</v>
      </c>
      <c r="R293" s="625"/>
      <c r="S293" s="625"/>
      <c r="T293" s="625"/>
      <c r="U293" s="625"/>
      <c r="V293" s="625"/>
      <c r="W293" s="625"/>
      <c r="X293" s="625"/>
      <c r="Y293" s="625"/>
      <c r="Z293" s="625"/>
    </row>
    <row r="294" spans="4:26" x14ac:dyDescent="0.3">
      <c r="D294" s="136">
        <v>71</v>
      </c>
      <c r="E294" s="630"/>
      <c r="F294" s="630"/>
      <c r="G294" s="631"/>
      <c r="H294" s="631"/>
      <c r="I294" s="631"/>
      <c r="J294" s="138">
        <v>561.20000000000005</v>
      </c>
      <c r="K294" s="138">
        <v>703.8</v>
      </c>
      <c r="L294" s="138">
        <v>701.9</v>
      </c>
      <c r="M294" s="138"/>
      <c r="N294" s="138">
        <v>634.9</v>
      </c>
      <c r="O294" s="138">
        <v>691.6</v>
      </c>
      <c r="P294" s="138">
        <v>714.2</v>
      </c>
      <c r="Q294" s="138" t="s">
        <v>17</v>
      </c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 spans="4:26" x14ac:dyDescent="0.3">
      <c r="D295" s="136">
        <v>72</v>
      </c>
      <c r="E295" s="630"/>
      <c r="F295" s="630"/>
      <c r="G295" s="631"/>
      <c r="H295" s="631"/>
      <c r="I295" s="631"/>
      <c r="J295" s="138">
        <v>568.4</v>
      </c>
      <c r="K295" s="138">
        <v>708.1</v>
      </c>
      <c r="L295" s="138">
        <v>705.4</v>
      </c>
      <c r="M295" s="138"/>
      <c r="N295" s="138">
        <v>637.4</v>
      </c>
      <c r="O295" s="138">
        <v>695.3</v>
      </c>
      <c r="P295" s="138">
        <v>729.7</v>
      </c>
      <c r="Q295" s="138" t="s">
        <v>17</v>
      </c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 spans="4:26" x14ac:dyDescent="0.3">
      <c r="D296" s="136">
        <v>73</v>
      </c>
      <c r="E296" s="630"/>
      <c r="F296" s="630"/>
      <c r="G296" s="631"/>
      <c r="H296" s="631"/>
      <c r="I296" s="631"/>
      <c r="J296" s="138">
        <v>575</v>
      </c>
      <c r="K296" s="138">
        <v>713.2</v>
      </c>
      <c r="L296" s="138">
        <v>709.3</v>
      </c>
      <c r="M296" s="138"/>
      <c r="N296" s="138">
        <v>639.9</v>
      </c>
      <c r="O296" s="138">
        <v>700.2</v>
      </c>
      <c r="P296" s="138" t="s">
        <v>17</v>
      </c>
      <c r="Q296" s="138" t="s">
        <v>17</v>
      </c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 spans="4:26" x14ac:dyDescent="0.3">
      <c r="D297" s="139">
        <v>74</v>
      </c>
      <c r="E297" s="632"/>
      <c r="F297" s="632"/>
      <c r="G297" s="633"/>
      <c r="H297" s="633"/>
      <c r="I297" s="633"/>
      <c r="J297" s="123">
        <v>581.79999999999995</v>
      </c>
      <c r="K297" s="123">
        <v>718.4</v>
      </c>
      <c r="L297" s="123">
        <v>713.7</v>
      </c>
      <c r="M297" s="123"/>
      <c r="N297" s="123">
        <v>642.4</v>
      </c>
      <c r="O297" s="123">
        <v>704.3</v>
      </c>
      <c r="P297" s="123" t="s">
        <v>17</v>
      </c>
      <c r="Q297" s="123" t="s">
        <v>17</v>
      </c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spans="4:26" x14ac:dyDescent="0.3">
      <c r="D298" s="136">
        <v>75</v>
      </c>
      <c r="E298" s="630"/>
      <c r="F298" s="630"/>
      <c r="G298" s="634"/>
      <c r="H298" s="634"/>
      <c r="I298" s="634"/>
      <c r="J298" s="121">
        <v>588.29999999999995</v>
      </c>
      <c r="K298" s="121">
        <v>724.1</v>
      </c>
      <c r="L298" s="121">
        <v>717.9</v>
      </c>
      <c r="M298" s="121"/>
      <c r="N298" s="121">
        <v>645.1</v>
      </c>
      <c r="O298" s="121">
        <v>708.6</v>
      </c>
      <c r="P298" s="121" t="s">
        <v>17</v>
      </c>
      <c r="Q298" s="121" t="s">
        <v>17</v>
      </c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 spans="4:26" x14ac:dyDescent="0.3">
      <c r="D299" s="136">
        <v>76</v>
      </c>
      <c r="E299" s="630"/>
      <c r="F299" s="630"/>
      <c r="G299" s="634"/>
      <c r="H299" s="634"/>
      <c r="I299" s="634"/>
      <c r="J299" s="121">
        <v>594.79999999999995</v>
      </c>
      <c r="K299" s="121">
        <v>730.7</v>
      </c>
      <c r="L299" s="121">
        <v>722.5</v>
      </c>
      <c r="M299" s="121"/>
      <c r="N299" s="121">
        <v>647.79999999999995</v>
      </c>
      <c r="O299" s="121">
        <v>713.4</v>
      </c>
      <c r="P299" s="121" t="s">
        <v>17</v>
      </c>
      <c r="Q299" s="121" t="s">
        <v>17</v>
      </c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 spans="4:26" x14ac:dyDescent="0.3">
      <c r="D300" s="136">
        <v>77</v>
      </c>
      <c r="E300" s="630"/>
      <c r="F300" s="630"/>
      <c r="G300" s="634"/>
      <c r="H300" s="634"/>
      <c r="I300" s="634"/>
      <c r="J300" s="121">
        <v>601.20000000000005</v>
      </c>
      <c r="K300" s="121" t="s">
        <v>17</v>
      </c>
      <c r="L300" s="121">
        <v>727.4</v>
      </c>
      <c r="M300" s="121"/>
      <c r="N300" s="121">
        <v>650.29999999999995</v>
      </c>
      <c r="O300" s="121">
        <v>718</v>
      </c>
      <c r="P300" s="121" t="s">
        <v>17</v>
      </c>
      <c r="Q300" s="121" t="s">
        <v>17</v>
      </c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 spans="4:26" x14ac:dyDescent="0.3">
      <c r="D301" s="136">
        <v>78</v>
      </c>
      <c r="E301" s="630"/>
      <c r="F301" s="630"/>
      <c r="G301" s="634"/>
      <c r="H301" s="634"/>
      <c r="I301" s="634"/>
      <c r="J301" s="121">
        <v>607.9</v>
      </c>
      <c r="K301" s="121" t="s">
        <v>17</v>
      </c>
      <c r="L301" s="121">
        <v>732.7</v>
      </c>
      <c r="M301" s="121"/>
      <c r="N301" s="121">
        <v>652.9</v>
      </c>
      <c r="O301" s="121">
        <v>722.9</v>
      </c>
      <c r="P301" s="121" t="s">
        <v>17</v>
      </c>
      <c r="Q301" s="121" t="s">
        <v>17</v>
      </c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 spans="4:26" x14ac:dyDescent="0.3">
      <c r="D302" s="136">
        <v>79</v>
      </c>
      <c r="E302" s="630"/>
      <c r="F302" s="630"/>
      <c r="G302" s="634"/>
      <c r="H302" s="634"/>
      <c r="I302" s="634"/>
      <c r="J302" s="121">
        <v>614.5</v>
      </c>
      <c r="K302" s="121" t="s">
        <v>17</v>
      </c>
      <c r="L302" s="121" t="s">
        <v>17</v>
      </c>
      <c r="M302" s="121"/>
      <c r="N302" s="121">
        <v>655.29999999999995</v>
      </c>
      <c r="O302" s="121">
        <v>727.9</v>
      </c>
      <c r="P302" s="121" t="s">
        <v>17</v>
      </c>
      <c r="Q302" s="121" t="s">
        <v>17</v>
      </c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 spans="4:26" x14ac:dyDescent="0.3">
      <c r="D303" s="623">
        <v>80</v>
      </c>
      <c r="E303" s="630"/>
      <c r="F303" s="630"/>
      <c r="G303" s="634"/>
      <c r="H303" s="634"/>
      <c r="I303" s="634"/>
      <c r="J303" s="627">
        <v>621.4</v>
      </c>
      <c r="K303" s="627" t="s">
        <v>17</v>
      </c>
      <c r="L303" s="627" t="s">
        <v>17</v>
      </c>
      <c r="M303" s="627"/>
      <c r="N303" s="627">
        <v>657.8</v>
      </c>
      <c r="O303" s="627">
        <v>733.1</v>
      </c>
      <c r="P303" s="627" t="s">
        <v>17</v>
      </c>
      <c r="Q303" s="627" t="s">
        <v>17</v>
      </c>
      <c r="R303" s="627"/>
      <c r="S303" s="627"/>
      <c r="T303" s="627"/>
      <c r="U303" s="627"/>
      <c r="V303" s="627"/>
      <c r="W303" s="627"/>
      <c r="X303" s="627"/>
      <c r="Y303" s="627"/>
      <c r="Z303" s="627"/>
    </row>
    <row r="304" spans="4:26" x14ac:dyDescent="0.3">
      <c r="D304" s="136">
        <v>81</v>
      </c>
      <c r="E304" s="630"/>
      <c r="F304" s="630"/>
      <c r="G304" s="634"/>
      <c r="H304" s="634"/>
      <c r="I304" s="634"/>
      <c r="J304" s="121">
        <v>628.4</v>
      </c>
      <c r="K304" s="121" t="s">
        <v>17</v>
      </c>
      <c r="L304" s="121" t="s">
        <v>17</v>
      </c>
      <c r="M304" s="121"/>
      <c r="N304" s="121">
        <v>661</v>
      </c>
      <c r="O304" s="121" t="s">
        <v>17</v>
      </c>
      <c r="P304" s="121" t="s">
        <v>17</v>
      </c>
      <c r="Q304" s="121" t="s">
        <v>17</v>
      </c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 spans="4:26" x14ac:dyDescent="0.3">
      <c r="D305" s="136">
        <v>82</v>
      </c>
      <c r="E305" s="630"/>
      <c r="F305" s="630"/>
      <c r="G305" s="634"/>
      <c r="H305" s="634"/>
      <c r="I305" s="634"/>
      <c r="J305" s="121">
        <v>634.9</v>
      </c>
      <c r="K305" s="121" t="s">
        <v>17</v>
      </c>
      <c r="L305" s="121" t="s">
        <v>17</v>
      </c>
      <c r="M305" s="121"/>
      <c r="N305" s="121">
        <v>664.3</v>
      </c>
      <c r="O305" s="121" t="s">
        <v>17</v>
      </c>
      <c r="P305" s="121" t="s">
        <v>17</v>
      </c>
      <c r="Q305" s="121" t="s">
        <v>17</v>
      </c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 spans="4:26" x14ac:dyDescent="0.3">
      <c r="D306" s="136">
        <v>83</v>
      </c>
      <c r="E306" s="630"/>
      <c r="F306" s="630"/>
      <c r="G306" s="634"/>
      <c r="H306" s="634"/>
      <c r="I306" s="634"/>
      <c r="J306" s="121">
        <v>642.1</v>
      </c>
      <c r="K306" s="121" t="s">
        <v>17</v>
      </c>
      <c r="L306" s="121" t="s">
        <v>17</v>
      </c>
      <c r="M306" s="121"/>
      <c r="N306" s="121">
        <v>667.7</v>
      </c>
      <c r="O306" s="121" t="s">
        <v>17</v>
      </c>
      <c r="P306" s="121" t="s">
        <v>17</v>
      </c>
      <c r="Q306" s="121" t="s">
        <v>17</v>
      </c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 spans="4:26" x14ac:dyDescent="0.3">
      <c r="D307" s="136">
        <v>84</v>
      </c>
      <c r="E307" s="630"/>
      <c r="F307" s="630"/>
      <c r="G307" s="634"/>
      <c r="H307" s="634"/>
      <c r="I307" s="634"/>
      <c r="J307" s="121">
        <v>649.5</v>
      </c>
      <c r="K307" s="121" t="s">
        <v>17</v>
      </c>
      <c r="L307" s="121" t="s">
        <v>17</v>
      </c>
      <c r="M307" s="121"/>
      <c r="N307" s="121">
        <v>671</v>
      </c>
      <c r="O307" s="121" t="s">
        <v>17</v>
      </c>
      <c r="P307" s="121" t="s">
        <v>17</v>
      </c>
      <c r="Q307" s="121" t="s">
        <v>17</v>
      </c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 spans="4:26" x14ac:dyDescent="0.3">
      <c r="D308" s="136">
        <v>85</v>
      </c>
      <c r="E308" s="630"/>
      <c r="F308" s="630"/>
      <c r="G308" s="634"/>
      <c r="H308" s="634"/>
      <c r="I308" s="634"/>
      <c r="J308" s="121">
        <v>656.5</v>
      </c>
      <c r="K308" s="121" t="s">
        <v>17</v>
      </c>
      <c r="L308" s="121" t="s">
        <v>17</v>
      </c>
      <c r="M308" s="121"/>
      <c r="N308" s="121">
        <v>674</v>
      </c>
      <c r="O308" s="121" t="s">
        <v>17</v>
      </c>
      <c r="P308" s="121" t="s">
        <v>17</v>
      </c>
      <c r="Q308" s="121" t="s">
        <v>17</v>
      </c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 spans="4:26" x14ac:dyDescent="0.3">
      <c r="D309" s="136">
        <v>86</v>
      </c>
      <c r="E309" s="630"/>
      <c r="F309" s="630"/>
      <c r="G309" s="634"/>
      <c r="H309" s="634"/>
      <c r="I309" s="634"/>
      <c r="J309" s="121">
        <v>665</v>
      </c>
      <c r="K309" s="121" t="s">
        <v>17</v>
      </c>
      <c r="L309" s="121" t="s">
        <v>17</v>
      </c>
      <c r="M309" s="121"/>
      <c r="N309" s="121">
        <v>677.6</v>
      </c>
      <c r="O309" s="121" t="s">
        <v>17</v>
      </c>
      <c r="P309" s="121" t="s">
        <v>17</v>
      </c>
      <c r="Q309" s="121" t="s">
        <v>17</v>
      </c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 spans="4:26" x14ac:dyDescent="0.3">
      <c r="D310" s="136">
        <v>87</v>
      </c>
      <c r="E310" s="630"/>
      <c r="F310" s="630"/>
      <c r="G310" s="634"/>
      <c r="H310" s="634"/>
      <c r="I310" s="634"/>
      <c r="J310" s="121">
        <v>673.5</v>
      </c>
      <c r="K310" s="121" t="s">
        <v>17</v>
      </c>
      <c r="L310" s="121" t="s">
        <v>17</v>
      </c>
      <c r="M310" s="121"/>
      <c r="N310" s="121">
        <v>681.5</v>
      </c>
      <c r="O310" s="121" t="s">
        <v>17</v>
      </c>
      <c r="P310" s="121" t="s">
        <v>17</v>
      </c>
      <c r="Q310" s="121" t="s">
        <v>17</v>
      </c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 spans="4:26" x14ac:dyDescent="0.3">
      <c r="D311" s="136">
        <v>88</v>
      </c>
      <c r="E311" s="630"/>
      <c r="F311" s="630"/>
      <c r="G311" s="634"/>
      <c r="H311" s="634"/>
      <c r="I311" s="634"/>
      <c r="J311" s="121">
        <v>682.5</v>
      </c>
      <c r="K311" s="121" t="s">
        <v>17</v>
      </c>
      <c r="L311" s="121" t="s">
        <v>17</v>
      </c>
      <c r="M311" s="121"/>
      <c r="N311" s="121">
        <v>684.9</v>
      </c>
      <c r="O311" s="121" t="s">
        <v>17</v>
      </c>
      <c r="P311" s="121" t="s">
        <v>17</v>
      </c>
      <c r="Q311" s="121" t="s">
        <v>17</v>
      </c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 spans="4:26" x14ac:dyDescent="0.3">
      <c r="D312" s="136">
        <v>89</v>
      </c>
      <c r="E312" s="630"/>
      <c r="F312" s="630"/>
      <c r="G312" s="634"/>
      <c r="H312" s="634"/>
      <c r="I312" s="634"/>
      <c r="J312" s="121">
        <v>690.8</v>
      </c>
      <c r="K312" s="121" t="s">
        <v>17</v>
      </c>
      <c r="L312" s="121" t="s">
        <v>17</v>
      </c>
      <c r="M312" s="121"/>
      <c r="N312" s="121">
        <v>688.4</v>
      </c>
      <c r="O312" s="121" t="s">
        <v>17</v>
      </c>
      <c r="P312" s="121" t="s">
        <v>17</v>
      </c>
      <c r="Q312" s="121" t="s">
        <v>17</v>
      </c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 spans="4:26" x14ac:dyDescent="0.3">
      <c r="D313" s="623">
        <v>90</v>
      </c>
      <c r="E313" s="630"/>
      <c r="F313" s="630"/>
      <c r="G313" s="634"/>
      <c r="H313" s="634"/>
      <c r="I313" s="634"/>
      <c r="J313" s="627">
        <v>698.3</v>
      </c>
      <c r="K313" s="627" t="s">
        <v>17</v>
      </c>
      <c r="L313" s="627" t="s">
        <v>17</v>
      </c>
      <c r="M313" s="627"/>
      <c r="N313" s="627">
        <v>691.8</v>
      </c>
      <c r="O313" s="627" t="s">
        <v>17</v>
      </c>
      <c r="P313" s="627" t="s">
        <v>17</v>
      </c>
      <c r="Q313" s="627" t="s">
        <v>17</v>
      </c>
      <c r="R313" s="627"/>
      <c r="S313" s="627"/>
      <c r="T313" s="627"/>
      <c r="U313" s="627"/>
      <c r="V313" s="627"/>
      <c r="W313" s="627"/>
      <c r="X313" s="627"/>
      <c r="Y313" s="627"/>
      <c r="Z313" s="627"/>
    </row>
    <row r="314" spans="4:26" x14ac:dyDescent="0.3">
      <c r="D314" s="136">
        <v>91</v>
      </c>
      <c r="E314" s="630"/>
      <c r="F314" s="630"/>
      <c r="G314" s="635"/>
      <c r="H314" s="635"/>
      <c r="I314" s="635"/>
      <c r="J314" s="121">
        <v>705.6</v>
      </c>
      <c r="K314" s="121" t="s">
        <v>17</v>
      </c>
      <c r="L314" s="121" t="s">
        <v>17</v>
      </c>
      <c r="M314" s="121"/>
      <c r="N314" s="121">
        <v>694.7</v>
      </c>
      <c r="O314" s="121" t="s">
        <v>17</v>
      </c>
      <c r="P314" s="121" t="s">
        <v>17</v>
      </c>
      <c r="Q314" s="121" t="s">
        <v>17</v>
      </c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 spans="4:26" x14ac:dyDescent="0.3">
      <c r="D315" s="136">
        <v>92</v>
      </c>
      <c r="E315" s="630"/>
      <c r="F315" s="630"/>
      <c r="G315" s="635"/>
      <c r="H315" s="635"/>
      <c r="I315" s="635"/>
      <c r="J315" s="121">
        <v>713.5</v>
      </c>
      <c r="K315" s="121" t="s">
        <v>17</v>
      </c>
      <c r="L315" s="121" t="s">
        <v>17</v>
      </c>
      <c r="M315" s="121"/>
      <c r="N315" s="121">
        <v>698.8</v>
      </c>
      <c r="O315" s="121" t="s">
        <v>17</v>
      </c>
      <c r="P315" s="121" t="s">
        <v>17</v>
      </c>
      <c r="Q315" s="121" t="s">
        <v>17</v>
      </c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 spans="4:26" x14ac:dyDescent="0.3">
      <c r="D316" s="136">
        <v>93</v>
      </c>
      <c r="E316" s="630"/>
      <c r="F316" s="630"/>
      <c r="G316" s="635"/>
      <c r="H316" s="635"/>
      <c r="I316" s="635"/>
      <c r="J316" s="121" t="s">
        <v>17</v>
      </c>
      <c r="K316" s="121" t="s">
        <v>17</v>
      </c>
      <c r="L316" s="121" t="s">
        <v>17</v>
      </c>
      <c r="M316" s="121"/>
      <c r="N316" s="121">
        <v>702.4</v>
      </c>
      <c r="O316" s="121" t="s">
        <v>17</v>
      </c>
      <c r="P316" s="121" t="s">
        <v>17</v>
      </c>
      <c r="Q316" s="121" t="s">
        <v>17</v>
      </c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 spans="4:26" x14ac:dyDescent="0.3">
      <c r="D317" s="136">
        <v>94</v>
      </c>
      <c r="E317" s="630"/>
      <c r="F317" s="630"/>
      <c r="G317" s="635"/>
      <c r="H317" s="635"/>
      <c r="I317" s="635"/>
      <c r="J317" s="121" t="s">
        <v>17</v>
      </c>
      <c r="K317" s="121" t="s">
        <v>17</v>
      </c>
      <c r="L317" s="121" t="s">
        <v>17</v>
      </c>
      <c r="M317" s="121"/>
      <c r="N317" s="121">
        <v>706</v>
      </c>
      <c r="O317" s="121" t="s">
        <v>17</v>
      </c>
      <c r="P317" s="121" t="s">
        <v>17</v>
      </c>
      <c r="Q317" s="121" t="s">
        <v>17</v>
      </c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 spans="4:26" x14ac:dyDescent="0.3">
      <c r="D318" s="623">
        <v>95</v>
      </c>
      <c r="E318" s="630"/>
      <c r="F318" s="630"/>
      <c r="G318" s="635"/>
      <c r="H318" s="635"/>
      <c r="I318" s="635"/>
      <c r="J318" s="627" t="s">
        <v>17</v>
      </c>
      <c r="K318" s="627" t="s">
        <v>17</v>
      </c>
      <c r="L318" s="627" t="s">
        <v>17</v>
      </c>
      <c r="M318" s="627"/>
      <c r="N318" s="627">
        <v>710</v>
      </c>
      <c r="O318" s="627" t="s">
        <v>17</v>
      </c>
      <c r="P318" s="627" t="s">
        <v>17</v>
      </c>
      <c r="Q318" s="627" t="s">
        <v>17</v>
      </c>
      <c r="R318" s="627"/>
      <c r="S318" s="627"/>
      <c r="T318" s="627"/>
      <c r="U318" s="627"/>
      <c r="V318" s="627"/>
      <c r="W318" s="627"/>
      <c r="X318" s="627"/>
      <c r="Y318" s="627"/>
      <c r="Z318" s="627"/>
    </row>
    <row r="319" spans="4:26" x14ac:dyDescent="0.3">
      <c r="D319" s="136">
        <v>96</v>
      </c>
      <c r="E319" s="630"/>
      <c r="F319" s="630"/>
      <c r="G319" s="635"/>
      <c r="H319" s="635"/>
      <c r="I319" s="635"/>
      <c r="J319" s="121" t="s">
        <v>17</v>
      </c>
      <c r="K319" s="121" t="s">
        <v>17</v>
      </c>
      <c r="L319" s="121" t="s">
        <v>17</v>
      </c>
      <c r="M319" s="121"/>
      <c r="N319" s="121">
        <v>714.3</v>
      </c>
      <c r="O319" s="121" t="s">
        <v>17</v>
      </c>
      <c r="P319" s="121" t="s">
        <v>17</v>
      </c>
      <c r="Q319" s="121" t="s">
        <v>17</v>
      </c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 spans="4:26" x14ac:dyDescent="0.3">
      <c r="D320" s="136">
        <v>97</v>
      </c>
      <c r="E320" s="630"/>
      <c r="F320" s="630"/>
      <c r="G320" s="635"/>
      <c r="H320" s="635"/>
      <c r="I320" s="635"/>
      <c r="J320" s="121" t="s">
        <v>17</v>
      </c>
      <c r="K320" s="121" t="s">
        <v>17</v>
      </c>
      <c r="L320" s="121" t="s">
        <v>17</v>
      </c>
      <c r="M320" s="121"/>
      <c r="N320" s="121">
        <v>718.8</v>
      </c>
      <c r="O320" s="121" t="s">
        <v>17</v>
      </c>
      <c r="P320" s="121" t="s">
        <v>17</v>
      </c>
      <c r="Q320" s="121" t="s">
        <v>17</v>
      </c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 spans="4:26" x14ac:dyDescent="0.3">
      <c r="D321" s="136">
        <v>98</v>
      </c>
      <c r="E321" s="630"/>
      <c r="F321" s="630"/>
      <c r="G321" s="635"/>
      <c r="H321" s="635"/>
      <c r="I321" s="635"/>
      <c r="J321" s="121" t="s">
        <v>17</v>
      </c>
      <c r="K321" s="121" t="s">
        <v>17</v>
      </c>
      <c r="L321" s="121" t="s">
        <v>17</v>
      </c>
      <c r="M321" s="121"/>
      <c r="N321" s="121">
        <v>723.7</v>
      </c>
      <c r="O321" s="121" t="s">
        <v>17</v>
      </c>
      <c r="P321" s="121" t="s">
        <v>17</v>
      </c>
      <c r="Q321" s="121" t="s">
        <v>17</v>
      </c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 spans="4:26" x14ac:dyDescent="0.3">
      <c r="D322" s="136">
        <v>99</v>
      </c>
      <c r="E322" s="630"/>
      <c r="F322" s="630"/>
      <c r="G322" s="635"/>
      <c r="H322" s="635"/>
      <c r="I322" s="635"/>
      <c r="J322" s="121" t="s">
        <v>17</v>
      </c>
      <c r="K322" s="121" t="s">
        <v>17</v>
      </c>
      <c r="L322" s="121" t="s">
        <v>17</v>
      </c>
      <c r="M322" s="121"/>
      <c r="N322" s="121">
        <v>729</v>
      </c>
      <c r="O322" s="121" t="s">
        <v>17</v>
      </c>
      <c r="P322" s="121" t="s">
        <v>17</v>
      </c>
      <c r="Q322" s="121" t="s">
        <v>17</v>
      </c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 spans="4:26" x14ac:dyDescent="0.3">
      <c r="D323" s="623">
        <v>100</v>
      </c>
      <c r="E323" s="630"/>
      <c r="F323" s="630"/>
      <c r="G323" s="635"/>
      <c r="H323" s="635"/>
      <c r="I323" s="635"/>
      <c r="J323" s="627" t="s">
        <v>17</v>
      </c>
      <c r="K323" s="627" t="s">
        <v>17</v>
      </c>
      <c r="L323" s="627" t="s">
        <v>17</v>
      </c>
      <c r="M323" s="627"/>
      <c r="N323" s="627">
        <v>731.8</v>
      </c>
      <c r="O323" s="627" t="s">
        <v>17</v>
      </c>
      <c r="P323" s="627" t="s">
        <v>17</v>
      </c>
      <c r="Q323" s="627" t="s">
        <v>17</v>
      </c>
      <c r="R323" s="627"/>
      <c r="S323" s="627"/>
      <c r="T323" s="627"/>
      <c r="U323" s="627"/>
      <c r="V323" s="627"/>
      <c r="W323" s="627"/>
      <c r="X323" s="627"/>
      <c r="Y323" s="627"/>
      <c r="Z323" s="627"/>
    </row>
  </sheetData>
  <mergeCells count="3">
    <mergeCell ref="D1:M1"/>
    <mergeCell ref="Z113:AE113"/>
    <mergeCell ref="Z220:AE220"/>
  </mergeCells>
  <printOptions horizontalCentered="1"/>
  <pageMargins left="0.24" right="0.17" top="0.52" bottom="0.38" header="0.31496062992126" footer="0.16"/>
  <pageSetup paperSize="9" scale="3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AF26-3CC9-46B6-8FC3-3582411E4209}">
  <dimension ref="B1:P26"/>
  <sheetViews>
    <sheetView topLeftCell="A9" workbookViewId="0">
      <selection activeCell="L24" sqref="L24"/>
    </sheetView>
  </sheetViews>
  <sheetFormatPr defaultRowHeight="15" x14ac:dyDescent="0.25"/>
  <cols>
    <col min="2" max="3" width="19.140625" customWidth="1"/>
    <col min="8" max="8" width="16.85546875" customWidth="1"/>
    <col min="9" max="9" width="16.42578125" customWidth="1"/>
    <col min="11" max="11" width="10.42578125" bestFit="1" customWidth="1"/>
  </cols>
  <sheetData>
    <row r="1" spans="2:16" ht="15.75" thickBot="1" x14ac:dyDescent="0.3"/>
    <row r="2" spans="2:16" ht="30.75" thickBot="1" x14ac:dyDescent="0.3">
      <c r="C2" s="168" t="s">
        <v>557</v>
      </c>
      <c r="D2" s="168"/>
      <c r="F2" s="878" t="s">
        <v>558</v>
      </c>
      <c r="G2" s="879"/>
      <c r="H2" s="879"/>
      <c r="I2" s="879"/>
      <c r="J2" s="879"/>
      <c r="K2" s="880"/>
      <c r="M2" s="307" t="s">
        <v>559</v>
      </c>
      <c r="N2" s="871">
        <v>1</v>
      </c>
      <c r="O2" s="872">
        <v>2</v>
      </c>
      <c r="P2" s="873">
        <v>3</v>
      </c>
    </row>
    <row r="3" spans="2:16" x14ac:dyDescent="0.25">
      <c r="F3" s="881"/>
      <c r="G3" s="241"/>
      <c r="H3" s="241"/>
      <c r="I3" s="241"/>
      <c r="J3" s="241"/>
      <c r="K3" s="882"/>
      <c r="M3" s="883" t="s">
        <v>560</v>
      </c>
      <c r="N3" s="884"/>
      <c r="O3" s="234"/>
      <c r="P3" s="885"/>
    </row>
    <row r="4" spans="2:16" ht="15.75" thickBot="1" x14ac:dyDescent="0.3">
      <c r="B4" t="s">
        <v>561</v>
      </c>
      <c r="C4">
        <v>0.21</v>
      </c>
      <c r="F4" s="886" t="s">
        <v>156</v>
      </c>
      <c r="G4" s="887" t="s">
        <v>562</v>
      </c>
      <c r="H4" s="887" t="s">
        <v>563</v>
      </c>
      <c r="I4" s="887" t="s">
        <v>564</v>
      </c>
      <c r="J4" s="888" t="s">
        <v>226</v>
      </c>
      <c r="K4" s="889" t="s">
        <v>565</v>
      </c>
      <c r="M4" s="890" t="s">
        <v>566</v>
      </c>
      <c r="N4" s="891"/>
      <c r="O4" s="892"/>
      <c r="P4" s="893"/>
    </row>
    <row r="5" spans="2:16" ht="15.75" thickBot="1" x14ac:dyDescent="0.3">
      <c r="B5" t="s">
        <v>567</v>
      </c>
      <c r="C5" s="175">
        <v>1.46</v>
      </c>
      <c r="F5" s="894">
        <f>C11</f>
        <v>3</v>
      </c>
      <c r="G5" s="895">
        <f>C6</f>
        <v>0.30659999999999998</v>
      </c>
      <c r="H5" s="895">
        <f>(100/(100-F8))^(1/F5)-1</f>
        <v>0.46200886910643302</v>
      </c>
      <c r="I5" s="895">
        <f>EXP($C$22/($C$23*G8))</f>
        <v>105135795892096.88</v>
      </c>
      <c r="J5" s="895"/>
      <c r="K5" s="913">
        <f>F5*G5*H5*I5</f>
        <v>44678061815662.898</v>
      </c>
    </row>
    <row r="6" spans="2:16" ht="15.75" thickBot="1" x14ac:dyDescent="0.3">
      <c r="B6" t="s">
        <v>568</v>
      </c>
      <c r="C6">
        <f>C$4*C$5</f>
        <v>0.30659999999999998</v>
      </c>
      <c r="F6" s="896"/>
      <c r="K6" s="912">
        <f>C26</f>
        <v>44828549902391.68</v>
      </c>
    </row>
    <row r="7" spans="2:16" x14ac:dyDescent="0.25">
      <c r="B7" t="s">
        <v>569</v>
      </c>
      <c r="C7">
        <v>186</v>
      </c>
      <c r="F7" s="897" t="s">
        <v>570</v>
      </c>
      <c r="G7" s="898" t="s">
        <v>571</v>
      </c>
      <c r="H7" s="899" t="s">
        <v>572</v>
      </c>
      <c r="K7" s="900"/>
    </row>
    <row r="8" spans="2:16" ht="15.75" thickBot="1" x14ac:dyDescent="0.3">
      <c r="B8" t="s">
        <v>573</v>
      </c>
      <c r="C8">
        <v>420</v>
      </c>
      <c r="F8" s="901">
        <v>68</v>
      </c>
      <c r="G8" s="902">
        <f>425+273.15+3.3</f>
        <v>701.44999999999993</v>
      </c>
      <c r="H8" s="903">
        <f>G8-273.15</f>
        <v>428.29999999999995</v>
      </c>
      <c r="I8" s="904"/>
      <c r="J8" s="904"/>
      <c r="K8" s="905"/>
    </row>
    <row r="9" spans="2:16" ht="15.75" thickBot="1" x14ac:dyDescent="0.3">
      <c r="B9" t="s">
        <v>574</v>
      </c>
      <c r="C9" s="162">
        <v>421</v>
      </c>
      <c r="D9" s="162">
        <f>AVERAGE(C8:C10)</f>
        <v>421.33333333333331</v>
      </c>
      <c r="E9" s="162">
        <f>H8-D9</f>
        <v>6.9666666666666401</v>
      </c>
    </row>
    <row r="10" spans="2:16" ht="15.75" thickBot="1" x14ac:dyDescent="0.3">
      <c r="B10" t="s">
        <v>575</v>
      </c>
      <c r="C10">
        <v>423</v>
      </c>
      <c r="F10" s="894" t="s">
        <v>576</v>
      </c>
      <c r="G10" s="906">
        <f>G5/1.46</f>
        <v>0.21</v>
      </c>
    </row>
    <row r="11" spans="2:16" x14ac:dyDescent="0.25">
      <c r="B11" t="s">
        <v>577</v>
      </c>
      <c r="C11">
        <v>3</v>
      </c>
    </row>
    <row r="12" spans="2:16" x14ac:dyDescent="0.25">
      <c r="B12" t="s">
        <v>570</v>
      </c>
      <c r="C12">
        <v>58</v>
      </c>
      <c r="E12">
        <f>F8-C12</f>
        <v>10</v>
      </c>
      <c r="F12" s="907"/>
    </row>
    <row r="13" spans="2:16" x14ac:dyDescent="0.25">
      <c r="B13" t="s">
        <v>578</v>
      </c>
      <c r="C13">
        <f>((100/(100-C$12))^(1/C$11)-1)*C$6*C$11</f>
        <v>0.30842229094175977</v>
      </c>
    </row>
    <row r="14" spans="2:16" x14ac:dyDescent="0.25">
      <c r="B14" t="s">
        <v>565</v>
      </c>
      <c r="C14">
        <f>C$13*EXP(C$22/(C$23*C$21))</f>
        <v>44828549902391.68</v>
      </c>
    </row>
    <row r="15" spans="2:16" x14ac:dyDescent="0.25">
      <c r="F15" s="1"/>
    </row>
    <row r="16" spans="2:16" x14ac:dyDescent="0.25">
      <c r="B16" t="s">
        <v>579</v>
      </c>
      <c r="C16">
        <f>100/(100-C$12)</f>
        <v>2.3809523809523809</v>
      </c>
      <c r="F16" s="165"/>
    </row>
    <row r="17" spans="2:6" x14ac:dyDescent="0.25">
      <c r="B17" t="s">
        <v>580</v>
      </c>
      <c r="C17">
        <f>C$16^(1/C$11)</f>
        <v>1.3353145150486625</v>
      </c>
    </row>
    <row r="18" spans="2:6" x14ac:dyDescent="0.25">
      <c r="B18" s="908" t="s">
        <v>581</v>
      </c>
      <c r="C18" s="908">
        <f>C$17-1</f>
        <v>0.3353145150486625</v>
      </c>
    </row>
    <row r="19" spans="2:6" x14ac:dyDescent="0.25">
      <c r="B19" t="s">
        <v>578</v>
      </c>
      <c r="C19">
        <f>C$11*C$6*C$18</f>
        <v>0.30842229094175977</v>
      </c>
    </row>
    <row r="20" spans="2:6" x14ac:dyDescent="0.25">
      <c r="B20" t="s">
        <v>582</v>
      </c>
      <c r="C20">
        <f>AVERAGE(C8:C10)</f>
        <v>421.33333333333331</v>
      </c>
    </row>
    <row r="21" spans="2:6" x14ac:dyDescent="0.25">
      <c r="B21" t="s">
        <v>583</v>
      </c>
      <c r="C21">
        <f>C$20+273.15</f>
        <v>694.48333333333335</v>
      </c>
    </row>
    <row r="22" spans="2:6" x14ac:dyDescent="0.25">
      <c r="B22" t="s">
        <v>584</v>
      </c>
      <c r="C22">
        <v>45000</v>
      </c>
    </row>
    <row r="23" spans="2:6" x14ac:dyDescent="0.25">
      <c r="B23" t="s">
        <v>585</v>
      </c>
      <c r="C23">
        <v>1.9870000000000001</v>
      </c>
    </row>
    <row r="24" spans="2:6" x14ac:dyDescent="0.25">
      <c r="B24" t="s">
        <v>586</v>
      </c>
      <c r="C24">
        <f>C$22/(C$23*C$21)</f>
        <v>32.61015168756991</v>
      </c>
    </row>
    <row r="25" spans="2:6" ht="15.75" thickBot="1" x14ac:dyDescent="0.3">
      <c r="B25" t="s">
        <v>587</v>
      </c>
      <c r="C25">
        <f>EXP(C$24)</f>
        <v>145347957067269.09</v>
      </c>
    </row>
    <row r="26" spans="2:6" ht="15.75" thickBot="1" x14ac:dyDescent="0.3">
      <c r="B26" s="909" t="s">
        <v>565</v>
      </c>
      <c r="C26" s="910">
        <f>C$25*C$19</f>
        <v>44828549902391.68</v>
      </c>
      <c r="D26" s="911"/>
      <c r="E26" s="911"/>
      <c r="F26" s="911"/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73CF-C57D-41F0-AD49-0FEDA51E253D}">
  <dimension ref="A1:I45"/>
  <sheetViews>
    <sheetView zoomScale="64" workbookViewId="0">
      <selection activeCell="BI15" sqref="BI15"/>
    </sheetView>
  </sheetViews>
  <sheetFormatPr defaultRowHeight="15" x14ac:dyDescent="0.25"/>
  <cols>
    <col min="44" max="44" width="9.5703125" bestFit="1" customWidth="1"/>
    <col min="45" max="45" width="9.5703125" customWidth="1"/>
  </cols>
  <sheetData>
    <row r="1" spans="2:9" x14ac:dyDescent="0.25">
      <c r="B1" s="1257">
        <v>45860</v>
      </c>
      <c r="F1" s="1257">
        <v>45868</v>
      </c>
      <c r="G1" s="1257"/>
    </row>
    <row r="2" spans="2:9" x14ac:dyDescent="0.25">
      <c r="B2" s="1260">
        <v>5</v>
      </c>
      <c r="C2" s="1259">
        <v>19065</v>
      </c>
      <c r="D2" s="1270">
        <f>C2-C3</f>
        <v>144</v>
      </c>
      <c r="F2" s="1260">
        <v>5</v>
      </c>
      <c r="G2" s="1270">
        <v>0</v>
      </c>
      <c r="H2" s="1272">
        <v>19005</v>
      </c>
      <c r="I2">
        <f>H2-H3</f>
        <v>223</v>
      </c>
    </row>
    <row r="3" spans="2:9" x14ac:dyDescent="0.25">
      <c r="B3" s="1260">
        <v>6</v>
      </c>
      <c r="C3" s="1268">
        <v>18921</v>
      </c>
      <c r="D3" s="1270">
        <f t="shared" ref="D3:D8" si="0">C3-C4</f>
        <v>306</v>
      </c>
      <c r="F3" s="1260">
        <v>6</v>
      </c>
      <c r="G3" s="1270">
        <v>1</v>
      </c>
      <c r="H3" s="1259">
        <v>18782</v>
      </c>
      <c r="I3">
        <f>(H3-H5)/2</f>
        <v>157.5</v>
      </c>
    </row>
    <row r="4" spans="2:9" x14ac:dyDescent="0.25">
      <c r="B4" s="1265">
        <v>8.06</v>
      </c>
      <c r="C4" s="1259">
        <v>18615</v>
      </c>
      <c r="D4" s="1270">
        <f>C4-C7</f>
        <v>157</v>
      </c>
      <c r="F4" s="1259">
        <v>6.3</v>
      </c>
      <c r="G4" s="1259">
        <v>2</v>
      </c>
      <c r="H4" s="1259">
        <v>18685</v>
      </c>
    </row>
    <row r="5" spans="2:9" x14ac:dyDescent="0.25">
      <c r="B5" s="1258">
        <v>8.3000000000000007</v>
      </c>
      <c r="C5" s="1259">
        <v>18541</v>
      </c>
      <c r="D5" s="1270"/>
      <c r="F5" s="1259">
        <v>8</v>
      </c>
      <c r="G5" s="1270">
        <v>3</v>
      </c>
      <c r="H5" s="1259">
        <v>18467</v>
      </c>
      <c r="I5">
        <f>H5-H7</f>
        <v>162</v>
      </c>
    </row>
    <row r="6" spans="2:9" x14ac:dyDescent="0.25">
      <c r="B6" s="1258"/>
      <c r="C6" s="1259"/>
      <c r="D6" s="1270"/>
      <c r="F6" s="1259">
        <v>8.17</v>
      </c>
      <c r="G6" s="1270">
        <v>4</v>
      </c>
      <c r="H6" s="1259">
        <v>18421</v>
      </c>
    </row>
    <row r="7" spans="2:9" x14ac:dyDescent="0.25">
      <c r="B7" s="1258">
        <v>9</v>
      </c>
      <c r="C7" s="1259">
        <v>18458</v>
      </c>
      <c r="D7" s="1270">
        <f>C7-C9</f>
        <v>195</v>
      </c>
      <c r="F7" s="1259">
        <v>9</v>
      </c>
      <c r="G7" s="1259">
        <v>5</v>
      </c>
      <c r="H7" s="1259">
        <v>18305</v>
      </c>
      <c r="I7">
        <f>H7-H8</f>
        <v>191</v>
      </c>
    </row>
    <row r="8" spans="2:9" x14ac:dyDescent="0.25">
      <c r="B8" s="1258">
        <v>9.15</v>
      </c>
      <c r="C8" s="1259">
        <v>18411</v>
      </c>
      <c r="D8" s="1270">
        <f t="shared" si="0"/>
        <v>148</v>
      </c>
      <c r="F8" s="1259">
        <v>10.029999999999999</v>
      </c>
      <c r="G8" s="1270">
        <v>6</v>
      </c>
      <c r="H8" s="1259">
        <v>18114</v>
      </c>
      <c r="I8">
        <f>H8-H9</f>
        <v>166</v>
      </c>
    </row>
    <row r="9" spans="2:9" x14ac:dyDescent="0.25">
      <c r="B9" s="1258">
        <v>10</v>
      </c>
      <c r="C9" s="1259">
        <v>18263</v>
      </c>
      <c r="D9" s="1270">
        <f>C9-C11</f>
        <v>186</v>
      </c>
      <c r="F9" s="1259">
        <v>11.03</v>
      </c>
      <c r="G9" s="1270">
        <v>7</v>
      </c>
      <c r="H9" s="1259">
        <v>17948</v>
      </c>
      <c r="I9">
        <f>H9-H11</f>
        <v>228</v>
      </c>
    </row>
    <row r="10" spans="2:9" x14ac:dyDescent="0.25">
      <c r="B10" s="1259">
        <v>10.3</v>
      </c>
      <c r="C10" s="1259">
        <v>18156</v>
      </c>
      <c r="D10" s="1270"/>
      <c r="F10" s="1259">
        <v>11.15</v>
      </c>
      <c r="G10" s="1259">
        <v>8</v>
      </c>
      <c r="H10" s="1259">
        <v>17906</v>
      </c>
    </row>
    <row r="11" spans="2:9" x14ac:dyDescent="0.25">
      <c r="B11" s="1260">
        <v>11</v>
      </c>
      <c r="C11" s="1259">
        <v>18077</v>
      </c>
      <c r="D11" s="1270">
        <f>C11-C13</f>
        <v>180</v>
      </c>
      <c r="F11" s="1259">
        <v>12.15</v>
      </c>
      <c r="G11" s="1270">
        <v>9</v>
      </c>
      <c r="H11" s="1259">
        <v>17720</v>
      </c>
      <c r="I11">
        <f>H11-H12</f>
        <v>148</v>
      </c>
    </row>
    <row r="12" spans="2:9" x14ac:dyDescent="0.25">
      <c r="B12" s="1260">
        <v>11.3</v>
      </c>
      <c r="C12" s="1259">
        <v>17980</v>
      </c>
      <c r="D12" s="1270"/>
      <c r="F12" s="1259">
        <v>13</v>
      </c>
      <c r="G12" s="1270">
        <v>10</v>
      </c>
      <c r="H12" s="1259">
        <v>17572</v>
      </c>
      <c r="I12">
        <f>H12-H13</f>
        <v>190</v>
      </c>
    </row>
    <row r="13" spans="2:9" x14ac:dyDescent="0.25">
      <c r="B13" s="1258">
        <v>12</v>
      </c>
      <c r="C13" s="1259">
        <v>17897</v>
      </c>
      <c r="D13" s="1270">
        <f>C13-C15</f>
        <v>191</v>
      </c>
      <c r="F13" s="1259">
        <v>14</v>
      </c>
      <c r="G13" s="1259">
        <v>11</v>
      </c>
      <c r="H13" s="1259">
        <v>17382</v>
      </c>
      <c r="I13">
        <f>H13-H15</f>
        <v>200</v>
      </c>
    </row>
    <row r="14" spans="2:9" x14ac:dyDescent="0.25">
      <c r="B14" s="1258">
        <v>12.36</v>
      </c>
      <c r="C14" s="1259">
        <v>17785</v>
      </c>
      <c r="D14" s="1270"/>
      <c r="F14" s="1259">
        <v>14.3</v>
      </c>
      <c r="G14" s="1270">
        <v>12</v>
      </c>
      <c r="H14" s="1259">
        <v>17289</v>
      </c>
    </row>
    <row r="15" spans="2:9" x14ac:dyDescent="0.25">
      <c r="B15" s="1258">
        <v>13</v>
      </c>
      <c r="C15" s="1259">
        <v>17706</v>
      </c>
      <c r="D15" s="1270">
        <f>C15-C16</f>
        <v>190</v>
      </c>
      <c r="F15" s="1259">
        <v>15</v>
      </c>
      <c r="G15" s="1270">
        <v>13</v>
      </c>
      <c r="H15" s="1259">
        <v>17182</v>
      </c>
      <c r="I15">
        <f>H15-H17</f>
        <v>190</v>
      </c>
    </row>
    <row r="16" spans="2:9" x14ac:dyDescent="0.25">
      <c r="B16" s="1260">
        <v>14</v>
      </c>
      <c r="C16" s="1259">
        <v>17516</v>
      </c>
      <c r="D16" s="1270">
        <f>C16-C18</f>
        <v>148</v>
      </c>
      <c r="F16" s="1259">
        <v>15.3</v>
      </c>
      <c r="G16" s="1259">
        <v>14</v>
      </c>
      <c r="H16" s="1259">
        <v>17090</v>
      </c>
    </row>
    <row r="17" spans="2:9" x14ac:dyDescent="0.25">
      <c r="B17" s="1260">
        <v>14.3</v>
      </c>
      <c r="C17" s="1259">
        <v>17447</v>
      </c>
      <c r="D17" s="1270">
        <f>C16-C18</f>
        <v>148</v>
      </c>
      <c r="F17" s="1259">
        <v>16</v>
      </c>
      <c r="G17" s="1270">
        <v>15</v>
      </c>
      <c r="H17" s="1259">
        <v>16992</v>
      </c>
      <c r="I17">
        <f>H17-H18</f>
        <v>195</v>
      </c>
    </row>
    <row r="18" spans="2:9" x14ac:dyDescent="0.25">
      <c r="B18" s="1260">
        <v>15</v>
      </c>
      <c r="C18" s="1259">
        <v>17368</v>
      </c>
      <c r="D18" s="1270">
        <f>C18-C22</f>
        <v>200</v>
      </c>
      <c r="F18" s="1259">
        <v>17</v>
      </c>
      <c r="G18" s="1270">
        <v>16</v>
      </c>
      <c r="H18" s="1259">
        <v>16797</v>
      </c>
      <c r="I18">
        <f>H18-H19</f>
        <v>199</v>
      </c>
    </row>
    <row r="19" spans="2:9" x14ac:dyDescent="0.25">
      <c r="B19" s="1261">
        <v>15.15</v>
      </c>
      <c r="C19" s="1262">
        <v>17308</v>
      </c>
      <c r="D19" s="1270"/>
      <c r="F19" s="1259">
        <v>18</v>
      </c>
      <c r="G19" s="1259">
        <v>17</v>
      </c>
      <c r="H19" s="1259">
        <v>16598</v>
      </c>
      <c r="I19">
        <f>H19-H21</f>
        <v>181</v>
      </c>
    </row>
    <row r="20" spans="2:9" x14ac:dyDescent="0.25">
      <c r="B20" s="1261">
        <v>15.3</v>
      </c>
      <c r="C20" s="1263">
        <v>17275</v>
      </c>
      <c r="D20" s="1270"/>
      <c r="F20" s="1268">
        <v>18.149999999999999</v>
      </c>
      <c r="G20" s="1270">
        <v>18</v>
      </c>
      <c r="H20" s="1269">
        <v>16552</v>
      </c>
    </row>
    <row r="21" spans="2:9" x14ac:dyDescent="0.25">
      <c r="B21" s="1264">
        <v>15.45</v>
      </c>
      <c r="C21" s="1262">
        <v>17219</v>
      </c>
      <c r="D21" s="1270"/>
      <c r="F21" s="1265">
        <v>19</v>
      </c>
      <c r="G21" s="1270">
        <v>19</v>
      </c>
      <c r="H21" s="1259">
        <v>16417</v>
      </c>
      <c r="I21">
        <f>H21-H22</f>
        <v>185</v>
      </c>
    </row>
    <row r="22" spans="2:9" x14ac:dyDescent="0.25">
      <c r="B22" s="1264">
        <v>16</v>
      </c>
      <c r="C22" s="1262">
        <v>17168</v>
      </c>
      <c r="D22" s="1270">
        <f>C22-C26</f>
        <v>185</v>
      </c>
      <c r="F22" s="1265">
        <v>20</v>
      </c>
      <c r="G22" s="1259">
        <v>20</v>
      </c>
      <c r="H22" s="1259">
        <v>16232</v>
      </c>
      <c r="I22">
        <f>H22-H23</f>
        <v>195</v>
      </c>
    </row>
    <row r="23" spans="2:9" x14ac:dyDescent="0.25">
      <c r="B23" s="1265">
        <v>16</v>
      </c>
      <c r="C23" s="1262">
        <v>17168</v>
      </c>
      <c r="D23" s="1270"/>
      <c r="F23" s="1265">
        <v>21</v>
      </c>
      <c r="G23" s="1270">
        <v>21</v>
      </c>
      <c r="H23" s="1270">
        <v>16037</v>
      </c>
      <c r="I23">
        <f>H23-H24</f>
        <v>181</v>
      </c>
    </row>
    <row r="24" spans="2:9" x14ac:dyDescent="0.25">
      <c r="B24" s="1265">
        <v>16.3</v>
      </c>
      <c r="C24" s="1259">
        <v>17071</v>
      </c>
      <c r="D24" s="1270"/>
      <c r="F24" s="1265">
        <v>22</v>
      </c>
      <c r="G24" s="1270">
        <v>22</v>
      </c>
      <c r="H24" s="1259">
        <v>15856</v>
      </c>
      <c r="I24">
        <f t="shared" ref="I24:I31" si="1">H24-H25</f>
        <v>190</v>
      </c>
    </row>
    <row r="25" spans="2:9" x14ac:dyDescent="0.25">
      <c r="B25" s="1265">
        <v>16.45</v>
      </c>
      <c r="C25" s="1259">
        <v>17034</v>
      </c>
      <c r="D25" s="1270"/>
      <c r="F25" s="1265">
        <v>23</v>
      </c>
      <c r="G25" s="1259">
        <v>23</v>
      </c>
      <c r="H25" s="1259">
        <v>15666</v>
      </c>
      <c r="I25">
        <f t="shared" si="1"/>
        <v>195</v>
      </c>
    </row>
    <row r="26" spans="2:9" x14ac:dyDescent="0.25">
      <c r="B26" s="1265">
        <v>17</v>
      </c>
      <c r="C26" s="1259">
        <v>16983</v>
      </c>
      <c r="D26" s="1270">
        <f>C26-C30</f>
        <v>209</v>
      </c>
      <c r="F26" s="1265">
        <v>24</v>
      </c>
      <c r="G26" s="1270">
        <v>24</v>
      </c>
      <c r="H26" s="1259">
        <v>15471</v>
      </c>
      <c r="I26">
        <f t="shared" si="1"/>
        <v>185</v>
      </c>
    </row>
    <row r="27" spans="2:9" x14ac:dyDescent="0.25">
      <c r="B27" s="1265">
        <v>17</v>
      </c>
      <c r="C27" s="1259">
        <v>16983</v>
      </c>
      <c r="D27" s="1270"/>
      <c r="E27">
        <v>1</v>
      </c>
      <c r="F27" s="1260">
        <v>25</v>
      </c>
      <c r="G27" s="1270">
        <v>25</v>
      </c>
      <c r="H27" s="1259">
        <v>15286</v>
      </c>
      <c r="I27">
        <f t="shared" si="1"/>
        <v>181</v>
      </c>
    </row>
    <row r="28" spans="2:9" x14ac:dyDescent="0.25">
      <c r="B28" s="1265">
        <v>17.149999999999999</v>
      </c>
      <c r="C28" s="1259">
        <v>16937</v>
      </c>
      <c r="D28" s="1270"/>
      <c r="E28">
        <v>2</v>
      </c>
      <c r="F28" s="1260">
        <v>26</v>
      </c>
      <c r="G28" s="1259">
        <v>26</v>
      </c>
      <c r="H28" s="1259">
        <v>15105</v>
      </c>
      <c r="I28">
        <f t="shared" si="1"/>
        <v>200</v>
      </c>
    </row>
    <row r="29" spans="2:9" x14ac:dyDescent="0.25">
      <c r="B29" s="1265">
        <v>17.3</v>
      </c>
      <c r="C29" s="1259">
        <v>16858</v>
      </c>
      <c r="D29" s="1270"/>
      <c r="E29">
        <v>3</v>
      </c>
      <c r="F29" s="1260">
        <v>27</v>
      </c>
      <c r="G29" s="1270">
        <v>27</v>
      </c>
      <c r="H29" s="1259">
        <v>14905</v>
      </c>
      <c r="I29">
        <f t="shared" si="1"/>
        <v>190</v>
      </c>
    </row>
    <row r="30" spans="2:9" x14ac:dyDescent="0.25">
      <c r="B30" s="1265">
        <v>18</v>
      </c>
      <c r="C30" s="1259">
        <v>16774</v>
      </c>
      <c r="D30" s="1270">
        <f>C30-C32</f>
        <v>181</v>
      </c>
      <c r="E30">
        <v>4</v>
      </c>
      <c r="F30" s="1260">
        <v>28</v>
      </c>
      <c r="G30" s="1270">
        <v>28</v>
      </c>
      <c r="H30" s="1259">
        <v>14715</v>
      </c>
    </row>
    <row r="31" spans="2:9" x14ac:dyDescent="0.25">
      <c r="B31" s="1265">
        <v>18.350000000000001</v>
      </c>
      <c r="C31" s="1259">
        <v>16668</v>
      </c>
      <c r="D31" s="1270"/>
      <c r="E31">
        <v>5</v>
      </c>
      <c r="F31" s="1260">
        <v>28</v>
      </c>
      <c r="G31" s="1259">
        <v>29</v>
      </c>
      <c r="H31" s="1259">
        <v>18945</v>
      </c>
      <c r="I31">
        <f t="shared" si="1"/>
        <v>223</v>
      </c>
    </row>
    <row r="32" spans="2:9" x14ac:dyDescent="0.25">
      <c r="B32" s="1265">
        <v>19</v>
      </c>
      <c r="C32" s="1259">
        <v>16593</v>
      </c>
      <c r="D32" s="1270">
        <f>C32-C33</f>
        <v>204</v>
      </c>
      <c r="E32">
        <v>6</v>
      </c>
      <c r="F32" s="1260">
        <v>30</v>
      </c>
      <c r="G32" s="1270">
        <v>30</v>
      </c>
      <c r="H32" s="1259">
        <v>18722</v>
      </c>
      <c r="I32">
        <f>(H32-H33)*2</f>
        <v>194</v>
      </c>
    </row>
    <row r="33" spans="1:9" x14ac:dyDescent="0.25">
      <c r="B33" s="1258">
        <v>20</v>
      </c>
      <c r="C33" s="1259">
        <v>16389</v>
      </c>
      <c r="D33" s="1270">
        <f t="shared" ref="D33:D42" si="2">C33-C34</f>
        <v>181</v>
      </c>
      <c r="E33" s="1273">
        <v>6.3</v>
      </c>
      <c r="F33" s="1260">
        <v>6.3</v>
      </c>
      <c r="G33" s="1270">
        <v>31</v>
      </c>
      <c r="H33" s="1271">
        <v>18625</v>
      </c>
    </row>
    <row r="34" spans="1:9" x14ac:dyDescent="0.25">
      <c r="B34" s="1258">
        <v>21</v>
      </c>
      <c r="C34" s="1259">
        <v>16208</v>
      </c>
      <c r="D34" s="1270">
        <f t="shared" si="2"/>
        <v>185</v>
      </c>
      <c r="E34" s="1266"/>
      <c r="I34">
        <f>AVERAGE(I2:I32)</f>
        <v>189.5625</v>
      </c>
    </row>
    <row r="35" spans="1:9" x14ac:dyDescent="0.25">
      <c r="B35" s="1258">
        <v>22</v>
      </c>
      <c r="C35" s="1259">
        <v>16023</v>
      </c>
      <c r="D35" s="1270">
        <f t="shared" si="2"/>
        <v>176</v>
      </c>
      <c r="E35" s="1266"/>
    </row>
    <row r="36" spans="1:9" x14ac:dyDescent="0.25">
      <c r="B36" s="1259">
        <v>23</v>
      </c>
      <c r="C36" s="1259">
        <v>15847</v>
      </c>
      <c r="D36" s="1270">
        <f t="shared" si="2"/>
        <v>195</v>
      </c>
      <c r="E36" s="1266"/>
    </row>
    <row r="37" spans="1:9" x14ac:dyDescent="0.25">
      <c r="B37" s="1260">
        <v>24</v>
      </c>
      <c r="C37" s="1259">
        <v>15652</v>
      </c>
      <c r="D37" s="1270">
        <f t="shared" si="2"/>
        <v>181</v>
      </c>
      <c r="E37" s="1266"/>
    </row>
    <row r="38" spans="1:9" x14ac:dyDescent="0.25">
      <c r="A38">
        <v>1</v>
      </c>
      <c r="B38" s="1260">
        <v>25</v>
      </c>
      <c r="C38" s="1259">
        <v>15471</v>
      </c>
      <c r="D38" s="1270">
        <f t="shared" si="2"/>
        <v>190</v>
      </c>
      <c r="E38" s="1266"/>
    </row>
    <row r="39" spans="1:9" x14ac:dyDescent="0.25">
      <c r="A39">
        <v>2</v>
      </c>
      <c r="B39" s="1258">
        <v>26</v>
      </c>
      <c r="C39" s="1259">
        <v>15281</v>
      </c>
      <c r="D39" s="1270">
        <f t="shared" si="2"/>
        <v>176</v>
      </c>
      <c r="E39" s="1266"/>
    </row>
    <row r="40" spans="1:9" x14ac:dyDescent="0.25">
      <c r="A40">
        <v>3</v>
      </c>
      <c r="B40" s="1258">
        <v>27</v>
      </c>
      <c r="C40" s="1259">
        <v>15105</v>
      </c>
      <c r="D40" s="1270">
        <f t="shared" si="2"/>
        <v>186</v>
      </c>
      <c r="E40" s="1266"/>
    </row>
    <row r="41" spans="1:9" x14ac:dyDescent="0.25">
      <c r="A41">
        <v>4</v>
      </c>
      <c r="B41" s="1258">
        <v>28</v>
      </c>
      <c r="C41" s="1259">
        <v>14919</v>
      </c>
      <c r="D41" s="1270"/>
      <c r="E41" s="1266"/>
    </row>
    <row r="42" spans="1:9" x14ac:dyDescent="0.25">
      <c r="A42">
        <v>5</v>
      </c>
      <c r="B42" s="1260">
        <v>5</v>
      </c>
      <c r="C42" s="1259">
        <v>18903</v>
      </c>
      <c r="D42" s="1270">
        <f t="shared" si="2"/>
        <v>237</v>
      </c>
      <c r="E42" s="1266"/>
    </row>
    <row r="43" spans="1:9" x14ac:dyDescent="0.25">
      <c r="A43">
        <v>6</v>
      </c>
      <c r="B43" s="1260">
        <v>6</v>
      </c>
      <c r="C43" s="1259">
        <v>18666</v>
      </c>
      <c r="D43" s="1270">
        <f>(C43-C44)*2</f>
        <v>184</v>
      </c>
      <c r="E43" s="1267"/>
    </row>
    <row r="44" spans="1:9" x14ac:dyDescent="0.25">
      <c r="A44">
        <v>6.3</v>
      </c>
      <c r="B44" s="1260">
        <v>6.3</v>
      </c>
      <c r="C44" s="1259">
        <v>18574</v>
      </c>
      <c r="D44" s="1270"/>
      <c r="E44" s="1266"/>
    </row>
    <row r="45" spans="1:9" x14ac:dyDescent="0.25">
      <c r="D45">
        <f>AVERAGE(D2:D43)</f>
        <v>187.03846153846155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3201-9267-4C3C-8FB4-43129B9E527F}">
  <dimension ref="E27:S58"/>
  <sheetViews>
    <sheetView topLeftCell="A9" zoomScale="35" workbookViewId="0">
      <selection activeCell="Q29" sqref="Q29"/>
    </sheetView>
  </sheetViews>
  <sheetFormatPr defaultRowHeight="15" x14ac:dyDescent="0.25"/>
  <cols>
    <col min="6" max="6" width="12.42578125" customWidth="1"/>
    <col min="8" max="8" width="10.140625" bestFit="1" customWidth="1"/>
  </cols>
  <sheetData>
    <row r="27" spans="5:19" x14ac:dyDescent="0.25">
      <c r="E27" t="s">
        <v>326</v>
      </c>
      <c r="F27">
        <f>20.25-(6.438+5.501+0.69)</f>
        <v>7.6210000000000004</v>
      </c>
      <c r="G27" t="s">
        <v>327</v>
      </c>
      <c r="H27">
        <f>F27*25.4</f>
        <v>193.57339999999999</v>
      </c>
      <c r="I27" t="s">
        <v>328</v>
      </c>
      <c r="K27" t="s">
        <v>335</v>
      </c>
      <c r="L27">
        <f>2.06/2</f>
        <v>1.03</v>
      </c>
    </row>
    <row r="28" spans="5:19" x14ac:dyDescent="0.25">
      <c r="E28" t="s">
        <v>329</v>
      </c>
      <c r="F28">
        <f>1.155/2</f>
        <v>0.57750000000000001</v>
      </c>
      <c r="G28" t="s">
        <v>327</v>
      </c>
      <c r="H28">
        <f>F28*25.4</f>
        <v>14.6685</v>
      </c>
      <c r="I28" t="s">
        <v>328</v>
      </c>
      <c r="K28" t="s">
        <v>334</v>
      </c>
      <c r="L28">
        <f>1.155/2</f>
        <v>0.57750000000000001</v>
      </c>
      <c r="M28">
        <f>L27-L28</f>
        <v>0.45250000000000001</v>
      </c>
      <c r="P28" t="s">
        <v>336</v>
      </c>
      <c r="Q28" t="s">
        <v>337</v>
      </c>
    </row>
    <row r="29" spans="5:19" x14ac:dyDescent="0.25">
      <c r="P29" t="s">
        <v>653</v>
      </c>
      <c r="Q29">
        <f>M28/(1/(3^1/2))</f>
        <v>0.67875000000000008</v>
      </c>
      <c r="R29">
        <f>Q29*24.5</f>
        <v>16.629375000000003</v>
      </c>
      <c r="S29" t="s">
        <v>328</v>
      </c>
    </row>
    <row r="30" spans="5:19" x14ac:dyDescent="0.25">
      <c r="F30" s="175" t="s">
        <v>332</v>
      </c>
      <c r="G30" s="173" t="s">
        <v>226</v>
      </c>
      <c r="H30" s="174">
        <f>(22/7)*H28*H28*H27</f>
        <v>130900.62779660789</v>
      </c>
      <c r="I30" t="s">
        <v>330</v>
      </c>
    </row>
    <row r="31" spans="5:19" x14ac:dyDescent="0.25">
      <c r="H31" s="174">
        <f>H30/1000</f>
        <v>130.90062779660789</v>
      </c>
      <c r="I31" t="s">
        <v>331</v>
      </c>
    </row>
    <row r="34" spans="5:9" x14ac:dyDescent="0.25">
      <c r="E34" t="s">
        <v>338</v>
      </c>
      <c r="F34">
        <f>Q29</f>
        <v>0.67875000000000008</v>
      </c>
      <c r="G34" t="s">
        <v>327</v>
      </c>
      <c r="H34">
        <f>F34*25.4</f>
        <v>17.24025</v>
      </c>
      <c r="I34" t="s">
        <v>328</v>
      </c>
    </row>
    <row r="35" spans="5:9" x14ac:dyDescent="0.25">
      <c r="E35" t="s">
        <v>339</v>
      </c>
      <c r="F35">
        <f>2.06/2</f>
        <v>1.03</v>
      </c>
      <c r="G35" s="173" t="s">
        <v>327</v>
      </c>
      <c r="H35">
        <f>F35*25.4</f>
        <v>26.161999999999999</v>
      </c>
      <c r="I35" t="s">
        <v>328</v>
      </c>
    </row>
    <row r="36" spans="5:9" x14ac:dyDescent="0.25">
      <c r="E36" t="s">
        <v>340</v>
      </c>
      <c r="F36">
        <f>1.155/2</f>
        <v>0.57750000000000001</v>
      </c>
      <c r="G36" t="s">
        <v>327</v>
      </c>
      <c r="H36">
        <f>F36*25.4</f>
        <v>14.6685</v>
      </c>
      <c r="I36" t="s">
        <v>328</v>
      </c>
    </row>
    <row r="38" spans="5:9" x14ac:dyDescent="0.25">
      <c r="F38" s="176" t="s">
        <v>333</v>
      </c>
      <c r="G38" s="173" t="s">
        <v>226</v>
      </c>
      <c r="H38">
        <f>(1/3)*(22/7)*H34*(H35^2+H35*H36+H36^2)</f>
        <v>23179.2645253068</v>
      </c>
      <c r="I38" t="s">
        <v>330</v>
      </c>
    </row>
    <row r="39" spans="5:9" x14ac:dyDescent="0.25">
      <c r="H39">
        <f>H38/1000</f>
        <v>23.179264525306799</v>
      </c>
      <c r="I39" t="s">
        <v>331</v>
      </c>
    </row>
    <row r="41" spans="5:9" x14ac:dyDescent="0.25">
      <c r="H41" s="178"/>
      <c r="I41" t="s">
        <v>331</v>
      </c>
    </row>
    <row r="43" spans="5:9" x14ac:dyDescent="0.25">
      <c r="E43" t="s">
        <v>338</v>
      </c>
      <c r="F43">
        <f>6.438-5.54</f>
        <v>0.89799999999999969</v>
      </c>
      <c r="G43" t="s">
        <v>327</v>
      </c>
      <c r="H43">
        <f>F43*25.4</f>
        <v>22.80919999999999</v>
      </c>
      <c r="I43" t="s">
        <v>328</v>
      </c>
    </row>
    <row r="44" spans="5:9" x14ac:dyDescent="0.25">
      <c r="E44" t="s">
        <v>339</v>
      </c>
      <c r="F44">
        <f>F35</f>
        <v>1.03</v>
      </c>
      <c r="G44" t="s">
        <v>327</v>
      </c>
      <c r="H44">
        <f>F44*25.4</f>
        <v>26.161999999999999</v>
      </c>
      <c r="I44" t="s">
        <v>328</v>
      </c>
    </row>
    <row r="46" spans="5:9" x14ac:dyDescent="0.25">
      <c r="F46" s="177" t="s">
        <v>341</v>
      </c>
      <c r="G46" s="173" t="s">
        <v>226</v>
      </c>
      <c r="H46">
        <f>(22/7)*H44^2*H43</f>
        <v>49065.539302826495</v>
      </c>
      <c r="I46" t="s">
        <v>330</v>
      </c>
    </row>
    <row r="47" spans="5:9" x14ac:dyDescent="0.25">
      <c r="H47">
        <f>H46/1000</f>
        <v>49.065539302826494</v>
      </c>
      <c r="I47" t="s">
        <v>331</v>
      </c>
    </row>
    <row r="48" spans="5:9" x14ac:dyDescent="0.25">
      <c r="E48" t="s">
        <v>345</v>
      </c>
      <c r="H48" s="174">
        <f>H47+H39+H31</f>
        <v>203.14543162474118</v>
      </c>
      <c r="I48" t="s">
        <v>331</v>
      </c>
    </row>
    <row r="49" spans="5:11" x14ac:dyDescent="0.25">
      <c r="H49" s="174"/>
      <c r="K49" s="174"/>
    </row>
    <row r="50" spans="5:11" x14ac:dyDescent="0.25">
      <c r="E50" t="s">
        <v>346</v>
      </c>
      <c r="H50" s="174"/>
      <c r="K50" s="174"/>
    </row>
    <row r="51" spans="5:11" x14ac:dyDescent="0.25">
      <c r="E51" t="s">
        <v>338</v>
      </c>
      <c r="F51">
        <f>8.813-0.5</f>
        <v>8.3130000000000006</v>
      </c>
      <c r="G51" t="s">
        <v>327</v>
      </c>
      <c r="H51">
        <f>F51*25.4</f>
        <v>211.15020000000001</v>
      </c>
      <c r="I51" t="s">
        <v>328</v>
      </c>
    </row>
    <row r="52" spans="5:11" x14ac:dyDescent="0.25">
      <c r="E52" t="s">
        <v>339</v>
      </c>
      <c r="F52" s="162">
        <f>1/4</f>
        <v>0.25</v>
      </c>
      <c r="G52" t="s">
        <v>327</v>
      </c>
      <c r="H52" s="174">
        <f>F52*25.4</f>
        <v>6.35</v>
      </c>
      <c r="I52" t="s">
        <v>328</v>
      </c>
    </row>
    <row r="53" spans="5:11" x14ac:dyDescent="0.25">
      <c r="E53" t="s">
        <v>343</v>
      </c>
      <c r="F53">
        <f>0.095</f>
        <v>9.5000000000000001E-2</v>
      </c>
      <c r="H53">
        <f>F53*25.4</f>
        <v>2.4129999999999998</v>
      </c>
    </row>
    <row r="54" spans="5:11" x14ac:dyDescent="0.25">
      <c r="H54">
        <f>(1/2)*(22/7)*(H52^2-H53^2)*2</f>
        <v>108.42835457142856</v>
      </c>
      <c r="I54" t="s">
        <v>330</v>
      </c>
    </row>
    <row r="55" spans="5:11" x14ac:dyDescent="0.25">
      <c r="E55" t="s">
        <v>342</v>
      </c>
      <c r="H55">
        <f>H54/1000</f>
        <v>0.10842835457142856</v>
      </c>
      <c r="I55" t="s">
        <v>331</v>
      </c>
    </row>
    <row r="56" spans="5:11" x14ac:dyDescent="0.25">
      <c r="E56" t="s">
        <v>347</v>
      </c>
      <c r="H56">
        <v>17</v>
      </c>
      <c r="I56" t="s">
        <v>331</v>
      </c>
    </row>
    <row r="58" spans="5:11" x14ac:dyDescent="0.25">
      <c r="E58" t="s">
        <v>344</v>
      </c>
      <c r="H58" s="174">
        <f>(H31+H39+H47)-(H55+H56)</f>
        <v>186.03700327016975</v>
      </c>
      <c r="I58" t="s">
        <v>331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89F8-CEFB-4759-89BA-81F2778B82C5}">
  <sheetPr codeName="Sheet16"/>
  <dimension ref="B1:I23"/>
  <sheetViews>
    <sheetView workbookViewId="0">
      <selection activeCell="I12" sqref="I12"/>
    </sheetView>
  </sheetViews>
  <sheetFormatPr defaultRowHeight="15" x14ac:dyDescent="0.25"/>
  <cols>
    <col min="1" max="1" width="3.85546875" customWidth="1"/>
    <col min="2" max="2" width="4.140625" customWidth="1"/>
    <col min="3" max="3" width="24.140625" customWidth="1"/>
    <col min="4" max="4" width="58.140625" style="150" customWidth="1"/>
    <col min="5" max="5" width="25.140625" style="150" customWidth="1"/>
    <col min="6" max="6" width="4.85546875" style="155" customWidth="1"/>
    <col min="7" max="7" width="10.140625" customWidth="1"/>
    <col min="8" max="8" width="3.140625" customWidth="1"/>
  </cols>
  <sheetData>
    <row r="1" spans="2:9" x14ac:dyDescent="0.25">
      <c r="B1" s="154"/>
      <c r="C1" s="153">
        <v>45649</v>
      </c>
      <c r="G1" s="152">
        <v>46006</v>
      </c>
    </row>
    <row r="2" spans="2:9" x14ac:dyDescent="0.25">
      <c r="C2" s="1" t="s">
        <v>246</v>
      </c>
      <c r="H2" s="1" t="s">
        <v>279</v>
      </c>
    </row>
    <row r="3" spans="2:9" x14ac:dyDescent="0.25">
      <c r="C3" t="s">
        <v>247</v>
      </c>
      <c r="D3" s="150" t="s">
        <v>248</v>
      </c>
      <c r="E3" s="150" t="s">
        <v>249</v>
      </c>
    </row>
    <row r="4" spans="2:9" ht="60" x14ac:dyDescent="0.25">
      <c r="B4">
        <v>1</v>
      </c>
      <c r="C4" t="s">
        <v>250</v>
      </c>
      <c r="D4" s="150" t="s">
        <v>251</v>
      </c>
      <c r="E4" s="150" t="s">
        <v>252</v>
      </c>
      <c r="H4">
        <v>1</v>
      </c>
      <c r="I4" t="s">
        <v>282</v>
      </c>
    </row>
    <row r="5" spans="2:9" ht="30" x14ac:dyDescent="0.25">
      <c r="D5" s="150" t="s">
        <v>253</v>
      </c>
      <c r="H5">
        <v>2</v>
      </c>
      <c r="I5" t="s">
        <v>280</v>
      </c>
    </row>
    <row r="6" spans="2:9" x14ac:dyDescent="0.25">
      <c r="B6">
        <v>2</v>
      </c>
      <c r="C6" t="s">
        <v>254</v>
      </c>
      <c r="D6" s="150" t="s">
        <v>255</v>
      </c>
      <c r="H6">
        <v>3</v>
      </c>
      <c r="I6" t="s">
        <v>281</v>
      </c>
    </row>
    <row r="7" spans="2:9" ht="30" x14ac:dyDescent="0.25">
      <c r="D7" s="150" t="s">
        <v>256</v>
      </c>
      <c r="H7">
        <v>4</v>
      </c>
      <c r="I7" t="s">
        <v>283</v>
      </c>
    </row>
    <row r="8" spans="2:9" x14ac:dyDescent="0.25">
      <c r="B8">
        <v>3</v>
      </c>
      <c r="C8" t="s">
        <v>257</v>
      </c>
      <c r="D8" s="150" t="s">
        <v>255</v>
      </c>
    </row>
    <row r="9" spans="2:9" ht="30" x14ac:dyDescent="0.25">
      <c r="D9" s="150" t="s">
        <v>256</v>
      </c>
    </row>
    <row r="10" spans="2:9" ht="30" x14ac:dyDescent="0.25">
      <c r="B10">
        <v>4</v>
      </c>
      <c r="C10" t="s">
        <v>258</v>
      </c>
      <c r="D10" s="150" t="s">
        <v>259</v>
      </c>
    </row>
    <row r="11" spans="2:9" x14ac:dyDescent="0.25">
      <c r="B11">
        <v>5</v>
      </c>
      <c r="C11" t="s">
        <v>260</v>
      </c>
      <c r="D11" s="150" t="s">
        <v>261</v>
      </c>
    </row>
    <row r="12" spans="2:9" x14ac:dyDescent="0.25">
      <c r="B12">
        <v>6</v>
      </c>
      <c r="C12" t="s">
        <v>262</v>
      </c>
      <c r="D12" s="150" t="s">
        <v>263</v>
      </c>
    </row>
    <row r="13" spans="2:9" x14ac:dyDescent="0.25">
      <c r="B13">
        <v>7</v>
      </c>
      <c r="C13" s="150" t="s">
        <v>264</v>
      </c>
      <c r="D13" s="150" t="s">
        <v>265</v>
      </c>
    </row>
    <row r="14" spans="2:9" ht="30" x14ac:dyDescent="0.25">
      <c r="C14" s="150"/>
      <c r="D14" s="150" t="s">
        <v>266</v>
      </c>
    </row>
    <row r="15" spans="2:9" x14ac:dyDescent="0.25">
      <c r="C15" s="1" t="s">
        <v>267</v>
      </c>
    </row>
    <row r="16" spans="2:9" ht="30" x14ac:dyDescent="0.25">
      <c r="B16">
        <v>1</v>
      </c>
      <c r="C16" t="s">
        <v>268</v>
      </c>
      <c r="D16" s="150" t="s">
        <v>269</v>
      </c>
    </row>
    <row r="17" spans="2:4" ht="30" x14ac:dyDescent="0.25">
      <c r="B17">
        <v>2</v>
      </c>
      <c r="C17" s="150" t="s">
        <v>270</v>
      </c>
    </row>
    <row r="19" spans="2:4" ht="30" x14ac:dyDescent="0.25">
      <c r="D19" s="151" t="s">
        <v>276</v>
      </c>
    </row>
    <row r="20" spans="2:4" ht="30" x14ac:dyDescent="0.25">
      <c r="D20" s="151" t="s">
        <v>271</v>
      </c>
    </row>
    <row r="21" spans="2:4" ht="30" x14ac:dyDescent="0.25">
      <c r="D21" s="151" t="s">
        <v>277</v>
      </c>
    </row>
    <row r="22" spans="2:4" ht="30" x14ac:dyDescent="0.25">
      <c r="D22" s="151" t="s">
        <v>278</v>
      </c>
    </row>
    <row r="23" spans="2:4" x14ac:dyDescent="0.25">
      <c r="D23" s="151" t="s">
        <v>272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9F3FB-5447-488D-A2CE-19D9F74DA451}">
  <dimension ref="A1"/>
  <sheetViews>
    <sheetView zoomScale="60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D776C3-7027-4E47-B480-92519E6603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10</vt:i4>
      </vt:variant>
    </vt:vector>
  </HeadingPairs>
  <TitlesOfParts>
    <vt:vector size="39" baseType="lpstr">
      <vt:lpstr>ISV</vt:lpstr>
      <vt:lpstr>LTO DAILY</vt:lpstr>
      <vt:lpstr>HPS DAILY</vt:lpstr>
      <vt:lpstr>LCF ABQ3358 Products</vt:lpstr>
      <vt:lpstr>LCF LS Products</vt:lpstr>
      <vt:lpstr>LCF HS Products</vt:lpstr>
      <vt:lpstr>SCEP FULL TEST</vt:lpstr>
      <vt:lpstr>CII</vt:lpstr>
      <vt:lpstr>HPS LTO DAILY </vt:lpstr>
      <vt:lpstr>Lab Results Summary</vt:lpstr>
      <vt:lpstr>CatConv</vt:lpstr>
      <vt:lpstr>FeedStock_Summ</vt:lpstr>
      <vt:lpstr>Master Template</vt:lpstr>
      <vt:lpstr>MetConv_Ni_V</vt:lpstr>
      <vt:lpstr>Condition</vt:lpstr>
      <vt:lpstr>CrkConv</vt:lpstr>
      <vt:lpstr>Breakdown Yld</vt:lpstr>
      <vt:lpstr>API</vt:lpstr>
      <vt:lpstr>SedM</vt:lpstr>
      <vt:lpstr>MetConv(Ni+V)</vt:lpstr>
      <vt:lpstr>McrConv</vt:lpstr>
      <vt:lpstr>LTO Split</vt:lpstr>
      <vt:lpstr>Average</vt:lpstr>
      <vt:lpstr>HPS Comparing</vt:lpstr>
      <vt:lpstr>Kinetic</vt:lpstr>
      <vt:lpstr>Flowrate</vt:lpstr>
      <vt:lpstr>Rx</vt:lpstr>
      <vt:lpstr>To do list</vt:lpstr>
      <vt:lpstr>Sheet2</vt:lpstr>
      <vt:lpstr>CatConv!Print_Area</vt:lpstr>
      <vt:lpstr>'HPS Comparing'!Print_Area</vt:lpstr>
      <vt:lpstr>'HPS DAILY'!Print_Area</vt:lpstr>
      <vt:lpstr>'HPS LTO DAILY '!Print_Area</vt:lpstr>
      <vt:lpstr>ISV!Print_Area</vt:lpstr>
      <vt:lpstr>'Lab Results Summary'!Print_Area</vt:lpstr>
      <vt:lpstr>'LTO DAILY'!Print_Area</vt:lpstr>
      <vt:lpstr>McrConv!Print_Area</vt:lpstr>
      <vt:lpstr>'MetConv(Ni+V)'!Print_Area</vt:lpstr>
      <vt:lpstr>MetConv_Ni_V!Print_Area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 RHRD-Nikom C.;TOP EOSL-A-ST Krongkiat</dc:creator>
  <cp:lastModifiedBy>PEACEPEACE NA LUMPHOON</cp:lastModifiedBy>
  <cp:lastPrinted>2025-11-24T09:25:43Z</cp:lastPrinted>
  <dcterms:created xsi:type="dcterms:W3CDTF">2024-12-16T06:21:12Z</dcterms:created>
  <dcterms:modified xsi:type="dcterms:W3CDTF">2026-02-27T04:25:48Z</dcterms:modified>
</cp:coreProperties>
</file>